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activeTab="11"/>
  </bookViews>
  <sheets>
    <sheet name="1" sheetId="4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9" r:id="rId14"/>
    <sheet name="15" sheetId="18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M1" sheetId="35" r:id="rId31"/>
    <sheet name="new_sample" sheetId="5" r:id="rId32"/>
    <sheet name="Sheet1" sheetId="1" r:id="rId33"/>
    <sheet name="Sheet2" sheetId="2" r:id="rId34"/>
    <sheet name="Sheet3" sheetId="3" r:id="rId35"/>
  </sheets>
  <externalReferences>
    <externalReference r:id="rId36"/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 localSheetId="31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 localSheetId="31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 localSheetId="31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D37" i="35" l="1"/>
  <c r="AC37" i="35"/>
  <c r="AB95" i="35"/>
  <c r="AB37" i="35"/>
  <c r="Z38" i="35"/>
  <c r="R37" i="35"/>
  <c r="Q95" i="35" l="1"/>
  <c r="Q37" i="35"/>
  <c r="P95" i="35"/>
  <c r="P37" i="35"/>
  <c r="O95" i="35" l="1"/>
  <c r="O37" i="35"/>
  <c r="N95" i="35"/>
  <c r="N37" i="35"/>
  <c r="M95" i="35"/>
  <c r="M37" i="35"/>
  <c r="H93" i="35"/>
  <c r="AH99" i="35"/>
  <c r="AI99" i="35" s="1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P235" i="35"/>
  <c r="O235" i="35"/>
  <c r="N235" i="35"/>
  <c r="M235" i="35"/>
  <c r="L235" i="35"/>
  <c r="K235" i="35"/>
  <c r="J235" i="35"/>
  <c r="I235" i="35"/>
  <c r="H235" i="35"/>
  <c r="G235" i="35"/>
  <c r="F235" i="35"/>
  <c r="E235" i="35"/>
  <c r="D235" i="35"/>
  <c r="C235" i="35"/>
  <c r="B235" i="35"/>
  <c r="A235" i="35"/>
  <c r="B234" i="35"/>
  <c r="S209" i="35"/>
  <c r="AG199" i="35"/>
  <c r="C199" i="35"/>
  <c r="D198" i="35"/>
  <c r="F197" i="35"/>
  <c r="G197" i="35" s="1"/>
  <c r="H197" i="35" s="1"/>
  <c r="I197" i="35" s="1"/>
  <c r="J197" i="35" s="1"/>
  <c r="K197" i="35" s="1"/>
  <c r="L197" i="35" s="1"/>
  <c r="M197" i="35" s="1"/>
  <c r="N197" i="35" s="1"/>
  <c r="O197" i="35" s="1"/>
  <c r="P197" i="35" s="1"/>
  <c r="Q197" i="35" s="1"/>
  <c r="R197" i="35" s="1"/>
  <c r="S197" i="35" s="1"/>
  <c r="T197" i="35" s="1"/>
  <c r="U197" i="35" s="1"/>
  <c r="V197" i="35" s="1"/>
  <c r="W197" i="35" s="1"/>
  <c r="X197" i="35" s="1"/>
  <c r="Y197" i="35" s="1"/>
  <c r="Z197" i="35" s="1"/>
  <c r="AA197" i="35" s="1"/>
  <c r="AB197" i="35" s="1"/>
  <c r="AC197" i="35" s="1"/>
  <c r="AD197" i="35" s="1"/>
  <c r="AE197" i="35" s="1"/>
  <c r="AF197" i="35" s="1"/>
  <c r="B197" i="35" s="1"/>
  <c r="E197" i="35"/>
  <c r="D197" i="35"/>
  <c r="D196" i="35"/>
  <c r="E196" i="35" s="1"/>
  <c r="F196" i="35" s="1"/>
  <c r="G196" i="35" s="1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AD195" i="35"/>
  <c r="AE195" i="35" s="1"/>
  <c r="AF195" i="35" s="1"/>
  <c r="B195" i="35" s="1"/>
  <c r="E195" i="35"/>
  <c r="F195" i="35" s="1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D195" i="35"/>
  <c r="D199" i="35" s="1"/>
  <c r="E194" i="35"/>
  <c r="D194" i="35"/>
  <c r="H193" i="35"/>
  <c r="F193" i="35"/>
  <c r="G193" i="35" s="1"/>
  <c r="E193" i="35"/>
  <c r="D193" i="35"/>
  <c r="AG191" i="35"/>
  <c r="C191" i="35"/>
  <c r="Z190" i="35"/>
  <c r="AA190" i="35" s="1"/>
  <c r="AB190" i="35" s="1"/>
  <c r="AC190" i="35" s="1"/>
  <c r="AD190" i="35" s="1"/>
  <c r="AE190" i="35" s="1"/>
  <c r="AF190" i="35" s="1"/>
  <c r="B190" i="35" s="1"/>
  <c r="R190" i="35"/>
  <c r="S190" i="35" s="1"/>
  <c r="T190" i="35" s="1"/>
  <c r="U190" i="35" s="1"/>
  <c r="V190" i="35" s="1"/>
  <c r="W190" i="35" s="1"/>
  <c r="X190" i="35" s="1"/>
  <c r="Y190" i="35" s="1"/>
  <c r="F190" i="35"/>
  <c r="G190" i="35" s="1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D190" i="35"/>
  <c r="E190" i="35" s="1"/>
  <c r="J189" i="35"/>
  <c r="K189" i="35" s="1"/>
  <c r="L189" i="35" s="1"/>
  <c r="M189" i="35" s="1"/>
  <c r="N189" i="35" s="1"/>
  <c r="O189" i="35" s="1"/>
  <c r="P189" i="35" s="1"/>
  <c r="Q189" i="35" s="1"/>
  <c r="R189" i="35" s="1"/>
  <c r="S189" i="35" s="1"/>
  <c r="T189" i="35" s="1"/>
  <c r="U189" i="35" s="1"/>
  <c r="V189" i="35" s="1"/>
  <c r="W189" i="35" s="1"/>
  <c r="X189" i="35" s="1"/>
  <c r="Y189" i="35" s="1"/>
  <c r="Z189" i="35" s="1"/>
  <c r="AA189" i="35" s="1"/>
  <c r="AB189" i="35" s="1"/>
  <c r="AC189" i="35" s="1"/>
  <c r="AD189" i="35" s="1"/>
  <c r="AE189" i="35" s="1"/>
  <c r="AF189" i="35" s="1"/>
  <c r="B189" i="35" s="1"/>
  <c r="D189" i="35"/>
  <c r="E189" i="35" s="1"/>
  <c r="F189" i="35" s="1"/>
  <c r="G189" i="35" s="1"/>
  <c r="H189" i="35" s="1"/>
  <c r="I189" i="35" s="1"/>
  <c r="E188" i="35"/>
  <c r="F188" i="35" s="1"/>
  <c r="G188" i="35" s="1"/>
  <c r="H188" i="35" s="1"/>
  <c r="I188" i="35" s="1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B188" i="35" s="1"/>
  <c r="D188" i="35"/>
  <c r="D187" i="35"/>
  <c r="E187" i="35" s="1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B187" i="35" s="1"/>
  <c r="G186" i="35"/>
  <c r="H186" i="35" s="1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B186" i="35" s="1"/>
  <c r="F186" i="35"/>
  <c r="D186" i="35"/>
  <c r="E186" i="35" s="1"/>
  <c r="L185" i="35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D185" i="35"/>
  <c r="E185" i="35" s="1"/>
  <c r="F185" i="35" s="1"/>
  <c r="G185" i="35" s="1"/>
  <c r="H185" i="35" s="1"/>
  <c r="I185" i="35" s="1"/>
  <c r="J185" i="35" s="1"/>
  <c r="K185" i="35" s="1"/>
  <c r="L184" i="35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B184" i="35" s="1"/>
  <c r="F184" i="35"/>
  <c r="G184" i="35" s="1"/>
  <c r="H184" i="35" s="1"/>
  <c r="I184" i="35" s="1"/>
  <c r="J184" i="35" s="1"/>
  <c r="K184" i="35" s="1"/>
  <c r="E184" i="35"/>
  <c r="D184" i="35"/>
  <c r="H183" i="35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E183" i="35"/>
  <c r="F183" i="35" s="1"/>
  <c r="G183" i="35" s="1"/>
  <c r="D183" i="35"/>
  <c r="AB182" i="35"/>
  <c r="AC182" i="35" s="1"/>
  <c r="AD182" i="35" s="1"/>
  <c r="AE182" i="35" s="1"/>
  <c r="AF182" i="35" s="1"/>
  <c r="B182" i="35" s="1"/>
  <c r="J182" i="35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H182" i="35"/>
  <c r="I182" i="35" s="1"/>
  <c r="G182" i="35"/>
  <c r="F182" i="35"/>
  <c r="D182" i="35"/>
  <c r="E182" i="35" s="1"/>
  <c r="J181" i="35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B181" i="35" s="1"/>
  <c r="E181" i="35"/>
  <c r="F181" i="35" s="1"/>
  <c r="G181" i="35" s="1"/>
  <c r="H181" i="35" s="1"/>
  <c r="I181" i="35" s="1"/>
  <c r="D181" i="35"/>
  <c r="N180" i="35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L180" i="35"/>
  <c r="M180" i="35" s="1"/>
  <c r="F180" i="35"/>
  <c r="G180" i="35" s="1"/>
  <c r="H180" i="35" s="1"/>
  <c r="I180" i="35" s="1"/>
  <c r="J180" i="35" s="1"/>
  <c r="K180" i="35" s="1"/>
  <c r="E180" i="35"/>
  <c r="D180" i="35"/>
  <c r="R179" i="35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B179" i="35" s="1"/>
  <c r="P179" i="35"/>
  <c r="Q179" i="35" s="1"/>
  <c r="D179" i="35"/>
  <c r="E179" i="35" s="1"/>
  <c r="F179" i="35" s="1"/>
  <c r="G179" i="35" s="1"/>
  <c r="H179" i="35" s="1"/>
  <c r="I179" i="35" s="1"/>
  <c r="J179" i="35" s="1"/>
  <c r="K179" i="35" s="1"/>
  <c r="L179" i="35" s="1"/>
  <c r="M179" i="35" s="1"/>
  <c r="N179" i="35" s="1"/>
  <c r="O179" i="35" s="1"/>
  <c r="U178" i="35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B178" i="35" s="1"/>
  <c r="I178" i="35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T178" i="35" s="1"/>
  <c r="D178" i="35"/>
  <c r="E178" i="35" s="1"/>
  <c r="F178" i="35" s="1"/>
  <c r="G178" i="35" s="1"/>
  <c r="H178" i="35" s="1"/>
  <c r="L176" i="35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B176" i="35" s="1"/>
  <c r="I176" i="35"/>
  <c r="J176" i="35" s="1"/>
  <c r="K176" i="35" s="1"/>
  <c r="G176" i="35"/>
  <c r="H176" i="35" s="1"/>
  <c r="D176" i="35"/>
  <c r="E176" i="35" s="1"/>
  <c r="F176" i="35" s="1"/>
  <c r="I175" i="35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G175" i="35"/>
  <c r="H175" i="35" s="1"/>
  <c r="E175" i="35"/>
  <c r="F175" i="35" s="1"/>
  <c r="D175" i="35"/>
  <c r="T174" i="35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N174" i="35"/>
  <c r="O174" i="35" s="1"/>
  <c r="P174" i="35" s="1"/>
  <c r="Q174" i="35" s="1"/>
  <c r="R174" i="35" s="1"/>
  <c r="S174" i="35" s="1"/>
  <c r="K174" i="35"/>
  <c r="L174" i="35" s="1"/>
  <c r="M174" i="35" s="1"/>
  <c r="E174" i="35"/>
  <c r="F174" i="35" s="1"/>
  <c r="G174" i="35" s="1"/>
  <c r="H174" i="35" s="1"/>
  <c r="I174" i="35" s="1"/>
  <c r="J174" i="35" s="1"/>
  <c r="D174" i="35"/>
  <c r="G173" i="35"/>
  <c r="H173" i="35" s="1"/>
  <c r="I173" i="35" s="1"/>
  <c r="J173" i="35" s="1"/>
  <c r="K173" i="35" s="1"/>
  <c r="L173" i="35" s="1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B173" i="35" s="1"/>
  <c r="D173" i="35"/>
  <c r="E173" i="35" s="1"/>
  <c r="F173" i="35" s="1"/>
  <c r="L172" i="35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G172" i="35"/>
  <c r="H172" i="35" s="1"/>
  <c r="I172" i="35" s="1"/>
  <c r="J172" i="35" s="1"/>
  <c r="K172" i="35" s="1"/>
  <c r="E172" i="35"/>
  <c r="F172" i="35" s="1"/>
  <c r="D172" i="35"/>
  <c r="B172" i="35"/>
  <c r="I171" i="35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E171" i="35"/>
  <c r="F171" i="35" s="1"/>
  <c r="G171" i="35" s="1"/>
  <c r="H171" i="35" s="1"/>
  <c r="D171" i="35"/>
  <c r="L170" i="35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B170" i="35" s="1"/>
  <c r="D170" i="35"/>
  <c r="E170" i="35" s="1"/>
  <c r="F170" i="35" s="1"/>
  <c r="G170" i="35" s="1"/>
  <c r="H170" i="35" s="1"/>
  <c r="I170" i="35" s="1"/>
  <c r="J170" i="35" s="1"/>
  <c r="K170" i="35" s="1"/>
  <c r="W169" i="35"/>
  <c r="X169" i="35" s="1"/>
  <c r="Y169" i="35" s="1"/>
  <c r="Z169" i="35" s="1"/>
  <c r="AA169" i="35" s="1"/>
  <c r="AB169" i="35" s="1"/>
  <c r="AC169" i="35" s="1"/>
  <c r="AD169" i="35" s="1"/>
  <c r="AE169" i="35" s="1"/>
  <c r="AF169" i="35" s="1"/>
  <c r="B169" i="35" s="1"/>
  <c r="F169" i="35"/>
  <c r="G169" i="35" s="1"/>
  <c r="H169" i="35" s="1"/>
  <c r="I169" i="35" s="1"/>
  <c r="J169" i="35" s="1"/>
  <c r="K169" i="35" s="1"/>
  <c r="L169" i="35" s="1"/>
  <c r="M169" i="35" s="1"/>
  <c r="N169" i="35" s="1"/>
  <c r="O169" i="35" s="1"/>
  <c r="P169" i="35" s="1"/>
  <c r="Q169" i="35" s="1"/>
  <c r="R169" i="35" s="1"/>
  <c r="S169" i="35" s="1"/>
  <c r="T169" i="35" s="1"/>
  <c r="U169" i="35" s="1"/>
  <c r="V169" i="35" s="1"/>
  <c r="E169" i="35"/>
  <c r="D169" i="35"/>
  <c r="L167" i="35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B167" i="35" s="1"/>
  <c r="E167" i="35"/>
  <c r="F167" i="35" s="1"/>
  <c r="G167" i="35" s="1"/>
  <c r="H167" i="35" s="1"/>
  <c r="I167" i="35" s="1"/>
  <c r="J167" i="35" s="1"/>
  <c r="K167" i="35" s="1"/>
  <c r="D167" i="35"/>
  <c r="U166" i="35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G166" i="35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F166" i="35"/>
  <c r="E166" i="35"/>
  <c r="D166" i="35"/>
  <c r="E165" i="35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D165" i="35"/>
  <c r="I164" i="35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G164" i="35"/>
  <c r="H164" i="35" s="1"/>
  <c r="E164" i="35"/>
  <c r="F164" i="35" s="1"/>
  <c r="D164" i="35"/>
  <c r="H163" i="35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E163" i="35"/>
  <c r="F163" i="35" s="1"/>
  <c r="G163" i="35" s="1"/>
  <c r="D163" i="35"/>
  <c r="J162" i="35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H162" i="35"/>
  <c r="I162" i="35" s="1"/>
  <c r="G162" i="35"/>
  <c r="E162" i="35"/>
  <c r="F162" i="35" s="1"/>
  <c r="D162" i="35"/>
  <c r="E161" i="35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B161" i="35" s="1"/>
  <c r="D161" i="35"/>
  <c r="G160" i="35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B160" i="35" s="1"/>
  <c r="F160" i="35"/>
  <c r="E160" i="35"/>
  <c r="D160" i="35"/>
  <c r="H159" i="35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D159" i="35"/>
  <c r="E159" i="35" s="1"/>
  <c r="F159" i="35" s="1"/>
  <c r="G159" i="35" s="1"/>
  <c r="G158" i="35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F158" i="35"/>
  <c r="E158" i="35"/>
  <c r="D158" i="35"/>
  <c r="I157" i="35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F157" i="35"/>
  <c r="G157" i="35" s="1"/>
  <c r="H157" i="35" s="1"/>
  <c r="E157" i="35"/>
  <c r="D157" i="35"/>
  <c r="J156" i="35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D156" i="35"/>
  <c r="E156" i="35" s="1"/>
  <c r="F156" i="35" s="1"/>
  <c r="G156" i="35" s="1"/>
  <c r="H156" i="35" s="1"/>
  <c r="I156" i="35" s="1"/>
  <c r="I155" i="35"/>
  <c r="J155" i="35" s="1"/>
  <c r="K155" i="35" s="1"/>
  <c r="L155" i="35" s="1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B155" i="35" s="1"/>
  <c r="G155" i="35"/>
  <c r="H155" i="35" s="1"/>
  <c r="E155" i="35"/>
  <c r="F155" i="35" s="1"/>
  <c r="D155" i="35"/>
  <c r="G153" i="35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F153" i="35"/>
  <c r="E153" i="35"/>
  <c r="D153" i="35"/>
  <c r="F152" i="35"/>
  <c r="G152" i="35" s="1"/>
  <c r="H152" i="35" s="1"/>
  <c r="I152" i="35" s="1"/>
  <c r="J152" i="35" s="1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D152" i="35"/>
  <c r="E152" i="35" s="1"/>
  <c r="G151" i="35"/>
  <c r="H151" i="35" s="1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B151" i="35" s="1"/>
  <c r="D151" i="35"/>
  <c r="E151" i="35" s="1"/>
  <c r="F151" i="35" s="1"/>
  <c r="J150" i="35"/>
  <c r="K150" i="35" s="1"/>
  <c r="L150" i="35" s="1"/>
  <c r="M150" i="35" s="1"/>
  <c r="N150" i="35" s="1"/>
  <c r="O150" i="35" s="1"/>
  <c r="P150" i="35" s="1"/>
  <c r="Q150" i="35" s="1"/>
  <c r="R150" i="35" s="1"/>
  <c r="S150" i="35" s="1"/>
  <c r="T150" i="35" s="1"/>
  <c r="U150" i="35" s="1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B150" i="35" s="1"/>
  <c r="D150" i="35"/>
  <c r="E150" i="35" s="1"/>
  <c r="F150" i="35" s="1"/>
  <c r="G150" i="35" s="1"/>
  <c r="H150" i="35" s="1"/>
  <c r="I150" i="35" s="1"/>
  <c r="I148" i="35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B148" i="35" s="1"/>
  <c r="E148" i="35"/>
  <c r="F148" i="35" s="1"/>
  <c r="G148" i="35" s="1"/>
  <c r="H148" i="35" s="1"/>
  <c r="D148" i="35"/>
  <c r="D147" i="35"/>
  <c r="E147" i="35" s="1"/>
  <c r="F147" i="35" s="1"/>
  <c r="G147" i="35" s="1"/>
  <c r="H147" i="35" s="1"/>
  <c r="I147" i="35" s="1"/>
  <c r="J147" i="35" s="1"/>
  <c r="K147" i="35" s="1"/>
  <c r="L147" i="35" s="1"/>
  <c r="M147" i="35" s="1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X147" i="35" s="1"/>
  <c r="Y147" i="35" s="1"/>
  <c r="Z147" i="35" s="1"/>
  <c r="AA147" i="35" s="1"/>
  <c r="AB147" i="35" s="1"/>
  <c r="AC147" i="35" s="1"/>
  <c r="AD147" i="35" s="1"/>
  <c r="AE147" i="35" s="1"/>
  <c r="AF147" i="35" s="1"/>
  <c r="B147" i="35" s="1"/>
  <c r="E145" i="35"/>
  <c r="F145" i="35" s="1"/>
  <c r="G145" i="35" s="1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T145" i="35" s="1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D145" i="35"/>
  <c r="H144" i="35"/>
  <c r="I144" i="35" s="1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B144" i="35" s="1"/>
  <c r="F144" i="35"/>
  <c r="G144" i="35" s="1"/>
  <c r="D144" i="35"/>
  <c r="E144" i="35" s="1"/>
  <c r="D143" i="35"/>
  <c r="E143" i="35" s="1"/>
  <c r="F143" i="35" s="1"/>
  <c r="G143" i="35" s="1"/>
  <c r="H143" i="35" s="1"/>
  <c r="I143" i="35" s="1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G142" i="35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D142" i="35"/>
  <c r="E142" i="35" s="1"/>
  <c r="F142" i="35" s="1"/>
  <c r="J141" i="35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G141" i="35"/>
  <c r="H141" i="35" s="1"/>
  <c r="I141" i="35" s="1"/>
  <c r="E141" i="35"/>
  <c r="F141" i="35" s="1"/>
  <c r="D141" i="35"/>
  <c r="G140" i="35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D140" i="35"/>
  <c r="E140" i="35" s="1"/>
  <c r="F140" i="35" s="1"/>
  <c r="E139" i="35"/>
  <c r="F139" i="35" s="1"/>
  <c r="G139" i="35" s="1"/>
  <c r="H139" i="35" s="1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B139" i="35" s="1"/>
  <c r="D139" i="35"/>
  <c r="Q137" i="35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B137" i="35" s="1"/>
  <c r="I137" i="35"/>
  <c r="J137" i="35" s="1"/>
  <c r="K137" i="35" s="1"/>
  <c r="L137" i="35" s="1"/>
  <c r="M137" i="35" s="1"/>
  <c r="N137" i="35" s="1"/>
  <c r="O137" i="35" s="1"/>
  <c r="P137" i="35" s="1"/>
  <c r="G137" i="35"/>
  <c r="H137" i="35" s="1"/>
  <c r="D137" i="35"/>
  <c r="E137" i="35" s="1"/>
  <c r="F137" i="35" s="1"/>
  <c r="G136" i="35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B136" i="35" s="1"/>
  <c r="E136" i="35"/>
  <c r="F136" i="35" s="1"/>
  <c r="D136" i="35"/>
  <c r="F135" i="35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D135" i="35"/>
  <c r="E135" i="35" s="1"/>
  <c r="J134" i="35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E134" i="35"/>
  <c r="F134" i="35" s="1"/>
  <c r="G134" i="35" s="1"/>
  <c r="H134" i="35" s="1"/>
  <c r="I134" i="35" s="1"/>
  <c r="D134" i="35"/>
  <c r="G133" i="35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D133" i="35"/>
  <c r="E133" i="35" s="1"/>
  <c r="F133" i="35" s="1"/>
  <c r="Q132" i="35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L132" i="35"/>
  <c r="M132" i="35" s="1"/>
  <c r="N132" i="35" s="1"/>
  <c r="O132" i="35" s="1"/>
  <c r="P132" i="35" s="1"/>
  <c r="J132" i="35"/>
  <c r="K132" i="35" s="1"/>
  <c r="E132" i="35"/>
  <c r="F132" i="35" s="1"/>
  <c r="G132" i="35" s="1"/>
  <c r="H132" i="35" s="1"/>
  <c r="I132" i="35" s="1"/>
  <c r="D132" i="35"/>
  <c r="E131" i="35"/>
  <c r="F131" i="35" s="1"/>
  <c r="G131" i="35" s="1"/>
  <c r="H131" i="35" s="1"/>
  <c r="I131" i="35" s="1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B131" i="35" s="1"/>
  <c r="D131" i="35"/>
  <c r="E130" i="35"/>
  <c r="F130" i="35" s="1"/>
  <c r="G130" i="35" s="1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B130" i="35" s="1"/>
  <c r="D130" i="35"/>
  <c r="G128" i="35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D128" i="35"/>
  <c r="E128" i="35" s="1"/>
  <c r="F128" i="35" s="1"/>
  <c r="F127" i="35"/>
  <c r="G127" i="35" s="1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B127" i="35" s="1"/>
  <c r="D127" i="35"/>
  <c r="E127" i="35" s="1"/>
  <c r="K126" i="35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B126" i="35" s="1"/>
  <c r="J126" i="35"/>
  <c r="D126" i="35"/>
  <c r="E126" i="35" s="1"/>
  <c r="F126" i="35" s="1"/>
  <c r="G126" i="35" s="1"/>
  <c r="H126" i="35" s="1"/>
  <c r="I126" i="35" s="1"/>
  <c r="X125" i="35"/>
  <c r="Y125" i="35" s="1"/>
  <c r="Z125" i="35" s="1"/>
  <c r="AA125" i="35" s="1"/>
  <c r="AB125" i="35" s="1"/>
  <c r="AC125" i="35" s="1"/>
  <c r="AD125" i="35" s="1"/>
  <c r="AE125" i="35" s="1"/>
  <c r="AF125" i="35" s="1"/>
  <c r="B125" i="35" s="1"/>
  <c r="E125" i="35"/>
  <c r="F125" i="35" s="1"/>
  <c r="G125" i="35" s="1"/>
  <c r="H125" i="35" s="1"/>
  <c r="I125" i="35" s="1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D125" i="35"/>
  <c r="G124" i="35"/>
  <c r="H124" i="35" s="1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D124" i="35"/>
  <c r="E124" i="35" s="1"/>
  <c r="F124" i="35" s="1"/>
  <c r="E123" i="35"/>
  <c r="F123" i="35" s="1"/>
  <c r="G123" i="35" s="1"/>
  <c r="H123" i="35" s="1"/>
  <c r="I123" i="35" s="1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B123" i="35" s="1"/>
  <c r="D123" i="35"/>
  <c r="D122" i="35"/>
  <c r="E122" i="35" s="1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H121" i="35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D121" i="35"/>
  <c r="E121" i="35" s="1"/>
  <c r="F121" i="35" s="1"/>
  <c r="G121" i="35" s="1"/>
  <c r="L120" i="35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K120" i="35"/>
  <c r="G120" i="35"/>
  <c r="H120" i="35" s="1"/>
  <c r="I120" i="35" s="1"/>
  <c r="J120" i="35" s="1"/>
  <c r="F120" i="35"/>
  <c r="D120" i="35"/>
  <c r="E120" i="35" s="1"/>
  <c r="D119" i="35"/>
  <c r="E119" i="35" s="1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B119" i="35" s="1"/>
  <c r="F118" i="35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B118" i="35" s="1"/>
  <c r="D118" i="35"/>
  <c r="E118" i="35" s="1"/>
  <c r="E117" i="35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D117" i="35"/>
  <c r="S116" i="35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D116" i="35"/>
  <c r="E116" i="35" s="1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Q115" i="35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H115" i="35"/>
  <c r="I115" i="35" s="1"/>
  <c r="J115" i="35" s="1"/>
  <c r="K115" i="35" s="1"/>
  <c r="L115" i="35" s="1"/>
  <c r="M115" i="35" s="1"/>
  <c r="N115" i="35" s="1"/>
  <c r="O115" i="35" s="1"/>
  <c r="P115" i="35" s="1"/>
  <c r="D115" i="35"/>
  <c r="E115" i="35" s="1"/>
  <c r="F115" i="35" s="1"/>
  <c r="G115" i="35" s="1"/>
  <c r="D114" i="35"/>
  <c r="E114" i="35" s="1"/>
  <c r="F114" i="35" s="1"/>
  <c r="G114" i="35" s="1"/>
  <c r="H114" i="35" s="1"/>
  <c r="I114" i="35" s="1"/>
  <c r="J114" i="35" s="1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M113" i="35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L113" i="35"/>
  <c r="K113" i="35"/>
  <c r="E113" i="35"/>
  <c r="F113" i="35" s="1"/>
  <c r="G113" i="35" s="1"/>
  <c r="H113" i="35" s="1"/>
  <c r="I113" i="35" s="1"/>
  <c r="D113" i="35"/>
  <c r="E112" i="35"/>
  <c r="F112" i="35" s="1"/>
  <c r="G112" i="35" s="1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G111" i="35"/>
  <c r="H111" i="35" s="1"/>
  <c r="I111" i="35" s="1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B111" i="35" s="1"/>
  <c r="E111" i="35"/>
  <c r="F111" i="35" s="1"/>
  <c r="D111" i="35"/>
  <c r="M109" i="35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B109" i="35" s="1"/>
  <c r="E109" i="35"/>
  <c r="F109" i="35" s="1"/>
  <c r="G109" i="35" s="1"/>
  <c r="H109" i="35" s="1"/>
  <c r="I109" i="35" s="1"/>
  <c r="J109" i="35" s="1"/>
  <c r="K109" i="35" s="1"/>
  <c r="L109" i="35" s="1"/>
  <c r="D109" i="35"/>
  <c r="S108" i="35"/>
  <c r="T108" i="35" s="1"/>
  <c r="U108" i="35" s="1"/>
  <c r="V108" i="35" s="1"/>
  <c r="W108" i="35" s="1"/>
  <c r="X108" i="35" s="1"/>
  <c r="Y108" i="35" s="1"/>
  <c r="Z108" i="35" s="1"/>
  <c r="AA108" i="35" s="1"/>
  <c r="AB108" i="35" s="1"/>
  <c r="AC108" i="35" s="1"/>
  <c r="AD108" i="35" s="1"/>
  <c r="AE108" i="35" s="1"/>
  <c r="AF108" i="35" s="1"/>
  <c r="B108" i="35" s="1"/>
  <c r="E108" i="35"/>
  <c r="F108" i="35" s="1"/>
  <c r="G108" i="35" s="1"/>
  <c r="H108" i="35" s="1"/>
  <c r="I108" i="35" s="1"/>
  <c r="J108" i="35" s="1"/>
  <c r="K108" i="35" s="1"/>
  <c r="L108" i="35" s="1"/>
  <c r="M108" i="35" s="1"/>
  <c r="N108" i="35" s="1"/>
  <c r="O108" i="35" s="1"/>
  <c r="P108" i="35" s="1"/>
  <c r="Q108" i="35" s="1"/>
  <c r="R108" i="35" s="1"/>
  <c r="D108" i="35"/>
  <c r="J106" i="35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G106" i="35"/>
  <c r="H106" i="35" s="1"/>
  <c r="I106" i="35" s="1"/>
  <c r="E106" i="35"/>
  <c r="F106" i="35" s="1"/>
  <c r="D106" i="35"/>
  <c r="E105" i="35"/>
  <c r="F105" i="35" s="1"/>
  <c r="G105" i="35" s="1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D105" i="35"/>
  <c r="V104" i="35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I104" i="35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F104" i="35"/>
  <c r="G104" i="35" s="1"/>
  <c r="H104" i="35" s="1"/>
  <c r="E104" i="35"/>
  <c r="D104" i="35"/>
  <c r="O103" i="35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B103" i="35" s="1"/>
  <c r="D103" i="35"/>
  <c r="E103" i="35" s="1"/>
  <c r="F103" i="35" s="1"/>
  <c r="G103" i="35" s="1"/>
  <c r="H103" i="35" s="1"/>
  <c r="I103" i="35" s="1"/>
  <c r="J103" i="35" s="1"/>
  <c r="K103" i="35" s="1"/>
  <c r="L103" i="35" s="1"/>
  <c r="M103" i="35" s="1"/>
  <c r="N103" i="35" s="1"/>
  <c r="G102" i="35"/>
  <c r="E102" i="35"/>
  <c r="F102" i="35" s="1"/>
  <c r="D102" i="35"/>
  <c r="E101" i="35"/>
  <c r="D101" i="35"/>
  <c r="AH98" i="35"/>
  <c r="AI98" i="35" s="1"/>
  <c r="AH97" i="35"/>
  <c r="AI97" i="35" s="1"/>
  <c r="AH96" i="35"/>
  <c r="AI96" i="35" s="1"/>
  <c r="AH95" i="35"/>
  <c r="AI95" i="35" s="1"/>
  <c r="AH94" i="35"/>
  <c r="AI94" i="35" s="1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G82" i="35"/>
  <c r="AE82" i="35"/>
  <c r="AI81" i="35"/>
  <c r="AH81" i="35"/>
  <c r="AF80" i="35"/>
  <c r="AE80" i="35"/>
  <c r="AD80" i="35"/>
  <c r="AC80" i="35"/>
  <c r="AB80" i="35"/>
  <c r="AA80" i="35"/>
  <c r="Z80" i="35"/>
  <c r="Y80" i="35"/>
  <c r="Y82" i="35" s="1"/>
  <c r="X80" i="35"/>
  <c r="W80" i="35"/>
  <c r="W82" i="35" s="1"/>
  <c r="V80" i="35"/>
  <c r="U80" i="35"/>
  <c r="T80" i="35"/>
  <c r="S80" i="35"/>
  <c r="R80" i="35"/>
  <c r="Q80" i="35"/>
  <c r="Q82" i="35" s="1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B80" i="35"/>
  <c r="AF79" i="35"/>
  <c r="AE79" i="35"/>
  <c r="AD79" i="35"/>
  <c r="AC79" i="35"/>
  <c r="AB79" i="35"/>
  <c r="AA79" i="35"/>
  <c r="Z79" i="35"/>
  <c r="Y79" i="35"/>
  <c r="X79" i="35"/>
  <c r="W79" i="35"/>
  <c r="V79" i="35"/>
  <c r="U79" i="35"/>
  <c r="T79" i="35"/>
  <c r="S79" i="35"/>
  <c r="R79" i="35"/>
  <c r="Q79" i="35"/>
  <c r="P79" i="35"/>
  <c r="O79" i="35"/>
  <c r="N79" i="35"/>
  <c r="M79" i="35"/>
  <c r="L79" i="35"/>
  <c r="K79" i="35"/>
  <c r="J79" i="35"/>
  <c r="I79" i="35"/>
  <c r="H79" i="35"/>
  <c r="G79" i="35"/>
  <c r="F79" i="35"/>
  <c r="E79" i="35"/>
  <c r="D79" i="35"/>
  <c r="C79" i="35"/>
  <c r="B79" i="35"/>
  <c r="AF78" i="35"/>
  <c r="AE78" i="35"/>
  <c r="AD78" i="35"/>
  <c r="AC78" i="35"/>
  <c r="AB78" i="35"/>
  <c r="AA78" i="35"/>
  <c r="Z78" i="35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8" i="35"/>
  <c r="C78" i="35"/>
  <c r="B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AF76" i="35"/>
  <c r="AF82" i="35" s="1"/>
  <c r="AE76" i="35"/>
  <c r="AD76" i="35"/>
  <c r="AC76" i="35"/>
  <c r="AB76" i="35"/>
  <c r="AA76" i="35"/>
  <c r="Z76" i="35"/>
  <c r="Y76" i="35"/>
  <c r="X76" i="35"/>
  <c r="W76" i="35"/>
  <c r="V76" i="35"/>
  <c r="U76" i="35"/>
  <c r="U82" i="35" s="1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AI74" i="35"/>
  <c r="AH74" i="35"/>
  <c r="AG72" i="35"/>
  <c r="AF72" i="35"/>
  <c r="AE72" i="35"/>
  <c r="AD72" i="35"/>
  <c r="AC72" i="35"/>
  <c r="AB72" i="35"/>
  <c r="AA72" i="35"/>
  <c r="Z72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AI71" i="35"/>
  <c r="AH71" i="35"/>
  <c r="AI70" i="35"/>
  <c r="AH70" i="35"/>
  <c r="AI69" i="35"/>
  <c r="AH69" i="35"/>
  <c r="AG68" i="35"/>
  <c r="AG73" i="35" s="1"/>
  <c r="AG83" i="35" s="1"/>
  <c r="AF68" i="35"/>
  <c r="AE5" i="35" s="1"/>
  <c r="AE68" i="35"/>
  <c r="AD68" i="35"/>
  <c r="AC68" i="35"/>
  <c r="AB5" i="35" s="1"/>
  <c r="AB68" i="35"/>
  <c r="AA68" i="35"/>
  <c r="Z5" i="35" s="1"/>
  <c r="Z68" i="35"/>
  <c r="Y5" i="35" s="1"/>
  <c r="Y68" i="35"/>
  <c r="X68" i="35"/>
  <c r="W5" i="35" s="1"/>
  <c r="W68" i="35"/>
  <c r="V68" i="35"/>
  <c r="U68" i="35"/>
  <c r="T68" i="35"/>
  <c r="S5" i="35" s="1"/>
  <c r="S68" i="35"/>
  <c r="R68" i="35"/>
  <c r="Q68" i="35"/>
  <c r="P5" i="35" s="1"/>
  <c r="P68" i="35"/>
  <c r="O68" i="35"/>
  <c r="N68" i="35"/>
  <c r="M68" i="35"/>
  <c r="L5" i="35" s="1"/>
  <c r="L68" i="35"/>
  <c r="K5" i="35" s="1"/>
  <c r="K68" i="35"/>
  <c r="J5" i="35" s="1"/>
  <c r="J68" i="35"/>
  <c r="I5" i="35" s="1"/>
  <c r="I68" i="35"/>
  <c r="H68" i="35"/>
  <c r="G5" i="35" s="1"/>
  <c r="G68" i="35"/>
  <c r="F68" i="35"/>
  <c r="E5" i="35" s="1"/>
  <c r="E68" i="35"/>
  <c r="D68" i="35"/>
  <c r="C5" i="35" s="1"/>
  <c r="C68" i="35"/>
  <c r="B5" i="35" s="1"/>
  <c r="B68" i="35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AI55" i="35"/>
  <c r="AH55" i="35"/>
  <c r="AI54" i="35"/>
  <c r="AH54" i="35"/>
  <c r="AI53" i="35"/>
  <c r="AH53" i="35"/>
  <c r="Z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AG51" i="35"/>
  <c r="AG52" i="35" s="1"/>
  <c r="AG75" i="35" s="1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G2" i="35" s="1"/>
  <c r="AG6" i="35" s="1"/>
  <c r="AF38" i="35"/>
  <c r="AE38" i="35"/>
  <c r="AD38" i="35"/>
  <c r="AC38" i="35"/>
  <c r="AB38" i="35"/>
  <c r="AA38" i="35"/>
  <c r="Z75" i="35"/>
  <c r="Y38" i="35"/>
  <c r="X38" i="35"/>
  <c r="W38" i="35"/>
  <c r="V38" i="35"/>
  <c r="U38" i="35"/>
  <c r="T38" i="35"/>
  <c r="S38" i="35"/>
  <c r="S73" i="35" s="1"/>
  <c r="R38" i="35"/>
  <c r="Q38" i="35"/>
  <c r="Q75" i="35" s="1"/>
  <c r="AI213" i="35" s="1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B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C5" i="35"/>
  <c r="X5" i="35"/>
  <c r="U5" i="35"/>
  <c r="T5" i="35"/>
  <c r="R5" i="35"/>
  <c r="M5" i="35"/>
  <c r="H5" i="35"/>
  <c r="D5" i="35"/>
  <c r="AG4" i="35"/>
  <c r="K4" i="35"/>
  <c r="B4" i="35"/>
  <c r="AG3" i="35"/>
  <c r="AD95" i="34"/>
  <c r="AC95" i="34"/>
  <c r="AB95" i="34"/>
  <c r="P95" i="34"/>
  <c r="P37" i="34"/>
  <c r="E4" i="35"/>
  <c r="AD82" i="35" l="1"/>
  <c r="AC82" i="35"/>
  <c r="AB82" i="35"/>
  <c r="AA82" i="35"/>
  <c r="AR213" i="35"/>
  <c r="Z7" i="35"/>
  <c r="X82" i="35"/>
  <c r="V82" i="35"/>
  <c r="T82" i="35"/>
  <c r="T73" i="35"/>
  <c r="S82" i="35"/>
  <c r="S75" i="35"/>
  <c r="Q73" i="35"/>
  <c r="Q83" i="35" s="1"/>
  <c r="P82" i="35"/>
  <c r="O82" i="35"/>
  <c r="N82" i="35"/>
  <c r="M82" i="35"/>
  <c r="M73" i="35"/>
  <c r="L82" i="35"/>
  <c r="L73" i="35"/>
  <c r="K82" i="35"/>
  <c r="K73" i="35"/>
  <c r="K75" i="35"/>
  <c r="J73" i="35"/>
  <c r="I82" i="35"/>
  <c r="I75" i="35"/>
  <c r="I73" i="35"/>
  <c r="I83" i="35" s="1"/>
  <c r="H82" i="35"/>
  <c r="G82" i="35"/>
  <c r="F82" i="35"/>
  <c r="E82" i="35"/>
  <c r="AI80" i="35"/>
  <c r="E73" i="35"/>
  <c r="AH79" i="35"/>
  <c r="D82" i="35"/>
  <c r="D75" i="35"/>
  <c r="D7" i="35" s="1"/>
  <c r="AI77" i="35"/>
  <c r="C73" i="35"/>
  <c r="C75" i="35" s="1"/>
  <c r="AH77" i="35"/>
  <c r="AH80" i="35"/>
  <c r="H4" i="35"/>
  <c r="R73" i="35"/>
  <c r="S83" i="35"/>
  <c r="AH78" i="35"/>
  <c r="AI78" i="35"/>
  <c r="Z82" i="35"/>
  <c r="B82" i="35"/>
  <c r="AH76" i="35"/>
  <c r="AI76" i="35"/>
  <c r="J82" i="35"/>
  <c r="R82" i="35"/>
  <c r="H102" i="35"/>
  <c r="AA213" i="35"/>
  <c r="I7" i="35"/>
  <c r="F73" i="35"/>
  <c r="H75" i="35"/>
  <c r="P75" i="35"/>
  <c r="G73" i="35"/>
  <c r="F5" i="35"/>
  <c r="G75" i="35"/>
  <c r="O73" i="35"/>
  <c r="N5" i="35"/>
  <c r="AD5" i="35"/>
  <c r="V5" i="35"/>
  <c r="E93" i="35"/>
  <c r="F75" i="35"/>
  <c r="N73" i="35"/>
  <c r="P73" i="35"/>
  <c r="H73" i="35"/>
  <c r="O75" i="35"/>
  <c r="AI79" i="35"/>
  <c r="S210" i="35"/>
  <c r="D210" i="35"/>
  <c r="AI72" i="35"/>
  <c r="O5" i="35"/>
  <c r="AI68" i="35"/>
  <c r="AH68" i="35"/>
  <c r="R75" i="35"/>
  <c r="E191" i="35"/>
  <c r="F101" i="35"/>
  <c r="AF5" i="35"/>
  <c r="AH38" i="35"/>
  <c r="AI38" i="35"/>
  <c r="AI56" i="35"/>
  <c r="AH56" i="35"/>
  <c r="T75" i="35"/>
  <c r="T83" i="35" s="1"/>
  <c r="C82" i="35"/>
  <c r="Q5" i="35"/>
  <c r="E75" i="35"/>
  <c r="M75" i="35"/>
  <c r="D73" i="35"/>
  <c r="Z73" i="35"/>
  <c r="J75" i="35"/>
  <c r="L75" i="35"/>
  <c r="AH72" i="35"/>
  <c r="AA5" i="35"/>
  <c r="Q7" i="35"/>
  <c r="N75" i="35"/>
  <c r="D93" i="35"/>
  <c r="D191" i="35"/>
  <c r="E199" i="35"/>
  <c r="F194" i="35"/>
  <c r="G194" i="35" s="1"/>
  <c r="H194" i="35" s="1"/>
  <c r="I194" i="35" s="1"/>
  <c r="J194" i="35" s="1"/>
  <c r="K194" i="35" s="1"/>
  <c r="L194" i="35" s="1"/>
  <c r="M194" i="35" s="1"/>
  <c r="N194" i="35" s="1"/>
  <c r="O194" i="35" s="1"/>
  <c r="P194" i="35" s="1"/>
  <c r="Q194" i="35" s="1"/>
  <c r="R194" i="35" s="1"/>
  <c r="S194" i="35" s="1"/>
  <c r="T194" i="35" s="1"/>
  <c r="U194" i="35" s="1"/>
  <c r="V194" i="35" s="1"/>
  <c r="W194" i="35" s="1"/>
  <c r="X194" i="35" s="1"/>
  <c r="Y194" i="35" s="1"/>
  <c r="Z194" i="35" s="1"/>
  <c r="AA194" i="35" s="1"/>
  <c r="AB194" i="35" s="1"/>
  <c r="AC194" i="35" s="1"/>
  <c r="AD194" i="35" s="1"/>
  <c r="AE194" i="35" s="1"/>
  <c r="AF194" i="35" s="1"/>
  <c r="B194" i="35" s="1"/>
  <c r="C234" i="35"/>
  <c r="E198" i="35"/>
  <c r="I193" i="35"/>
  <c r="N37" i="34"/>
  <c r="M37" i="34"/>
  <c r="L37" i="34"/>
  <c r="J37" i="34"/>
  <c r="I38" i="34"/>
  <c r="H37" i="34"/>
  <c r="I37" i="34"/>
  <c r="G37" i="34"/>
  <c r="F37" i="34"/>
  <c r="E37" i="34"/>
  <c r="D37" i="34"/>
  <c r="AH99" i="34"/>
  <c r="AI99" i="34" s="1"/>
  <c r="C37" i="34"/>
  <c r="B37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B235" i="34"/>
  <c r="A235" i="34"/>
  <c r="B234" i="34"/>
  <c r="S209" i="34"/>
  <c r="AG199" i="34"/>
  <c r="C199" i="34"/>
  <c r="D198" i="34"/>
  <c r="D197" i="34"/>
  <c r="E197" i="34" s="1"/>
  <c r="F197" i="34" s="1"/>
  <c r="G197" i="34" s="1"/>
  <c r="H197" i="34" s="1"/>
  <c r="I197" i="34" s="1"/>
  <c r="J197" i="34" s="1"/>
  <c r="K197" i="34" s="1"/>
  <c r="L197" i="34" s="1"/>
  <c r="M197" i="34" s="1"/>
  <c r="N197" i="34" s="1"/>
  <c r="O197" i="34" s="1"/>
  <c r="P197" i="34" s="1"/>
  <c r="Q197" i="34" s="1"/>
  <c r="R197" i="34" s="1"/>
  <c r="S197" i="34" s="1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D196" i="34"/>
  <c r="E196" i="34" s="1"/>
  <c r="F196" i="34" s="1"/>
  <c r="G196" i="34" s="1"/>
  <c r="H196" i="34" s="1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D195" i="34"/>
  <c r="E195" i="34" s="1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D194" i="34"/>
  <c r="E194" i="34" s="1"/>
  <c r="F194" i="34" s="1"/>
  <c r="G194" i="34" s="1"/>
  <c r="H194" i="34" s="1"/>
  <c r="I194" i="34" s="1"/>
  <c r="J194" i="34" s="1"/>
  <c r="K194" i="34" s="1"/>
  <c r="L194" i="34" s="1"/>
  <c r="M194" i="34" s="1"/>
  <c r="N194" i="34" s="1"/>
  <c r="O194" i="34" s="1"/>
  <c r="P194" i="34" s="1"/>
  <c r="Q194" i="34" s="1"/>
  <c r="R194" i="34" s="1"/>
  <c r="S194" i="34" s="1"/>
  <c r="T194" i="34" s="1"/>
  <c r="U194" i="34" s="1"/>
  <c r="V194" i="34" s="1"/>
  <c r="W194" i="34" s="1"/>
  <c r="X194" i="34" s="1"/>
  <c r="Y194" i="34" s="1"/>
  <c r="Z194" i="34" s="1"/>
  <c r="AA194" i="34" s="1"/>
  <c r="AB194" i="34" s="1"/>
  <c r="AC194" i="34" s="1"/>
  <c r="AD194" i="34" s="1"/>
  <c r="AE194" i="34" s="1"/>
  <c r="AF194" i="34" s="1"/>
  <c r="B194" i="34" s="1"/>
  <c r="D193" i="34"/>
  <c r="AG191" i="34"/>
  <c r="C191" i="34"/>
  <c r="G190" i="34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B190" i="34" s="1"/>
  <c r="D190" i="34"/>
  <c r="E190" i="34" s="1"/>
  <c r="F190" i="34" s="1"/>
  <c r="E189" i="34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D189" i="34"/>
  <c r="E188" i="34"/>
  <c r="F188" i="34" s="1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B188" i="34" s="1"/>
  <c r="D188" i="34"/>
  <c r="D187" i="34"/>
  <c r="E187" i="34" s="1"/>
  <c r="F187" i="34" s="1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D186" i="34"/>
  <c r="E186" i="34" s="1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E185" i="34"/>
  <c r="F185" i="34" s="1"/>
  <c r="G185" i="34" s="1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D185" i="34"/>
  <c r="D184" i="34"/>
  <c r="E184" i="34" s="1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B184" i="34" s="1"/>
  <c r="D183" i="34"/>
  <c r="E183" i="34" s="1"/>
  <c r="F183" i="34" s="1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G182" i="34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D182" i="34"/>
  <c r="E182" i="34" s="1"/>
  <c r="F182" i="34" s="1"/>
  <c r="E181" i="34"/>
  <c r="F181" i="34" s="1"/>
  <c r="G181" i="34" s="1"/>
  <c r="H181" i="34" s="1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B181" i="34" s="1"/>
  <c r="D181" i="34"/>
  <c r="D180" i="34"/>
  <c r="E180" i="34" s="1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D179" i="34"/>
  <c r="E179" i="34" s="1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B179" i="34" s="1"/>
  <c r="D178" i="34"/>
  <c r="E178" i="34" s="1"/>
  <c r="F178" i="34" s="1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B178" i="34" s="1"/>
  <c r="D176" i="34"/>
  <c r="E176" i="34" s="1"/>
  <c r="F176" i="34" s="1"/>
  <c r="G176" i="34" s="1"/>
  <c r="H176" i="34" s="1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B176" i="34" s="1"/>
  <c r="F175" i="34"/>
  <c r="G175" i="34" s="1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B175" i="34" s="1"/>
  <c r="D175" i="34"/>
  <c r="E175" i="34" s="1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D173" i="34"/>
  <c r="E173" i="34" s="1"/>
  <c r="F173" i="34" s="1"/>
  <c r="G173" i="34" s="1"/>
  <c r="H173" i="34" s="1"/>
  <c r="I173" i="34" s="1"/>
  <c r="J173" i="34" s="1"/>
  <c r="K173" i="34" s="1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E172" i="34"/>
  <c r="F172" i="34" s="1"/>
  <c r="G172" i="34" s="1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B172" i="34" s="1"/>
  <c r="D172" i="34"/>
  <c r="D171" i="34"/>
  <c r="E171" i="34" s="1"/>
  <c r="F171" i="34" s="1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B171" i="34" s="1"/>
  <c r="D170" i="34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D169" i="34"/>
  <c r="E169" i="34" s="1"/>
  <c r="F169" i="34" s="1"/>
  <c r="G169" i="34" s="1"/>
  <c r="H169" i="34" s="1"/>
  <c r="I169" i="34" s="1"/>
  <c r="J169" i="34" s="1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B169" i="34" s="1"/>
  <c r="D167" i="34"/>
  <c r="E167" i="34" s="1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D166" i="34"/>
  <c r="E166" i="34" s="1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D165" i="34"/>
  <c r="E165" i="34" s="1"/>
  <c r="F165" i="34" s="1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B165" i="34" s="1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D163" i="34"/>
  <c r="E163" i="34" s="1"/>
  <c r="F163" i="34" s="1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D162" i="34"/>
  <c r="E162" i="34" s="1"/>
  <c r="F162" i="34" s="1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B161" i="34" s="1"/>
  <c r="E160" i="34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60" i="34"/>
  <c r="F159" i="34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B159" i="34" s="1"/>
  <c r="E159" i="34"/>
  <c r="D159" i="34"/>
  <c r="D158" i="34"/>
  <c r="E158" i="34" s="1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B158" i="34" s="1"/>
  <c r="F157" i="34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B157" i="34" s="1"/>
  <c r="D157" i="34"/>
  <c r="E157" i="34" s="1"/>
  <c r="D156" i="34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N155" i="34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B155" i="34" s="1"/>
  <c r="D155" i="34"/>
  <c r="E155" i="34" s="1"/>
  <c r="F155" i="34" s="1"/>
  <c r="G155" i="34" s="1"/>
  <c r="H155" i="34" s="1"/>
  <c r="I155" i="34" s="1"/>
  <c r="J155" i="34" s="1"/>
  <c r="K155" i="34" s="1"/>
  <c r="L155" i="34" s="1"/>
  <c r="M155" i="34" s="1"/>
  <c r="D153" i="34"/>
  <c r="E153" i="34" s="1"/>
  <c r="F153" i="34" s="1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F152" i="34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D152" i="34"/>
  <c r="E152" i="34" s="1"/>
  <c r="D151" i="34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D150" i="34"/>
  <c r="E150" i="34" s="1"/>
  <c r="F150" i="34" s="1"/>
  <c r="G150" i="34" s="1"/>
  <c r="H150" i="34" s="1"/>
  <c r="I150" i="34" s="1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B150" i="34" s="1"/>
  <c r="D148" i="34"/>
  <c r="E148" i="34" s="1"/>
  <c r="F148" i="34" s="1"/>
  <c r="G148" i="34" s="1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D147" i="34"/>
  <c r="E147" i="34" s="1"/>
  <c r="F147" i="34" s="1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B147" i="34" s="1"/>
  <c r="D145" i="34"/>
  <c r="E145" i="34" s="1"/>
  <c r="F145" i="34" s="1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B145" i="34" s="1"/>
  <c r="D144" i="34"/>
  <c r="E144" i="34" s="1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B144" i="34" s="1"/>
  <c r="G143" i="34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F143" i="34"/>
  <c r="D143" i="34"/>
  <c r="E143" i="34" s="1"/>
  <c r="D142" i="34"/>
  <c r="E142" i="34" s="1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D141" i="34"/>
  <c r="E141" i="34" s="1"/>
  <c r="F141" i="34" s="1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K140" i="34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B140" i="34" s="1"/>
  <c r="D140" i="34"/>
  <c r="E140" i="34" s="1"/>
  <c r="F140" i="34" s="1"/>
  <c r="G140" i="34" s="1"/>
  <c r="H140" i="34" s="1"/>
  <c r="I140" i="34" s="1"/>
  <c r="J140" i="34" s="1"/>
  <c r="D139" i="34"/>
  <c r="E139" i="34" s="1"/>
  <c r="F139" i="34" s="1"/>
  <c r="G139" i="34" s="1"/>
  <c r="H139" i="34" s="1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B139" i="34" s="1"/>
  <c r="D137" i="34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E136" i="34"/>
  <c r="F136" i="34" s="1"/>
  <c r="G136" i="34" s="1"/>
  <c r="H136" i="34" s="1"/>
  <c r="I136" i="34" s="1"/>
  <c r="J136" i="34" s="1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B136" i="34" s="1"/>
  <c r="D136" i="34"/>
  <c r="E135" i="34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D135" i="34"/>
  <c r="D134" i="34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D133" i="34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F132" i="34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E132" i="34"/>
  <c r="D132" i="34"/>
  <c r="D131" i="34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B131" i="34" s="1"/>
  <c r="E130" i="34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B130" i="34" s="1"/>
  <c r="D130" i="34"/>
  <c r="H128" i="34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E128" i="34"/>
  <c r="F128" i="34" s="1"/>
  <c r="G128" i="34" s="1"/>
  <c r="D128" i="34"/>
  <c r="D127" i="34"/>
  <c r="E127" i="34" s="1"/>
  <c r="F127" i="34" s="1"/>
  <c r="G127" i="34" s="1"/>
  <c r="H127" i="34" s="1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J126" i="34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D126" i="34"/>
  <c r="E126" i="34" s="1"/>
  <c r="F126" i="34" s="1"/>
  <c r="G126" i="34" s="1"/>
  <c r="H126" i="34" s="1"/>
  <c r="I126" i="34" s="1"/>
  <c r="H125" i="34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B125" i="34" s="1"/>
  <c r="E125" i="34"/>
  <c r="F125" i="34" s="1"/>
  <c r="G125" i="34" s="1"/>
  <c r="D125" i="34"/>
  <c r="D124" i="34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G123" i="34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E123" i="34" s="1"/>
  <c r="F123" i="34" s="1"/>
  <c r="D122" i="34"/>
  <c r="E122" i="34" s="1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E121" i="34"/>
  <c r="F121" i="34" s="1"/>
  <c r="G121" i="34" s="1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D121" i="34"/>
  <c r="D120" i="34"/>
  <c r="E120" i="34" s="1"/>
  <c r="F120" i="34" s="1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D119" i="34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D118" i="34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E117" i="34"/>
  <c r="F117" i="34" s="1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D117" i="34"/>
  <c r="D116" i="34"/>
  <c r="E116" i="34" s="1"/>
  <c r="F116" i="34" s="1"/>
  <c r="G116" i="34" s="1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D115" i="34"/>
  <c r="E115" i="34" s="1"/>
  <c r="F115" i="34" s="1"/>
  <c r="G115" i="34" s="1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E114" i="34"/>
  <c r="F114" i="34" s="1"/>
  <c r="G114" i="34" s="1"/>
  <c r="H114" i="34" s="1"/>
  <c r="I114" i="34" s="1"/>
  <c r="J114" i="34" s="1"/>
  <c r="K114" i="34" s="1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D114" i="34"/>
  <c r="K113" i="34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G113" i="34"/>
  <c r="H113" i="34" s="1"/>
  <c r="I113" i="34" s="1"/>
  <c r="E113" i="34"/>
  <c r="F113" i="34" s="1"/>
  <c r="D113" i="34"/>
  <c r="D112" i="34"/>
  <c r="E112" i="34" s="1"/>
  <c r="F112" i="34" s="1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D111" i="34"/>
  <c r="E111" i="34" s="1"/>
  <c r="F111" i="34" s="1"/>
  <c r="G111" i="34" s="1"/>
  <c r="H111" i="34" s="1"/>
  <c r="I111" i="34" s="1"/>
  <c r="J111" i="34" s="1"/>
  <c r="K111" i="34" s="1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B111" i="34" s="1"/>
  <c r="D109" i="34"/>
  <c r="E109" i="34" s="1"/>
  <c r="F109" i="34" s="1"/>
  <c r="G109" i="34" s="1"/>
  <c r="H109" i="34" s="1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F108" i="34"/>
  <c r="G108" i="34" s="1"/>
  <c r="H108" i="34" s="1"/>
  <c r="I108" i="34" s="1"/>
  <c r="J108" i="34" s="1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B108" i="34" s="1"/>
  <c r="D108" i="34"/>
  <c r="E108" i="34" s="1"/>
  <c r="D106" i="34"/>
  <c r="E106" i="34" s="1"/>
  <c r="F106" i="34" s="1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D105" i="34"/>
  <c r="E105" i="34" s="1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D104" i="34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D103" i="34"/>
  <c r="E103" i="34" s="1"/>
  <c r="F103" i="34" s="1"/>
  <c r="G103" i="34" s="1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B103" i="34" s="1"/>
  <c r="D102" i="34"/>
  <c r="E102" i="34" s="1"/>
  <c r="D101" i="34"/>
  <c r="E101" i="34" s="1"/>
  <c r="F101" i="34" s="1"/>
  <c r="AH98" i="34"/>
  <c r="AI98" i="34" s="1"/>
  <c r="AH97" i="34"/>
  <c r="AI97" i="34" s="1"/>
  <c r="AH96" i="34"/>
  <c r="AI96" i="34" s="1"/>
  <c r="AH95" i="34"/>
  <c r="AI95" i="34" s="1"/>
  <c r="AH94" i="34"/>
  <c r="AI94" i="34" s="1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2" i="34"/>
  <c r="AI81" i="34"/>
  <c r="AH81" i="34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S80" i="34"/>
  <c r="R80" i="34"/>
  <c r="Q80" i="34"/>
  <c r="P80" i="34"/>
  <c r="P82" i="34" s="1"/>
  <c r="O80" i="34"/>
  <c r="N80" i="34"/>
  <c r="M80" i="34"/>
  <c r="L80" i="34"/>
  <c r="K80" i="34"/>
  <c r="J80" i="34"/>
  <c r="I80" i="34"/>
  <c r="H80" i="34"/>
  <c r="G80" i="34"/>
  <c r="F80" i="34"/>
  <c r="E80" i="34"/>
  <c r="D80" i="34"/>
  <c r="C80" i="34"/>
  <c r="B80" i="34"/>
  <c r="AF79" i="34"/>
  <c r="AE79" i="34"/>
  <c r="AD79" i="34"/>
  <c r="AC79" i="34"/>
  <c r="AB79" i="34"/>
  <c r="AA79" i="34"/>
  <c r="Z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B79" i="34"/>
  <c r="AF78" i="34"/>
  <c r="AE78" i="34"/>
  <c r="AD78" i="34"/>
  <c r="AC78" i="34"/>
  <c r="AB78" i="34"/>
  <c r="AA78" i="34"/>
  <c r="Z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B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AF76" i="34"/>
  <c r="AE76" i="34"/>
  <c r="AD76" i="34"/>
  <c r="AC76" i="34"/>
  <c r="AB76" i="34"/>
  <c r="AA76" i="34"/>
  <c r="Z76" i="34"/>
  <c r="Y76" i="34"/>
  <c r="X76" i="34"/>
  <c r="W76" i="34"/>
  <c r="V76" i="34"/>
  <c r="U76" i="34"/>
  <c r="U82" i="34" s="1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AI74" i="34"/>
  <c r="AH74" i="34"/>
  <c r="AG72" i="34"/>
  <c r="AF72" i="34"/>
  <c r="AE72" i="34"/>
  <c r="AD72" i="34"/>
  <c r="AC72" i="34"/>
  <c r="AB72" i="34"/>
  <c r="AA72" i="34"/>
  <c r="Z72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AI71" i="34"/>
  <c r="AH71" i="34"/>
  <c r="AI70" i="34"/>
  <c r="AH70" i="34"/>
  <c r="AI69" i="34"/>
  <c r="AH69" i="34"/>
  <c r="AG68" i="34"/>
  <c r="AF68" i="34"/>
  <c r="AE68" i="34"/>
  <c r="AD5" i="34" s="1"/>
  <c r="AD68" i="34"/>
  <c r="AC5" i="34" s="1"/>
  <c r="AC68" i="34"/>
  <c r="AB5" i="34" s="1"/>
  <c r="AB68" i="34"/>
  <c r="AA5" i="34" s="1"/>
  <c r="AA68" i="34"/>
  <c r="Z5" i="34" s="1"/>
  <c r="Z68" i="34"/>
  <c r="Y5" i="34" s="1"/>
  <c r="Y68" i="34"/>
  <c r="X5" i="34" s="1"/>
  <c r="X68" i="34"/>
  <c r="W68" i="34"/>
  <c r="V5" i="34" s="1"/>
  <c r="V68" i="34"/>
  <c r="U5" i="34" s="1"/>
  <c r="U68" i="34"/>
  <c r="T5" i="34" s="1"/>
  <c r="T68" i="34"/>
  <c r="S68" i="34"/>
  <c r="R68" i="34"/>
  <c r="Q5" i="34" s="1"/>
  <c r="Q68" i="34"/>
  <c r="P5" i="34" s="1"/>
  <c r="P68" i="34"/>
  <c r="O5" i="34" s="1"/>
  <c r="O68" i="34"/>
  <c r="N5" i="34" s="1"/>
  <c r="N68" i="34"/>
  <c r="M5" i="34" s="1"/>
  <c r="M68" i="34"/>
  <c r="L5" i="34" s="1"/>
  <c r="L68" i="34"/>
  <c r="K5" i="34" s="1"/>
  <c r="K68" i="34"/>
  <c r="J5" i="34" s="1"/>
  <c r="J68" i="34"/>
  <c r="I5" i="34" s="1"/>
  <c r="I68" i="34"/>
  <c r="H5" i="34" s="1"/>
  <c r="H68" i="34"/>
  <c r="G5" i="34" s="1"/>
  <c r="G68" i="34"/>
  <c r="F5" i="34" s="1"/>
  <c r="F68" i="34"/>
  <c r="E5" i="34" s="1"/>
  <c r="E68" i="34"/>
  <c r="D68" i="34"/>
  <c r="C68" i="34"/>
  <c r="B5" i="34" s="1"/>
  <c r="B68" i="34"/>
  <c r="AF5" i="34" s="1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AI55" i="34"/>
  <c r="AH55" i="34"/>
  <c r="AI54" i="34"/>
  <c r="AH54" i="34"/>
  <c r="AI53" i="34"/>
  <c r="AH53" i="34"/>
  <c r="Z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G51" i="34"/>
  <c r="AG52" i="34" s="1"/>
  <c r="AG75" i="34" s="1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H38" i="34"/>
  <c r="G38" i="34"/>
  <c r="F38" i="34"/>
  <c r="E38" i="34"/>
  <c r="D38" i="34"/>
  <c r="C38" i="34"/>
  <c r="B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E5" i="34"/>
  <c r="W5" i="34"/>
  <c r="R5" i="34"/>
  <c r="AG4" i="34"/>
  <c r="K4" i="34"/>
  <c r="B4" i="34"/>
  <c r="AG2" i="34"/>
  <c r="AF37" i="33"/>
  <c r="AE37" i="33"/>
  <c r="AD37" i="33"/>
  <c r="AC37" i="33"/>
  <c r="AB37" i="33"/>
  <c r="AA95" i="33"/>
  <c r="E4" i="34"/>
  <c r="Z83" i="35" l="1"/>
  <c r="AK213" i="35"/>
  <c r="S7" i="35"/>
  <c r="R83" i="35"/>
  <c r="P83" i="35"/>
  <c r="O83" i="35"/>
  <c r="N83" i="35"/>
  <c r="AC213" i="35"/>
  <c r="K7" i="35"/>
  <c r="K83" i="35"/>
  <c r="J83" i="35"/>
  <c r="H83" i="35"/>
  <c r="G83" i="35"/>
  <c r="E83" i="35"/>
  <c r="V213" i="35"/>
  <c r="D83" i="35"/>
  <c r="C83" i="35"/>
  <c r="AD213" i="35"/>
  <c r="L7" i="35"/>
  <c r="B208" i="35"/>
  <c r="Y213" i="35"/>
  <c r="C208" i="35"/>
  <c r="G7" i="35"/>
  <c r="I102" i="35"/>
  <c r="AE213" i="35"/>
  <c r="M7" i="35"/>
  <c r="M83" i="35"/>
  <c r="Z213" i="35"/>
  <c r="H7" i="35"/>
  <c r="AG213" i="35"/>
  <c r="O7" i="35"/>
  <c r="W213" i="35"/>
  <c r="E7" i="35"/>
  <c r="X213" i="35"/>
  <c r="F7" i="35"/>
  <c r="J193" i="35"/>
  <c r="F83" i="35"/>
  <c r="AB213" i="35"/>
  <c r="J7" i="35"/>
  <c r="F191" i="35"/>
  <c r="G101" i="35"/>
  <c r="U213" i="35"/>
  <c r="C7" i="35"/>
  <c r="AL213" i="35"/>
  <c r="T7" i="35"/>
  <c r="L83" i="35"/>
  <c r="D234" i="35"/>
  <c r="F198" i="35"/>
  <c r="AF213" i="35"/>
  <c r="N7" i="35"/>
  <c r="AJ213" i="35"/>
  <c r="R7" i="35"/>
  <c r="AH82" i="35"/>
  <c r="AI82" i="35"/>
  <c r="AH213" i="35"/>
  <c r="P7" i="35"/>
  <c r="AF82" i="34"/>
  <c r="AB82" i="34"/>
  <c r="Q73" i="34"/>
  <c r="O82" i="34"/>
  <c r="L82" i="34"/>
  <c r="K82" i="34"/>
  <c r="H82" i="34"/>
  <c r="R73" i="34"/>
  <c r="R82" i="34"/>
  <c r="AA82" i="34"/>
  <c r="M82" i="34"/>
  <c r="AC82" i="34"/>
  <c r="AE82" i="34"/>
  <c r="T82" i="34"/>
  <c r="N75" i="34"/>
  <c r="AF213" i="34" s="1"/>
  <c r="O75" i="34"/>
  <c r="O7" i="34" s="1"/>
  <c r="F82" i="34"/>
  <c r="X82" i="34"/>
  <c r="AI80" i="34"/>
  <c r="H73" i="34"/>
  <c r="G82" i="34"/>
  <c r="W82" i="34"/>
  <c r="I73" i="34"/>
  <c r="Q75" i="34"/>
  <c r="AI213" i="34" s="1"/>
  <c r="S73" i="34"/>
  <c r="J82" i="34"/>
  <c r="Z82" i="34"/>
  <c r="L73" i="34"/>
  <c r="I75" i="34"/>
  <c r="AA213" i="34" s="1"/>
  <c r="M73" i="34"/>
  <c r="G75" i="34"/>
  <c r="Y213" i="34" s="1"/>
  <c r="K73" i="34"/>
  <c r="F75" i="34"/>
  <c r="F7" i="34" s="1"/>
  <c r="AI78" i="34"/>
  <c r="E82" i="34"/>
  <c r="AI79" i="34"/>
  <c r="E75" i="34"/>
  <c r="W213" i="34" s="1"/>
  <c r="E73" i="34"/>
  <c r="D82" i="34"/>
  <c r="D73" i="34"/>
  <c r="C73" i="34"/>
  <c r="C75" i="34" s="1"/>
  <c r="U213" i="34" s="1"/>
  <c r="AI56" i="34"/>
  <c r="AH78" i="34"/>
  <c r="AH79" i="34"/>
  <c r="AI77" i="34"/>
  <c r="AI38" i="34"/>
  <c r="H4" i="34"/>
  <c r="S5" i="34"/>
  <c r="T73" i="34"/>
  <c r="T75" i="34"/>
  <c r="V82" i="34"/>
  <c r="D191" i="34"/>
  <c r="D75" i="34"/>
  <c r="C5" i="34"/>
  <c r="H75" i="34"/>
  <c r="AH77" i="34"/>
  <c r="D93" i="34"/>
  <c r="N82" i="34"/>
  <c r="AD82" i="34"/>
  <c r="F102" i="34"/>
  <c r="F191" i="34" s="1"/>
  <c r="P73" i="34"/>
  <c r="P75" i="34"/>
  <c r="B82" i="34"/>
  <c r="AH76" i="34"/>
  <c r="AI76" i="34"/>
  <c r="L75" i="34"/>
  <c r="C82" i="34"/>
  <c r="S82" i="34"/>
  <c r="AH80" i="34"/>
  <c r="M75" i="34"/>
  <c r="AG3" i="34"/>
  <c r="AG6" i="34" s="1"/>
  <c r="D5" i="34"/>
  <c r="AH38" i="34"/>
  <c r="AH56" i="34"/>
  <c r="AH68" i="34"/>
  <c r="J75" i="34"/>
  <c r="R75" i="34"/>
  <c r="Z75" i="34"/>
  <c r="AH72" i="34"/>
  <c r="J73" i="34"/>
  <c r="S210" i="34"/>
  <c r="D210" i="34"/>
  <c r="AI68" i="34"/>
  <c r="K75" i="34"/>
  <c r="S75" i="34"/>
  <c r="AI72" i="34"/>
  <c r="AG73" i="34"/>
  <c r="AG83" i="34" s="1"/>
  <c r="E191" i="34"/>
  <c r="C7" i="34"/>
  <c r="F73" i="34"/>
  <c r="N73" i="34"/>
  <c r="Z73" i="34"/>
  <c r="G73" i="34"/>
  <c r="O73" i="34"/>
  <c r="I82" i="34"/>
  <c r="Q82" i="34"/>
  <c r="Y82" i="34"/>
  <c r="G101" i="34"/>
  <c r="C234" i="34"/>
  <c r="E198" i="34"/>
  <c r="E193" i="34"/>
  <c r="E93" i="34" s="1"/>
  <c r="D199" i="34"/>
  <c r="J102" i="35" l="1"/>
  <c r="G198" i="35"/>
  <c r="E234" i="35"/>
  <c r="F93" i="35"/>
  <c r="F199" i="35"/>
  <c r="G191" i="35"/>
  <c r="H101" i="35"/>
  <c r="K193" i="35"/>
  <c r="K6" i="35"/>
  <c r="S83" i="34"/>
  <c r="Q83" i="34"/>
  <c r="Q7" i="34"/>
  <c r="O83" i="34"/>
  <c r="AG213" i="34"/>
  <c r="P83" i="34"/>
  <c r="N7" i="34"/>
  <c r="N83" i="34"/>
  <c r="J83" i="34"/>
  <c r="I83" i="34"/>
  <c r="H83" i="34"/>
  <c r="G83" i="34"/>
  <c r="X213" i="34"/>
  <c r="Z83" i="34"/>
  <c r="K83" i="34"/>
  <c r="G7" i="34"/>
  <c r="T83" i="34"/>
  <c r="B208" i="34"/>
  <c r="I7" i="34"/>
  <c r="C83" i="34"/>
  <c r="C208" i="34"/>
  <c r="K6" i="34" s="1"/>
  <c r="F83" i="34"/>
  <c r="E83" i="34"/>
  <c r="E7" i="34"/>
  <c r="D83" i="34"/>
  <c r="AH82" i="34"/>
  <c r="AI82" i="34"/>
  <c r="AE213" i="34"/>
  <c r="M7" i="34"/>
  <c r="AH213" i="34"/>
  <c r="P7" i="34"/>
  <c r="E199" i="34"/>
  <c r="F193" i="34"/>
  <c r="AK213" i="34"/>
  <c r="S7" i="34"/>
  <c r="AR213" i="34"/>
  <c r="Z7" i="34"/>
  <c r="M83" i="34"/>
  <c r="D234" i="34"/>
  <c r="F198" i="34"/>
  <c r="AC213" i="34"/>
  <c r="K7" i="34"/>
  <c r="AJ213" i="34"/>
  <c r="R83" i="34"/>
  <c r="R7" i="34"/>
  <c r="AD213" i="34"/>
  <c r="L7" i="34"/>
  <c r="AL213" i="34"/>
  <c r="T7" i="34"/>
  <c r="V213" i="34"/>
  <c r="D7" i="34"/>
  <c r="L83" i="34"/>
  <c r="AB213" i="34"/>
  <c r="J7" i="34"/>
  <c r="G191" i="34"/>
  <c r="H101" i="34"/>
  <c r="G102" i="34"/>
  <c r="Z213" i="34"/>
  <c r="H7" i="34"/>
  <c r="H191" i="35" l="1"/>
  <c r="I101" i="35"/>
  <c r="F234" i="35"/>
  <c r="H198" i="35"/>
  <c r="G93" i="35"/>
  <c r="G199" i="35"/>
  <c r="L193" i="35"/>
  <c r="K102" i="35"/>
  <c r="G198" i="34"/>
  <c r="G93" i="34" s="1"/>
  <c r="E234" i="34"/>
  <c r="G193" i="34"/>
  <c r="F199" i="34"/>
  <c r="H102" i="34"/>
  <c r="F93" i="34"/>
  <c r="H191" i="34"/>
  <c r="I101" i="34"/>
  <c r="I198" i="35" l="1"/>
  <c r="G234" i="35"/>
  <c r="H199" i="35"/>
  <c r="I191" i="35"/>
  <c r="J101" i="35"/>
  <c r="L102" i="35"/>
  <c r="M193" i="35"/>
  <c r="I102" i="34"/>
  <c r="I191" i="34" s="1"/>
  <c r="H193" i="34"/>
  <c r="G199" i="34"/>
  <c r="J101" i="34"/>
  <c r="H198" i="34"/>
  <c r="F234" i="34"/>
  <c r="J198" i="35" l="1"/>
  <c r="H234" i="35"/>
  <c r="I199" i="35"/>
  <c r="J191" i="35"/>
  <c r="K101" i="35"/>
  <c r="N193" i="35"/>
  <c r="M102" i="35"/>
  <c r="G234" i="34"/>
  <c r="I198" i="34"/>
  <c r="K101" i="34"/>
  <c r="I193" i="34"/>
  <c r="H199" i="34"/>
  <c r="H93" i="34"/>
  <c r="J102" i="34"/>
  <c r="I93" i="34"/>
  <c r="K191" i="35" l="1"/>
  <c r="L101" i="35"/>
  <c r="K198" i="35"/>
  <c r="I234" i="35"/>
  <c r="J199" i="35"/>
  <c r="J93" i="35"/>
  <c r="O193" i="35"/>
  <c r="N102" i="35"/>
  <c r="J93" i="34"/>
  <c r="K102" i="34"/>
  <c r="K191" i="34" s="1"/>
  <c r="I199" i="34"/>
  <c r="J193" i="34"/>
  <c r="L101" i="34"/>
  <c r="J191" i="34"/>
  <c r="J198" i="34"/>
  <c r="H234" i="34"/>
  <c r="L198" i="35" l="1"/>
  <c r="J234" i="35"/>
  <c r="K199" i="35"/>
  <c r="K93" i="35"/>
  <c r="L191" i="35"/>
  <c r="M101" i="35"/>
  <c r="P193" i="35"/>
  <c r="O102" i="35"/>
  <c r="M101" i="34"/>
  <c r="J199" i="34"/>
  <c r="K193" i="34"/>
  <c r="K198" i="34"/>
  <c r="I234" i="34"/>
  <c r="L102" i="34"/>
  <c r="L191" i="34" s="1"/>
  <c r="Q193" i="35" l="1"/>
  <c r="M191" i="35"/>
  <c r="N101" i="35"/>
  <c r="P102" i="35"/>
  <c r="K234" i="35"/>
  <c r="M198" i="35"/>
  <c r="L199" i="35"/>
  <c r="L93" i="35"/>
  <c r="L198" i="34"/>
  <c r="J234" i="34"/>
  <c r="K199" i="34"/>
  <c r="L193" i="34"/>
  <c r="N101" i="34"/>
  <c r="K93" i="34"/>
  <c r="M102" i="34"/>
  <c r="L234" i="35" l="1"/>
  <c r="N198" i="35"/>
  <c r="M199" i="35"/>
  <c r="M93" i="35"/>
  <c r="Q102" i="35"/>
  <c r="R193" i="35"/>
  <c r="N191" i="35"/>
  <c r="O101" i="35"/>
  <c r="N102" i="34"/>
  <c r="N191" i="34"/>
  <c r="O101" i="34"/>
  <c r="M191" i="34"/>
  <c r="M193" i="34"/>
  <c r="L199" i="34"/>
  <c r="L93" i="34"/>
  <c r="K234" i="34"/>
  <c r="M198" i="34"/>
  <c r="S193" i="35" l="1"/>
  <c r="R102" i="35"/>
  <c r="M234" i="35"/>
  <c r="O198" i="35"/>
  <c r="N199" i="35"/>
  <c r="N93" i="35"/>
  <c r="O191" i="35"/>
  <c r="P101" i="35"/>
  <c r="N193" i="34"/>
  <c r="M199" i="34"/>
  <c r="O191" i="34"/>
  <c r="P101" i="34"/>
  <c r="L234" i="34"/>
  <c r="N198" i="34"/>
  <c r="M93" i="34"/>
  <c r="N93" i="34"/>
  <c r="O102" i="34"/>
  <c r="N234" i="35" l="1"/>
  <c r="P198" i="35"/>
  <c r="O199" i="35"/>
  <c r="O93" i="35"/>
  <c r="S102" i="35"/>
  <c r="P191" i="35"/>
  <c r="Q101" i="35"/>
  <c r="T193" i="35"/>
  <c r="M234" i="34"/>
  <c r="O198" i="34"/>
  <c r="Q101" i="34"/>
  <c r="P102" i="34"/>
  <c r="N199" i="34"/>
  <c r="O193" i="34"/>
  <c r="Q191" i="35" l="1"/>
  <c r="R101" i="35"/>
  <c r="T102" i="35"/>
  <c r="Q198" i="35"/>
  <c r="O234" i="35"/>
  <c r="P199" i="35"/>
  <c r="P93" i="35"/>
  <c r="U193" i="35"/>
  <c r="P193" i="34"/>
  <c r="P93" i="34" s="1"/>
  <c r="O199" i="34"/>
  <c r="Q102" i="34"/>
  <c r="O93" i="34"/>
  <c r="Q191" i="34"/>
  <c r="R101" i="34"/>
  <c r="P191" i="34"/>
  <c r="N234" i="34"/>
  <c r="P198" i="34"/>
  <c r="U102" i="35" l="1"/>
  <c r="R198" i="35"/>
  <c r="P234" i="35"/>
  <c r="Q199" i="35"/>
  <c r="Q93" i="35"/>
  <c r="R191" i="35"/>
  <c r="S101" i="35"/>
  <c r="V193" i="35"/>
  <c r="S101" i="34"/>
  <c r="R102" i="34"/>
  <c r="O234" i="34"/>
  <c r="Q198" i="34"/>
  <c r="P199" i="34"/>
  <c r="Q193" i="34"/>
  <c r="S191" i="35" l="1"/>
  <c r="T101" i="35"/>
  <c r="S198" i="35"/>
  <c r="Q234" i="35"/>
  <c r="R199" i="35"/>
  <c r="R93" i="35"/>
  <c r="V102" i="35"/>
  <c r="W193" i="35"/>
  <c r="R193" i="34"/>
  <c r="Q199" i="34"/>
  <c r="R198" i="34"/>
  <c r="R93" i="34" s="1"/>
  <c r="P234" i="34"/>
  <c r="Q93" i="34"/>
  <c r="S102" i="34"/>
  <c r="S191" i="34" s="1"/>
  <c r="T101" i="34"/>
  <c r="R191" i="34"/>
  <c r="W102" i="35" l="1"/>
  <c r="T198" i="35"/>
  <c r="R234" i="35"/>
  <c r="S199" i="35"/>
  <c r="S93" i="35"/>
  <c r="T191" i="35"/>
  <c r="U101" i="35"/>
  <c r="X193" i="35"/>
  <c r="T102" i="34"/>
  <c r="S198" i="34"/>
  <c r="Q234" i="34"/>
  <c r="T191" i="34"/>
  <c r="U101" i="34"/>
  <c r="R199" i="34"/>
  <c r="S193" i="34"/>
  <c r="S93" i="34" s="1"/>
  <c r="X95" i="33"/>
  <c r="X37" i="33"/>
  <c r="W95" i="33"/>
  <c r="V95" i="33"/>
  <c r="U95" i="33"/>
  <c r="U37" i="33"/>
  <c r="T95" i="33"/>
  <c r="T37" i="33"/>
  <c r="S95" i="33"/>
  <c r="S37" i="33"/>
  <c r="U191" i="35" l="1"/>
  <c r="V101" i="35"/>
  <c r="U198" i="35"/>
  <c r="S234" i="35"/>
  <c r="T199" i="35"/>
  <c r="T93" i="35"/>
  <c r="X102" i="35"/>
  <c r="Y193" i="35"/>
  <c r="V101" i="34"/>
  <c r="S199" i="34"/>
  <c r="T193" i="34"/>
  <c r="R234" i="34"/>
  <c r="T198" i="34"/>
  <c r="U102" i="34"/>
  <c r="T93" i="34"/>
  <c r="Y102" i="35" l="1"/>
  <c r="T234" i="35"/>
  <c r="V198" i="35"/>
  <c r="U199" i="35"/>
  <c r="U51" i="35" s="1"/>
  <c r="U52" i="35" s="1"/>
  <c r="U93" i="35"/>
  <c r="V191" i="35"/>
  <c r="W101" i="35"/>
  <c r="Z193" i="35"/>
  <c r="T199" i="34"/>
  <c r="U193" i="34"/>
  <c r="W101" i="34"/>
  <c r="V102" i="34"/>
  <c r="U198" i="34"/>
  <c r="S234" i="34"/>
  <c r="U191" i="34"/>
  <c r="W191" i="35" l="1"/>
  <c r="X101" i="35"/>
  <c r="U73" i="35"/>
  <c r="U75" i="35"/>
  <c r="U234" i="35"/>
  <c r="W198" i="35"/>
  <c r="V199" i="35"/>
  <c r="V51" i="35" s="1"/>
  <c r="V52" i="35" s="1"/>
  <c r="V93" i="35"/>
  <c r="AA193" i="35"/>
  <c r="Z102" i="35"/>
  <c r="V198" i="34"/>
  <c r="T234" i="34"/>
  <c r="U93" i="34"/>
  <c r="V93" i="34"/>
  <c r="W102" i="34"/>
  <c r="W191" i="34"/>
  <c r="X101" i="34"/>
  <c r="V191" i="34"/>
  <c r="V193" i="34"/>
  <c r="U199" i="34"/>
  <c r="U51" i="34" s="1"/>
  <c r="U52" i="34" s="1"/>
  <c r="V75" i="35" l="1"/>
  <c r="V73" i="35"/>
  <c r="V83" i="35" s="1"/>
  <c r="V234" i="35"/>
  <c r="X198" i="35"/>
  <c r="W199" i="35"/>
  <c r="W51" i="35" s="1"/>
  <c r="W52" i="35" s="1"/>
  <c r="W93" i="35"/>
  <c r="AM213" i="35"/>
  <c r="U7" i="35"/>
  <c r="AA102" i="35"/>
  <c r="U83" i="35"/>
  <c r="AB193" i="35"/>
  <c r="X191" i="35"/>
  <c r="Y101" i="35"/>
  <c r="Y101" i="34"/>
  <c r="X102" i="34"/>
  <c r="U73" i="34"/>
  <c r="U75" i="34"/>
  <c r="W193" i="34"/>
  <c r="W93" i="34" s="1"/>
  <c r="V199" i="34"/>
  <c r="V51" i="34" s="1"/>
  <c r="V52" i="34" s="1"/>
  <c r="U234" i="34"/>
  <c r="W198" i="34"/>
  <c r="Y191" i="35" l="1"/>
  <c r="Z101" i="35"/>
  <c r="AC193" i="35"/>
  <c r="W73" i="35"/>
  <c r="W75" i="35"/>
  <c r="Y198" i="35"/>
  <c r="W234" i="35"/>
  <c r="X199" i="35"/>
  <c r="X51" i="35" s="1"/>
  <c r="X52" i="35" s="1"/>
  <c r="X93" i="35"/>
  <c r="AB102" i="35"/>
  <c r="AN213" i="35"/>
  <c r="V7" i="35"/>
  <c r="U83" i="34"/>
  <c r="V75" i="34"/>
  <c r="V73" i="34"/>
  <c r="V83" i="34" s="1"/>
  <c r="X193" i="34"/>
  <c r="W199" i="34"/>
  <c r="W51" i="34" s="1"/>
  <c r="W52" i="34" s="1"/>
  <c r="AM213" i="34"/>
  <c r="U7" i="34"/>
  <c r="Y102" i="34"/>
  <c r="V234" i="34"/>
  <c r="X198" i="34"/>
  <c r="Z101" i="34"/>
  <c r="X191" i="34"/>
  <c r="Z198" i="35" l="1"/>
  <c r="X234" i="35"/>
  <c r="Y199" i="35"/>
  <c r="Y52" i="35" s="1"/>
  <c r="Y93" i="35"/>
  <c r="AO213" i="35"/>
  <c r="W7" i="35"/>
  <c r="W83" i="35"/>
  <c r="AC102" i="35"/>
  <c r="AD193" i="35"/>
  <c r="Z191" i="35"/>
  <c r="AA101" i="35"/>
  <c r="X73" i="35"/>
  <c r="X75" i="35"/>
  <c r="X93" i="34"/>
  <c r="Z102" i="34"/>
  <c r="Z191" i="34" s="1"/>
  <c r="AA101" i="34"/>
  <c r="W73" i="34"/>
  <c r="W75" i="34"/>
  <c r="Y191" i="34"/>
  <c r="X199" i="34"/>
  <c r="X51" i="34" s="1"/>
  <c r="X52" i="34" s="1"/>
  <c r="Y193" i="34"/>
  <c r="W234" i="34"/>
  <c r="Y198" i="34"/>
  <c r="AN213" i="34"/>
  <c r="V7" i="34"/>
  <c r="X83" i="35" l="1"/>
  <c r="AP213" i="35"/>
  <c r="X7" i="35"/>
  <c r="Y75" i="35"/>
  <c r="Y73" i="35"/>
  <c r="Y83" i="35" s="1"/>
  <c r="AE193" i="35"/>
  <c r="AA191" i="35"/>
  <c r="AB101" i="35"/>
  <c r="AD102" i="35"/>
  <c r="AA198" i="35"/>
  <c r="Y234" i="35"/>
  <c r="Z199" i="35"/>
  <c r="Z93" i="35"/>
  <c r="X73" i="34"/>
  <c r="X75" i="34"/>
  <c r="AO213" i="34"/>
  <c r="W7" i="34"/>
  <c r="W83" i="34"/>
  <c r="AA191" i="34"/>
  <c r="AB101" i="34"/>
  <c r="Z198" i="34"/>
  <c r="X234" i="34"/>
  <c r="AA102" i="34"/>
  <c r="Y199" i="34"/>
  <c r="Y52" i="34" s="1"/>
  <c r="Z193" i="34"/>
  <c r="Y93" i="34"/>
  <c r="AF193" i="35" l="1"/>
  <c r="AB198" i="35"/>
  <c r="Z234" i="35"/>
  <c r="AA199" i="35"/>
  <c r="AA51" i="35" s="1"/>
  <c r="AA52" i="35" s="1"/>
  <c r="AA93" i="35"/>
  <c r="AQ213" i="35"/>
  <c r="Y7" i="35"/>
  <c r="AE102" i="35"/>
  <c r="AB191" i="35"/>
  <c r="AC101" i="35"/>
  <c r="X83" i="34"/>
  <c r="Y234" i="34"/>
  <c r="AA198" i="34"/>
  <c r="AB191" i="34"/>
  <c r="AC101" i="34"/>
  <c r="Z199" i="34"/>
  <c r="AA193" i="34"/>
  <c r="Y73" i="34"/>
  <c r="Y75" i="34"/>
  <c r="Z93" i="34"/>
  <c r="AB102" i="34"/>
  <c r="AP213" i="34"/>
  <c r="X7" i="34"/>
  <c r="AA73" i="35" l="1"/>
  <c r="AA75" i="35"/>
  <c r="AC191" i="35"/>
  <c r="AD101" i="35"/>
  <c r="AC198" i="35"/>
  <c r="AA234" i="35"/>
  <c r="AB199" i="35"/>
  <c r="AB51" i="35" s="1"/>
  <c r="AB52" i="35" s="1"/>
  <c r="AB93" i="35"/>
  <c r="AF102" i="35"/>
  <c r="B193" i="35"/>
  <c r="AQ213" i="34"/>
  <c r="Y7" i="34"/>
  <c r="Y83" i="34"/>
  <c r="AA199" i="34"/>
  <c r="AA51" i="34" s="1"/>
  <c r="AA52" i="34" s="1"/>
  <c r="AB193" i="34"/>
  <c r="AD101" i="34"/>
  <c r="AA93" i="34"/>
  <c r="AC102" i="34"/>
  <c r="AC191" i="34" s="1"/>
  <c r="AB198" i="34"/>
  <c r="Z234" i="34"/>
  <c r="AD198" i="35" l="1"/>
  <c r="AB234" i="35"/>
  <c r="AC199" i="35"/>
  <c r="AC51" i="35" s="1"/>
  <c r="AC52" i="35" s="1"/>
  <c r="AC93" i="35"/>
  <c r="AD191" i="35"/>
  <c r="AE101" i="35"/>
  <c r="AB75" i="35"/>
  <c r="AB73" i="35"/>
  <c r="AS213" i="35"/>
  <c r="AA7" i="35"/>
  <c r="B102" i="35"/>
  <c r="AA83" i="35"/>
  <c r="AB199" i="34"/>
  <c r="AB51" i="34" s="1"/>
  <c r="AB52" i="34" s="1"/>
  <c r="AC193" i="34"/>
  <c r="AA73" i="34"/>
  <c r="AA75" i="34"/>
  <c r="AA234" i="34"/>
  <c r="AC198" i="34"/>
  <c r="AB93" i="34"/>
  <c r="AE101" i="34"/>
  <c r="AD102" i="34"/>
  <c r="AD191" i="34" s="1"/>
  <c r="AE191" i="35" l="1"/>
  <c r="AF101" i="35"/>
  <c r="AT213" i="35"/>
  <c r="AB7" i="35"/>
  <c r="AC73" i="35"/>
  <c r="AC75" i="35"/>
  <c r="AB83" i="35"/>
  <c r="AC234" i="35"/>
  <c r="AE198" i="35"/>
  <c r="AD199" i="35"/>
  <c r="AD51" i="35" s="1"/>
  <c r="AD52" i="35" s="1"/>
  <c r="AD93" i="35"/>
  <c r="AD198" i="34"/>
  <c r="AB234" i="34"/>
  <c r="AS213" i="34"/>
  <c r="AA7" i="34"/>
  <c r="AC93" i="34"/>
  <c r="AA83" i="34"/>
  <c r="AD93" i="34"/>
  <c r="AE102" i="34"/>
  <c r="AC199" i="34"/>
  <c r="AC51" i="34" s="1"/>
  <c r="AC52" i="34" s="1"/>
  <c r="AD193" i="34"/>
  <c r="AF101" i="34"/>
  <c r="AB75" i="34"/>
  <c r="AB73" i="34"/>
  <c r="AC83" i="35" l="1"/>
  <c r="AU213" i="35"/>
  <c r="AC7" i="35"/>
  <c r="AD75" i="35"/>
  <c r="AD73" i="35"/>
  <c r="AD83" i="35" s="1"/>
  <c r="AD234" i="35"/>
  <c r="AF198" i="35"/>
  <c r="AE199" i="35"/>
  <c r="AE51" i="35" s="1"/>
  <c r="AE52" i="35" s="1"/>
  <c r="AE93" i="35"/>
  <c r="AF191" i="35"/>
  <c r="B101" i="35"/>
  <c r="B191" i="35" s="1"/>
  <c r="AB83" i="34"/>
  <c r="AF102" i="34"/>
  <c r="AF191" i="34" s="1"/>
  <c r="AT213" i="34"/>
  <c r="AB7" i="34"/>
  <c r="B101" i="34"/>
  <c r="AE191" i="34"/>
  <c r="AE193" i="34"/>
  <c r="AD199" i="34"/>
  <c r="AD51" i="34" s="1"/>
  <c r="AD52" i="34" s="1"/>
  <c r="AC73" i="34"/>
  <c r="AC75" i="34"/>
  <c r="AC234" i="34"/>
  <c r="AE198" i="34"/>
  <c r="AE73" i="35" l="1"/>
  <c r="AE75" i="35"/>
  <c r="AV213" i="35"/>
  <c r="AD7" i="35"/>
  <c r="B198" i="35"/>
  <c r="AE234" i="35"/>
  <c r="AF199" i="35"/>
  <c r="AF51" i="35" s="1"/>
  <c r="AF52" i="35" s="1"/>
  <c r="AF93" i="35"/>
  <c r="AF193" i="34"/>
  <c r="AE199" i="34"/>
  <c r="AE51" i="34" s="1"/>
  <c r="AE52" i="34" s="1"/>
  <c r="AD234" i="34"/>
  <c r="AF198" i="34"/>
  <c r="AU213" i="34"/>
  <c r="AC7" i="34"/>
  <c r="AC83" i="34"/>
  <c r="AE93" i="34"/>
  <c r="AD75" i="34"/>
  <c r="AD73" i="34"/>
  <c r="B102" i="34"/>
  <c r="AF234" i="35" l="1"/>
  <c r="B199" i="35"/>
  <c r="B51" i="35" s="1"/>
  <c r="B93" i="35"/>
  <c r="AF75" i="35"/>
  <c r="AF73" i="35"/>
  <c r="AF83" i="35" s="1"/>
  <c r="AW213" i="35"/>
  <c r="AE7" i="35"/>
  <c r="AH93" i="35"/>
  <c r="AI93" i="35"/>
  <c r="AE83" i="35"/>
  <c r="AD83" i="34"/>
  <c r="B93" i="34"/>
  <c r="AE234" i="34"/>
  <c r="B198" i="34"/>
  <c r="AF234" i="34" s="1"/>
  <c r="AF93" i="34"/>
  <c r="B191" i="34"/>
  <c r="AV213" i="34"/>
  <c r="AD7" i="34"/>
  <c r="AE75" i="34"/>
  <c r="AE73" i="34"/>
  <c r="AF199" i="34"/>
  <c r="AF51" i="34" s="1"/>
  <c r="AF52" i="34" s="1"/>
  <c r="B193" i="34"/>
  <c r="B199" i="34" s="1"/>
  <c r="B51" i="34" s="1"/>
  <c r="AX213" i="35" l="1"/>
  <c r="AF7" i="35"/>
  <c r="AI51" i="35"/>
  <c r="AH51" i="35"/>
  <c r="B52" i="35"/>
  <c r="AE83" i="34"/>
  <c r="AW213" i="34"/>
  <c r="AE7" i="34"/>
  <c r="AH93" i="34"/>
  <c r="AI93" i="34"/>
  <c r="AI51" i="34"/>
  <c r="AH51" i="34"/>
  <c r="B52" i="34"/>
  <c r="AF75" i="34"/>
  <c r="AF73" i="34"/>
  <c r="AI52" i="35" l="1"/>
  <c r="AH52" i="35"/>
  <c r="B73" i="35"/>
  <c r="B75" i="35"/>
  <c r="AX213" i="34"/>
  <c r="AF7" i="34"/>
  <c r="AI52" i="34"/>
  <c r="AH52" i="34"/>
  <c r="B73" i="34"/>
  <c r="B75" i="34"/>
  <c r="AF83" i="34"/>
  <c r="T213" i="35" l="1"/>
  <c r="AI75" i="35"/>
  <c r="AH75" i="35"/>
  <c r="B7" i="35"/>
  <c r="A7" i="35" s="1"/>
  <c r="AI73" i="35"/>
  <c r="AH73" i="35"/>
  <c r="B83" i="35"/>
  <c r="T213" i="34"/>
  <c r="AI75" i="34"/>
  <c r="AH75" i="34"/>
  <c r="B7" i="34"/>
  <c r="A7" i="34" s="1"/>
  <c r="AI73" i="34"/>
  <c r="AH73" i="34"/>
  <c r="B83" i="34"/>
  <c r="AH83" i="35" l="1"/>
  <c r="AI83" i="35"/>
  <c r="AI83" i="34"/>
  <c r="AH83" i="34"/>
  <c r="R37" i="33" l="1"/>
  <c r="Q37" i="33"/>
  <c r="P95" i="33"/>
  <c r="P37" i="33"/>
  <c r="M37" i="33" l="1"/>
  <c r="AH99" i="33"/>
  <c r="AI99" i="33" s="1"/>
  <c r="C96" i="33"/>
  <c r="C95" i="33"/>
  <c r="C94" i="33"/>
  <c r="C37" i="33"/>
  <c r="AF95" i="32"/>
  <c r="B95" i="33"/>
  <c r="B37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P235" i="33"/>
  <c r="O235" i="33"/>
  <c r="N235" i="33"/>
  <c r="M235" i="33"/>
  <c r="L235" i="33"/>
  <c r="K235" i="33"/>
  <c r="J235" i="33"/>
  <c r="I235" i="33"/>
  <c r="H235" i="33"/>
  <c r="G235" i="33"/>
  <c r="F235" i="33"/>
  <c r="E235" i="33"/>
  <c r="D235" i="33"/>
  <c r="C235" i="33"/>
  <c r="B235" i="33"/>
  <c r="A235" i="33"/>
  <c r="C234" i="33"/>
  <c r="B234" i="33"/>
  <c r="S209" i="33"/>
  <c r="AG199" i="33"/>
  <c r="D199" i="33"/>
  <c r="C199" i="33"/>
  <c r="F198" i="33"/>
  <c r="E234" i="33" s="1"/>
  <c r="E198" i="33"/>
  <c r="D234" i="33" s="1"/>
  <c r="D198" i="33"/>
  <c r="D197" i="33"/>
  <c r="E197" i="33" s="1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G196" i="33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E196" i="33"/>
  <c r="F196" i="33" s="1"/>
  <c r="D196" i="33"/>
  <c r="M195" i="33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E195" i="33"/>
  <c r="F195" i="33" s="1"/>
  <c r="G195" i="33" s="1"/>
  <c r="H195" i="33" s="1"/>
  <c r="I195" i="33" s="1"/>
  <c r="J195" i="33" s="1"/>
  <c r="K195" i="33" s="1"/>
  <c r="L195" i="33" s="1"/>
  <c r="D195" i="33"/>
  <c r="G194" i="33"/>
  <c r="H194" i="33" s="1"/>
  <c r="I194" i="33" s="1"/>
  <c r="J194" i="33" s="1"/>
  <c r="K194" i="33" s="1"/>
  <c r="L194" i="33" s="1"/>
  <c r="M194" i="33" s="1"/>
  <c r="N194" i="33" s="1"/>
  <c r="O194" i="33" s="1"/>
  <c r="P194" i="33" s="1"/>
  <c r="Q194" i="33" s="1"/>
  <c r="R194" i="33" s="1"/>
  <c r="S194" i="33" s="1"/>
  <c r="T194" i="33" s="1"/>
  <c r="U194" i="33" s="1"/>
  <c r="V194" i="33" s="1"/>
  <c r="W194" i="33" s="1"/>
  <c r="X194" i="33" s="1"/>
  <c r="Y194" i="33" s="1"/>
  <c r="Z194" i="33" s="1"/>
  <c r="AA194" i="33" s="1"/>
  <c r="AB194" i="33" s="1"/>
  <c r="AC194" i="33" s="1"/>
  <c r="AD194" i="33" s="1"/>
  <c r="AE194" i="33" s="1"/>
  <c r="AF194" i="33" s="1"/>
  <c r="B194" i="33" s="1"/>
  <c r="F194" i="33"/>
  <c r="E194" i="33"/>
  <c r="D194" i="33"/>
  <c r="E193" i="33"/>
  <c r="D193" i="33"/>
  <c r="AG191" i="33"/>
  <c r="C191" i="33"/>
  <c r="E190" i="33"/>
  <c r="F190" i="33" s="1"/>
  <c r="G190" i="33" s="1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D190" i="33"/>
  <c r="U189" i="33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G189" i="33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E189" i="33"/>
  <c r="F189" i="33" s="1"/>
  <c r="D189" i="33"/>
  <c r="D188" i="33"/>
  <c r="E188" i="33" s="1"/>
  <c r="F188" i="33" s="1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D187" i="33"/>
  <c r="E187" i="33" s="1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G186" i="33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E186" i="33"/>
  <c r="F186" i="33" s="1"/>
  <c r="D186" i="33"/>
  <c r="F185" i="33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E185" i="33"/>
  <c r="D185" i="33"/>
  <c r="Q184" i="33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O184" i="33"/>
  <c r="P184" i="33" s="1"/>
  <c r="E184" i="33"/>
  <c r="F184" i="33" s="1"/>
  <c r="G184" i="33" s="1"/>
  <c r="H184" i="33" s="1"/>
  <c r="I184" i="33" s="1"/>
  <c r="J184" i="33" s="1"/>
  <c r="K184" i="33" s="1"/>
  <c r="L184" i="33" s="1"/>
  <c r="M184" i="33" s="1"/>
  <c r="N184" i="33" s="1"/>
  <c r="D184" i="33"/>
  <c r="D183" i="33"/>
  <c r="E183" i="33" s="1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E182" i="33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D182" i="33"/>
  <c r="E181" i="33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D181" i="33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E179" i="33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D179" i="33"/>
  <c r="AC178" i="33"/>
  <c r="AD178" i="33" s="1"/>
  <c r="AE178" i="33" s="1"/>
  <c r="AF178" i="33" s="1"/>
  <c r="B178" i="33" s="1"/>
  <c r="AA178" i="33"/>
  <c r="AB178" i="33" s="1"/>
  <c r="D178" i="33"/>
  <c r="E178" i="33" s="1"/>
  <c r="F178" i="33" s="1"/>
  <c r="G178" i="33" s="1"/>
  <c r="H178" i="33" s="1"/>
  <c r="I178" i="33" s="1"/>
  <c r="J178" i="33" s="1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F176" i="33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D176" i="33"/>
  <c r="E176" i="33" s="1"/>
  <c r="D175" i="33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S174" i="33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R174" i="33"/>
  <c r="D174" i="33"/>
  <c r="E174" i="33" s="1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E173" i="33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 s="1"/>
  <c r="D173" i="33"/>
  <c r="D172" i="33"/>
  <c r="E172" i="33" s="1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B172" i="33" s="1"/>
  <c r="E171" i="33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D171" i="33"/>
  <c r="E170" i="33"/>
  <c r="F170" i="33" s="1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D170" i="33"/>
  <c r="P169" i="33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B169" i="33" s="1"/>
  <c r="F169" i="33"/>
  <c r="G169" i="33" s="1"/>
  <c r="H169" i="33" s="1"/>
  <c r="I169" i="33" s="1"/>
  <c r="J169" i="33" s="1"/>
  <c r="K169" i="33" s="1"/>
  <c r="L169" i="33" s="1"/>
  <c r="M169" i="33" s="1"/>
  <c r="N169" i="33" s="1"/>
  <c r="O169" i="33" s="1"/>
  <c r="E169" i="33"/>
  <c r="D169" i="33"/>
  <c r="F167" i="33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7" i="33"/>
  <c r="E167" i="33" s="1"/>
  <c r="D166" i="33"/>
  <c r="E166" i="33" s="1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B166" i="33" s="1"/>
  <c r="E165" i="33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D165" i="33"/>
  <c r="T164" i="33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AD163" i="33"/>
  <c r="AE163" i="33" s="1"/>
  <c r="AF163" i="33" s="1"/>
  <c r="B163" i="33" s="1"/>
  <c r="L163" i="33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D163" i="33"/>
  <c r="E163" i="33" s="1"/>
  <c r="F163" i="33" s="1"/>
  <c r="G163" i="33" s="1"/>
  <c r="H163" i="33" s="1"/>
  <c r="I163" i="33" s="1"/>
  <c r="J163" i="33" s="1"/>
  <c r="K163" i="33" s="1"/>
  <c r="X162" i="33"/>
  <c r="Y162" i="33" s="1"/>
  <c r="Z162" i="33" s="1"/>
  <c r="AA162" i="33" s="1"/>
  <c r="AB162" i="33" s="1"/>
  <c r="AC162" i="33" s="1"/>
  <c r="AD162" i="33" s="1"/>
  <c r="AE162" i="33" s="1"/>
  <c r="AF162" i="33" s="1"/>
  <c r="B162" i="33" s="1"/>
  <c r="J162" i="33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D162" i="33"/>
  <c r="E162" i="33" s="1"/>
  <c r="F162" i="33" s="1"/>
  <c r="G162" i="33" s="1"/>
  <c r="H162" i="33" s="1"/>
  <c r="I162" i="33" s="1"/>
  <c r="X161" i="33"/>
  <c r="Y161" i="33" s="1"/>
  <c r="Z161" i="33" s="1"/>
  <c r="AA161" i="33" s="1"/>
  <c r="AB161" i="33" s="1"/>
  <c r="AC161" i="33" s="1"/>
  <c r="AD161" i="33" s="1"/>
  <c r="AE161" i="33" s="1"/>
  <c r="AF161" i="33" s="1"/>
  <c r="B161" i="33" s="1"/>
  <c r="G161" i="33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F161" i="33"/>
  <c r="D161" i="33"/>
  <c r="E161" i="33" s="1"/>
  <c r="Q160" i="33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M160" i="33"/>
  <c r="N160" i="33" s="1"/>
  <c r="O160" i="33" s="1"/>
  <c r="P160" i="33" s="1"/>
  <c r="D160" i="33"/>
  <c r="E160" i="33" s="1"/>
  <c r="F160" i="33" s="1"/>
  <c r="G160" i="33" s="1"/>
  <c r="H160" i="33" s="1"/>
  <c r="I160" i="33" s="1"/>
  <c r="J160" i="33" s="1"/>
  <c r="K160" i="33" s="1"/>
  <c r="L160" i="33" s="1"/>
  <c r="D159" i="33"/>
  <c r="E159" i="33" s="1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J158" i="33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D158" i="33"/>
  <c r="E158" i="33" s="1"/>
  <c r="F158" i="33" s="1"/>
  <c r="G158" i="33" s="1"/>
  <c r="H158" i="33" s="1"/>
  <c r="I158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B157" i="33" s="1"/>
  <c r="U156" i="33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E156" i="33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D156" i="33"/>
  <c r="L155" i="33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B155" i="33" s="1"/>
  <c r="D155" i="33"/>
  <c r="E155" i="33" s="1"/>
  <c r="F155" i="33" s="1"/>
  <c r="G155" i="33" s="1"/>
  <c r="H155" i="33" s="1"/>
  <c r="I155" i="33" s="1"/>
  <c r="J155" i="33" s="1"/>
  <c r="K155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K152" i="33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G152" i="33"/>
  <c r="H152" i="33" s="1"/>
  <c r="I152" i="33" s="1"/>
  <c r="J152" i="33" s="1"/>
  <c r="F152" i="33"/>
  <c r="D152" i="33"/>
  <c r="E152" i="33" s="1"/>
  <c r="M151" i="33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L151" i="33"/>
  <c r="E151" i="33"/>
  <c r="F151" i="33" s="1"/>
  <c r="G151" i="33" s="1"/>
  <c r="H151" i="33" s="1"/>
  <c r="I151" i="33" s="1"/>
  <c r="J151" i="33" s="1"/>
  <c r="K151" i="33" s="1"/>
  <c r="D151" i="33"/>
  <c r="K150" i="33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B150" i="33" s="1"/>
  <c r="G150" i="33"/>
  <c r="H150" i="33" s="1"/>
  <c r="I150" i="33" s="1"/>
  <c r="J150" i="33" s="1"/>
  <c r="D150" i="33"/>
  <c r="E150" i="33" s="1"/>
  <c r="F150" i="33" s="1"/>
  <c r="I148" i="33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E148" i="33"/>
  <c r="F148" i="33" s="1"/>
  <c r="G148" i="33" s="1"/>
  <c r="H148" i="33" s="1"/>
  <c r="D148" i="33"/>
  <c r="N147" i="33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AF147" i="33" s="1"/>
  <c r="B147" i="33" s="1"/>
  <c r="D147" i="33"/>
  <c r="E147" i="33" s="1"/>
  <c r="F147" i="33" s="1"/>
  <c r="G147" i="33" s="1"/>
  <c r="H147" i="33" s="1"/>
  <c r="I147" i="33" s="1"/>
  <c r="J147" i="33" s="1"/>
  <c r="K147" i="33" s="1"/>
  <c r="L147" i="33" s="1"/>
  <c r="M147" i="33" s="1"/>
  <c r="E145" i="33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D145" i="33"/>
  <c r="F144" i="33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D144" i="33"/>
  <c r="E144" i="33" s="1"/>
  <c r="X143" i="33"/>
  <c r="Y143" i="33" s="1"/>
  <c r="Z143" i="33" s="1"/>
  <c r="AA143" i="33" s="1"/>
  <c r="AB143" i="33" s="1"/>
  <c r="AC143" i="33" s="1"/>
  <c r="AD143" i="33" s="1"/>
  <c r="AE143" i="33" s="1"/>
  <c r="AF143" i="33" s="1"/>
  <c r="B143" i="33" s="1"/>
  <c r="J143" i="33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I143" i="33"/>
  <c r="D143" i="33"/>
  <c r="E143" i="33" s="1"/>
  <c r="F143" i="33" s="1"/>
  <c r="G143" i="33" s="1"/>
  <c r="H143" i="33" s="1"/>
  <c r="F142" i="33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D142" i="33"/>
  <c r="E142" i="33" s="1"/>
  <c r="U141" i="33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H141" i="33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D141" i="33"/>
  <c r="E141" i="33" s="1"/>
  <c r="F141" i="33" s="1"/>
  <c r="G141" i="33" s="1"/>
  <c r="X140" i="33"/>
  <c r="Y140" i="33" s="1"/>
  <c r="Z140" i="33" s="1"/>
  <c r="AA140" i="33" s="1"/>
  <c r="AB140" i="33" s="1"/>
  <c r="AC140" i="33" s="1"/>
  <c r="AD140" i="33" s="1"/>
  <c r="AE140" i="33" s="1"/>
  <c r="AF140" i="33" s="1"/>
  <c r="B140" i="33" s="1"/>
  <c r="H140" i="33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D140" i="33"/>
  <c r="E140" i="33" s="1"/>
  <c r="F140" i="33" s="1"/>
  <c r="G140" i="33" s="1"/>
  <c r="L139" i="33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B139" i="33" s="1"/>
  <c r="E139" i="33"/>
  <c r="F139" i="33" s="1"/>
  <c r="G139" i="33" s="1"/>
  <c r="H139" i="33" s="1"/>
  <c r="I139" i="33" s="1"/>
  <c r="J139" i="33" s="1"/>
  <c r="K139" i="33" s="1"/>
  <c r="D139" i="33"/>
  <c r="L137" i="33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H137" i="33"/>
  <c r="I137" i="33" s="1"/>
  <c r="J137" i="33" s="1"/>
  <c r="K137" i="33" s="1"/>
  <c r="D137" i="33"/>
  <c r="E137" i="33" s="1"/>
  <c r="F137" i="33" s="1"/>
  <c r="G137" i="33" s="1"/>
  <c r="M136" i="33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G136" i="33"/>
  <c r="H136" i="33" s="1"/>
  <c r="I136" i="33" s="1"/>
  <c r="J136" i="33" s="1"/>
  <c r="K136" i="33" s="1"/>
  <c r="L136" i="33" s="1"/>
  <c r="D136" i="33"/>
  <c r="E136" i="33" s="1"/>
  <c r="F136" i="33" s="1"/>
  <c r="O135" i="33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E135" i="33"/>
  <c r="F135" i="33" s="1"/>
  <c r="G135" i="33" s="1"/>
  <c r="H135" i="33" s="1"/>
  <c r="I135" i="33" s="1"/>
  <c r="J135" i="33" s="1"/>
  <c r="K135" i="33" s="1"/>
  <c r="L135" i="33" s="1"/>
  <c r="M135" i="33" s="1"/>
  <c r="N135" i="33" s="1"/>
  <c r="D135" i="33"/>
  <c r="O134" i="33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E134" i="33"/>
  <c r="F134" i="33" s="1"/>
  <c r="G134" i="33" s="1"/>
  <c r="H134" i="33" s="1"/>
  <c r="I134" i="33" s="1"/>
  <c r="J134" i="33" s="1"/>
  <c r="K134" i="33" s="1"/>
  <c r="L134" i="33" s="1"/>
  <c r="M134" i="33" s="1"/>
  <c r="N134" i="33" s="1"/>
  <c r="D134" i="33"/>
  <c r="M133" i="33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L133" i="33"/>
  <c r="I133" i="33"/>
  <c r="J133" i="33" s="1"/>
  <c r="K133" i="33" s="1"/>
  <c r="D133" i="33"/>
  <c r="E133" i="33" s="1"/>
  <c r="F133" i="33" s="1"/>
  <c r="G133" i="33" s="1"/>
  <c r="H133" i="33" s="1"/>
  <c r="W132" i="33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K132" i="33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J132" i="33"/>
  <c r="G132" i="33"/>
  <c r="H132" i="33" s="1"/>
  <c r="I132" i="33" s="1"/>
  <c r="D132" i="33"/>
  <c r="E132" i="33" s="1"/>
  <c r="F132" i="33" s="1"/>
  <c r="J131" i="33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I131" i="33"/>
  <c r="H131" i="33"/>
  <c r="E131" i="33"/>
  <c r="F131" i="33" s="1"/>
  <c r="G131" i="33" s="1"/>
  <c r="D131" i="33"/>
  <c r="D130" i="33"/>
  <c r="E130" i="33" s="1"/>
  <c r="F130" i="33" s="1"/>
  <c r="G130" i="33" s="1"/>
  <c r="H130" i="33" s="1"/>
  <c r="I130" i="33" s="1"/>
  <c r="J130" i="33" s="1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B130" i="33" s="1"/>
  <c r="D128" i="33"/>
  <c r="E128" i="33" s="1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J127" i="33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G127" i="33"/>
  <c r="H127" i="33" s="1"/>
  <c r="I127" i="33" s="1"/>
  <c r="D127" i="33"/>
  <c r="E127" i="33" s="1"/>
  <c r="F127" i="33" s="1"/>
  <c r="P126" i="33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H126" i="33"/>
  <c r="I126" i="33" s="1"/>
  <c r="J126" i="33" s="1"/>
  <c r="K126" i="33" s="1"/>
  <c r="L126" i="33" s="1"/>
  <c r="M126" i="33" s="1"/>
  <c r="N126" i="33" s="1"/>
  <c r="O126" i="33" s="1"/>
  <c r="E126" i="33"/>
  <c r="F126" i="33" s="1"/>
  <c r="G126" i="33" s="1"/>
  <c r="D126" i="33"/>
  <c r="G125" i="33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F125" i="33"/>
  <c r="D125" i="33"/>
  <c r="E125" i="33" s="1"/>
  <c r="N124" i="33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F124" i="33"/>
  <c r="G124" i="33" s="1"/>
  <c r="H124" i="33" s="1"/>
  <c r="I124" i="33" s="1"/>
  <c r="J124" i="33" s="1"/>
  <c r="K124" i="33" s="1"/>
  <c r="L124" i="33" s="1"/>
  <c r="M124" i="33" s="1"/>
  <c r="E124" i="33"/>
  <c r="D124" i="33"/>
  <c r="D123" i="33"/>
  <c r="E123" i="33" s="1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H121" i="33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G121" i="33"/>
  <c r="F121" i="33"/>
  <c r="D121" i="33"/>
  <c r="E121" i="33" s="1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L119" i="33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F119" i="33"/>
  <c r="G119" i="33" s="1"/>
  <c r="H119" i="33" s="1"/>
  <c r="I119" i="33" s="1"/>
  <c r="J119" i="33" s="1"/>
  <c r="K119" i="33" s="1"/>
  <c r="D119" i="33"/>
  <c r="E119" i="33" s="1"/>
  <c r="D118" i="33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D117" i="33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N116" i="33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H116" i="33"/>
  <c r="I116" i="33" s="1"/>
  <c r="J116" i="33" s="1"/>
  <c r="K116" i="33" s="1"/>
  <c r="L116" i="33" s="1"/>
  <c r="M116" i="33" s="1"/>
  <c r="D116" i="33"/>
  <c r="E116" i="33" s="1"/>
  <c r="F116" i="33" s="1"/>
  <c r="G116" i="33" s="1"/>
  <c r="F115" i="33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E115" i="33"/>
  <c r="D115" i="33"/>
  <c r="I114" i="33"/>
  <c r="J114" i="33" s="1"/>
  <c r="K114" i="33" s="1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D114" i="33"/>
  <c r="E114" i="33" s="1"/>
  <c r="F114" i="33" s="1"/>
  <c r="G114" i="33" s="1"/>
  <c r="H114" i="33" s="1"/>
  <c r="N113" i="33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K113" i="33"/>
  <c r="L113" i="33" s="1"/>
  <c r="M113" i="33" s="1"/>
  <c r="G113" i="33"/>
  <c r="H113" i="33" s="1"/>
  <c r="I113" i="33" s="1"/>
  <c r="F113" i="33"/>
  <c r="E113" i="33"/>
  <c r="D113" i="33"/>
  <c r="F112" i="33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E112" i="33"/>
  <c r="D112" i="33"/>
  <c r="M111" i="33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B111" i="33" s="1"/>
  <c r="J111" i="33"/>
  <c r="K111" i="33" s="1"/>
  <c r="L111" i="33" s="1"/>
  <c r="D111" i="33"/>
  <c r="E111" i="33" s="1"/>
  <c r="F111" i="33" s="1"/>
  <c r="G111" i="33" s="1"/>
  <c r="H111" i="33" s="1"/>
  <c r="I111" i="33" s="1"/>
  <c r="L109" i="33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K109" i="33"/>
  <c r="H109" i="33"/>
  <c r="I109" i="33" s="1"/>
  <c r="J109" i="33" s="1"/>
  <c r="G109" i="33"/>
  <c r="D109" i="33"/>
  <c r="E109" i="33" s="1"/>
  <c r="F109" i="33" s="1"/>
  <c r="I108" i="33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B108" i="33" s="1"/>
  <c r="F108" i="33"/>
  <c r="G108" i="33" s="1"/>
  <c r="H108" i="33" s="1"/>
  <c r="E108" i="33"/>
  <c r="D108" i="33"/>
  <c r="D106" i="33"/>
  <c r="E106" i="33" s="1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I105" i="33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F105" i="33"/>
  <c r="G105" i="33" s="1"/>
  <c r="H105" i="33" s="1"/>
  <c r="E105" i="33"/>
  <c r="D105" i="33"/>
  <c r="D104" i="33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E103" i="33"/>
  <c r="F103" i="33" s="1"/>
  <c r="G103" i="33" s="1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B103" i="33" s="1"/>
  <c r="D103" i="33"/>
  <c r="D102" i="33"/>
  <c r="E102" i="33" s="1"/>
  <c r="E101" i="33"/>
  <c r="D101" i="33"/>
  <c r="AH98" i="33"/>
  <c r="AI98" i="33" s="1"/>
  <c r="AH97" i="33"/>
  <c r="AI97" i="33" s="1"/>
  <c r="AH96" i="33"/>
  <c r="AI96" i="33" s="1"/>
  <c r="AH95" i="33"/>
  <c r="AI95" i="33" s="1"/>
  <c r="AH94" i="33"/>
  <c r="AI94" i="33" s="1"/>
  <c r="D93" i="33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Z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B80" i="33"/>
  <c r="AF79" i="33"/>
  <c r="AE79" i="33"/>
  <c r="AD79" i="33"/>
  <c r="AC79" i="33"/>
  <c r="AB79" i="33"/>
  <c r="AA79" i="33"/>
  <c r="Z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B79" i="33"/>
  <c r="AF78" i="33"/>
  <c r="AE78" i="33"/>
  <c r="AD78" i="33"/>
  <c r="AC78" i="33"/>
  <c r="AB78" i="33"/>
  <c r="AA78" i="33"/>
  <c r="Z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B78" i="33"/>
  <c r="AF77" i="33"/>
  <c r="AE77" i="33"/>
  <c r="AD77" i="33"/>
  <c r="AC77" i="33"/>
  <c r="AB77" i="33"/>
  <c r="AA77" i="33"/>
  <c r="Z77" i="33"/>
  <c r="X77" i="33"/>
  <c r="W77" i="33"/>
  <c r="V77" i="33"/>
  <c r="U77" i="33"/>
  <c r="T77" i="33"/>
  <c r="S77" i="33"/>
  <c r="R77" i="33"/>
  <c r="Q77" i="33"/>
  <c r="P77" i="33"/>
  <c r="P82" i="33" s="1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F76" i="33"/>
  <c r="AE76" i="33"/>
  <c r="AD76" i="33"/>
  <c r="AC76" i="33"/>
  <c r="AB76" i="33"/>
  <c r="AA76" i="33"/>
  <c r="AA82" i="33" s="1"/>
  <c r="Z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F82" i="33" s="1"/>
  <c r="E76" i="33"/>
  <c r="D76" i="33"/>
  <c r="C76" i="33"/>
  <c r="B76" i="33"/>
  <c r="AI74" i="33"/>
  <c r="AH74" i="33"/>
  <c r="AG72" i="33"/>
  <c r="AF72" i="33"/>
  <c r="AE72" i="33"/>
  <c r="AD72" i="33"/>
  <c r="AC72" i="33"/>
  <c r="AB72" i="33"/>
  <c r="AA72" i="33"/>
  <c r="Z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B72" i="33"/>
  <c r="AI71" i="33"/>
  <c r="AH71" i="33"/>
  <c r="AI70" i="33"/>
  <c r="AH70" i="33"/>
  <c r="AI69" i="33"/>
  <c r="AH69" i="33"/>
  <c r="AG68" i="33"/>
  <c r="AF68" i="33"/>
  <c r="AE5" i="33" s="1"/>
  <c r="AE68" i="33"/>
  <c r="AD5" i="33" s="1"/>
  <c r="AD68" i="33"/>
  <c r="AC68" i="33"/>
  <c r="AB68" i="33"/>
  <c r="AA5" i="33" s="1"/>
  <c r="AA68" i="33"/>
  <c r="Z5" i="33" s="1"/>
  <c r="Z68" i="33"/>
  <c r="Y5" i="33" s="1"/>
  <c r="X68" i="33"/>
  <c r="W5" i="33" s="1"/>
  <c r="W68" i="33"/>
  <c r="V68" i="33"/>
  <c r="U5" i="33" s="1"/>
  <c r="U68" i="33"/>
  <c r="T68" i="33"/>
  <c r="S5" i="33" s="1"/>
  <c r="S68" i="33"/>
  <c r="R5" i="33" s="1"/>
  <c r="R68" i="33"/>
  <c r="Q5" i="33" s="1"/>
  <c r="Q68" i="33"/>
  <c r="P5" i="33" s="1"/>
  <c r="P68" i="33"/>
  <c r="O68" i="33"/>
  <c r="N5" i="33" s="1"/>
  <c r="N68" i="33"/>
  <c r="M68" i="33"/>
  <c r="L68" i="33"/>
  <c r="K5" i="33" s="1"/>
  <c r="K68" i="33"/>
  <c r="J5" i="33" s="1"/>
  <c r="J68" i="33"/>
  <c r="I5" i="33" s="1"/>
  <c r="I68" i="33"/>
  <c r="H68" i="33"/>
  <c r="G68" i="33"/>
  <c r="F5" i="33" s="1"/>
  <c r="F68" i="33"/>
  <c r="E68" i="33"/>
  <c r="D68" i="33"/>
  <c r="C68" i="33"/>
  <c r="B68" i="33"/>
  <c r="AF5" i="33" s="1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Z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I55" i="33"/>
  <c r="AH55" i="33"/>
  <c r="AI54" i="33"/>
  <c r="AH54" i="33"/>
  <c r="AI53" i="33"/>
  <c r="AH53" i="33"/>
  <c r="Z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G51" i="33"/>
  <c r="AG52" i="33" s="1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I73" i="33" s="1"/>
  <c r="H38" i="33"/>
  <c r="G38" i="33"/>
  <c r="G75" i="33" s="1"/>
  <c r="F38" i="33"/>
  <c r="E38" i="33"/>
  <c r="D38" i="33"/>
  <c r="C38" i="33"/>
  <c r="B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C5" i="33"/>
  <c r="X5" i="33"/>
  <c r="V5" i="33"/>
  <c r="O5" i="33"/>
  <c r="M5" i="33"/>
  <c r="H5" i="33"/>
  <c r="G5" i="33"/>
  <c r="E5" i="33"/>
  <c r="C5" i="33"/>
  <c r="B5" i="33"/>
  <c r="AG4" i="33"/>
  <c r="K4" i="33"/>
  <c r="B4" i="33"/>
  <c r="AG2" i="33"/>
  <c r="AF37" i="31"/>
  <c r="AF37" i="32"/>
  <c r="AE95" i="31"/>
  <c r="AE95" i="32"/>
  <c r="AE37" i="31"/>
  <c r="AE37" i="32"/>
  <c r="AD95" i="31"/>
  <c r="AD95" i="32"/>
  <c r="AD37" i="31"/>
  <c r="AD37" i="32"/>
  <c r="AC95" i="31"/>
  <c r="AC95" i="32"/>
  <c r="AC37" i="31"/>
  <c r="AC37" i="32"/>
  <c r="E4" i="33"/>
  <c r="AF82" i="33" l="1"/>
  <c r="AE82" i="33"/>
  <c r="AD82" i="33"/>
  <c r="AC82" i="33"/>
  <c r="AB82" i="33"/>
  <c r="Z82" i="33"/>
  <c r="Z75" i="33"/>
  <c r="X82" i="33"/>
  <c r="W82" i="33"/>
  <c r="V82" i="33"/>
  <c r="U82" i="33"/>
  <c r="T82" i="33"/>
  <c r="T73" i="33"/>
  <c r="T75" i="33"/>
  <c r="AL213" i="33" s="1"/>
  <c r="S82" i="33"/>
  <c r="S75" i="33"/>
  <c r="AK213" i="33" s="1"/>
  <c r="S73" i="33"/>
  <c r="S83" i="33" s="1"/>
  <c r="R75" i="33"/>
  <c r="R82" i="33"/>
  <c r="Q82" i="33"/>
  <c r="Q73" i="33"/>
  <c r="Q75" i="33"/>
  <c r="P73" i="33"/>
  <c r="P75" i="33"/>
  <c r="O82" i="33"/>
  <c r="O75" i="33"/>
  <c r="AG213" i="33" s="1"/>
  <c r="O73" i="33"/>
  <c r="N82" i="33"/>
  <c r="N73" i="33"/>
  <c r="M82" i="33"/>
  <c r="M75" i="33"/>
  <c r="AE213" i="33" s="1"/>
  <c r="M73" i="33"/>
  <c r="L82" i="33"/>
  <c r="L73" i="33"/>
  <c r="L75" i="33"/>
  <c r="AD213" i="33" s="1"/>
  <c r="K82" i="33"/>
  <c r="J82" i="33"/>
  <c r="K75" i="33"/>
  <c r="AC213" i="33" s="1"/>
  <c r="K73" i="33"/>
  <c r="K83" i="33" s="1"/>
  <c r="J75" i="33"/>
  <c r="J7" i="33" s="1"/>
  <c r="I82" i="33"/>
  <c r="I75" i="33"/>
  <c r="I7" i="33" s="1"/>
  <c r="H82" i="33"/>
  <c r="H75" i="33"/>
  <c r="Z213" i="33" s="1"/>
  <c r="H73" i="33"/>
  <c r="G82" i="33"/>
  <c r="G73" i="33"/>
  <c r="G83" i="33" s="1"/>
  <c r="D82" i="33"/>
  <c r="AH77" i="33"/>
  <c r="AI78" i="33"/>
  <c r="AH78" i="33"/>
  <c r="F73" i="33"/>
  <c r="AI77" i="33"/>
  <c r="E82" i="33"/>
  <c r="E75" i="33"/>
  <c r="W213" i="33" s="1"/>
  <c r="E73" i="33"/>
  <c r="AH56" i="33"/>
  <c r="D73" i="33"/>
  <c r="AI79" i="33"/>
  <c r="C82" i="33"/>
  <c r="AI80" i="33"/>
  <c r="AH38" i="33"/>
  <c r="C73" i="33"/>
  <c r="C75" i="33" s="1"/>
  <c r="C7" i="33" s="1"/>
  <c r="D75" i="33"/>
  <c r="V213" i="33" s="1"/>
  <c r="AH68" i="33"/>
  <c r="B82" i="33"/>
  <c r="AI38" i="33"/>
  <c r="H4" i="33"/>
  <c r="AA213" i="33"/>
  <c r="I83" i="33"/>
  <c r="AI213" i="33"/>
  <c r="Q7" i="33"/>
  <c r="Q83" i="33"/>
  <c r="AJ213" i="33"/>
  <c r="R7" i="33"/>
  <c r="AR213" i="33"/>
  <c r="Z7" i="33"/>
  <c r="AG3" i="33"/>
  <c r="AG6" i="33" s="1"/>
  <c r="AG73" i="33"/>
  <c r="AG83" i="33" s="1"/>
  <c r="F102" i="33"/>
  <c r="E93" i="33"/>
  <c r="L83" i="33"/>
  <c r="M83" i="33"/>
  <c r="Y213" i="33"/>
  <c r="G7" i="33"/>
  <c r="AI56" i="33"/>
  <c r="AI68" i="33"/>
  <c r="AI72" i="33"/>
  <c r="D5" i="33"/>
  <c r="L5" i="33"/>
  <c r="T5" i="33"/>
  <c r="AB5" i="33"/>
  <c r="J73" i="33"/>
  <c r="R73" i="33"/>
  <c r="R83" i="33" s="1"/>
  <c r="Z73" i="33"/>
  <c r="F75" i="33"/>
  <c r="F83" i="33" s="1"/>
  <c r="N75" i="33"/>
  <c r="N83" i="33" s="1"/>
  <c r="AH79" i="33"/>
  <c r="AI76" i="33"/>
  <c r="AH80" i="33"/>
  <c r="AH72" i="33"/>
  <c r="E191" i="33"/>
  <c r="Z83" i="33"/>
  <c r="AG75" i="33"/>
  <c r="F101" i="33"/>
  <c r="S210" i="33"/>
  <c r="D210" i="33"/>
  <c r="AH76" i="33"/>
  <c r="D191" i="33"/>
  <c r="F193" i="33"/>
  <c r="E199" i="33"/>
  <c r="G198" i="33"/>
  <c r="AI82" i="33" l="1"/>
  <c r="T83" i="33"/>
  <c r="T7" i="33"/>
  <c r="S7" i="33"/>
  <c r="P83" i="33"/>
  <c r="AH213" i="33"/>
  <c r="P7" i="33"/>
  <c r="O7" i="33"/>
  <c r="O83" i="33"/>
  <c r="M7" i="33"/>
  <c r="L7" i="33"/>
  <c r="K7" i="33"/>
  <c r="AH82" i="33"/>
  <c r="J83" i="33"/>
  <c r="AB213" i="33"/>
  <c r="B208" i="33"/>
  <c r="U213" i="33"/>
  <c r="H83" i="33"/>
  <c r="H7" i="33"/>
  <c r="E7" i="33"/>
  <c r="E83" i="33"/>
  <c r="D83" i="33"/>
  <c r="D7" i="33"/>
  <c r="C83" i="33"/>
  <c r="F93" i="33"/>
  <c r="G102" i="33"/>
  <c r="F234" i="33"/>
  <c r="H198" i="33"/>
  <c r="F191" i="33"/>
  <c r="G101" i="33"/>
  <c r="AF213" i="33"/>
  <c r="N7" i="33"/>
  <c r="C208" i="33"/>
  <c r="G193" i="33"/>
  <c r="F199" i="33"/>
  <c r="X213" i="33"/>
  <c r="F7" i="33"/>
  <c r="K6" i="33" l="1"/>
  <c r="G191" i="33"/>
  <c r="H101" i="33"/>
  <c r="G234" i="33"/>
  <c r="I198" i="33"/>
  <c r="H193" i="33"/>
  <c r="G199" i="33"/>
  <c r="G93" i="33"/>
  <c r="H102" i="33"/>
  <c r="I102" i="33" l="1"/>
  <c r="H93" i="33"/>
  <c r="H199" i="33"/>
  <c r="I193" i="33"/>
  <c r="H234" i="33"/>
  <c r="J198" i="33"/>
  <c r="H191" i="33"/>
  <c r="I101" i="33"/>
  <c r="I234" i="33" l="1"/>
  <c r="K198" i="33"/>
  <c r="I199" i="33"/>
  <c r="J193" i="33"/>
  <c r="I191" i="33"/>
  <c r="J101" i="33"/>
  <c r="J102" i="33"/>
  <c r="I93" i="33"/>
  <c r="J191" i="33" l="1"/>
  <c r="K101" i="33"/>
  <c r="J234" i="33"/>
  <c r="L198" i="33"/>
  <c r="K102" i="33"/>
  <c r="J93" i="33"/>
  <c r="J199" i="33"/>
  <c r="K193" i="33"/>
  <c r="K234" i="33" l="1"/>
  <c r="M198" i="33"/>
  <c r="K199" i="33"/>
  <c r="L193" i="33"/>
  <c r="L102" i="33"/>
  <c r="K93" i="33"/>
  <c r="K191" i="33"/>
  <c r="L101" i="33"/>
  <c r="L191" i="33" l="1"/>
  <c r="M101" i="33"/>
  <c r="L93" i="33"/>
  <c r="M102" i="33"/>
  <c r="M193" i="33"/>
  <c r="L199" i="33"/>
  <c r="L234" i="33"/>
  <c r="N198" i="33"/>
  <c r="M234" i="33" l="1"/>
  <c r="O198" i="33"/>
  <c r="N102" i="33"/>
  <c r="M93" i="33"/>
  <c r="M191" i="33"/>
  <c r="N101" i="33"/>
  <c r="N193" i="33"/>
  <c r="M199" i="33"/>
  <c r="O193" i="33" l="1"/>
  <c r="N199" i="33"/>
  <c r="N191" i="33"/>
  <c r="O101" i="33"/>
  <c r="O102" i="33"/>
  <c r="N93" i="33"/>
  <c r="N234" i="33"/>
  <c r="P198" i="33"/>
  <c r="P102" i="33" l="1"/>
  <c r="O93" i="33"/>
  <c r="O191" i="33"/>
  <c r="P101" i="33"/>
  <c r="O234" i="33"/>
  <c r="Q198" i="33"/>
  <c r="P193" i="33"/>
  <c r="O199" i="33"/>
  <c r="P199" i="33" l="1"/>
  <c r="Q193" i="33"/>
  <c r="P234" i="33"/>
  <c r="R198" i="33"/>
  <c r="P191" i="33"/>
  <c r="Q101" i="33"/>
  <c r="Q102" i="33"/>
  <c r="P93" i="33"/>
  <c r="R102" i="33" l="1"/>
  <c r="Q93" i="33"/>
  <c r="Q191" i="33"/>
  <c r="R101" i="33"/>
  <c r="Q234" i="33"/>
  <c r="S198" i="33"/>
  <c r="Q199" i="33"/>
  <c r="R193" i="33"/>
  <c r="R199" i="33" l="1"/>
  <c r="S193" i="33"/>
  <c r="R234" i="33"/>
  <c r="T198" i="33"/>
  <c r="R191" i="33"/>
  <c r="S101" i="33"/>
  <c r="R93" i="33"/>
  <c r="S102" i="33"/>
  <c r="S93" i="33" l="1"/>
  <c r="T102" i="33"/>
  <c r="S191" i="33"/>
  <c r="T101" i="33"/>
  <c r="S234" i="33"/>
  <c r="U198" i="33"/>
  <c r="S199" i="33"/>
  <c r="T193" i="33"/>
  <c r="U193" i="33" l="1"/>
  <c r="T199" i="33"/>
  <c r="T234" i="33"/>
  <c r="V198" i="33"/>
  <c r="T191" i="33"/>
  <c r="U101" i="33"/>
  <c r="U102" i="33"/>
  <c r="T93" i="33"/>
  <c r="V102" i="33" l="1"/>
  <c r="U93" i="33"/>
  <c r="U191" i="33"/>
  <c r="V101" i="33"/>
  <c r="U234" i="33"/>
  <c r="W198" i="33"/>
  <c r="V193" i="33"/>
  <c r="U199" i="33"/>
  <c r="U51" i="33" s="1"/>
  <c r="U52" i="33" s="1"/>
  <c r="U75" i="33" l="1"/>
  <c r="U73" i="33"/>
  <c r="U83" i="33" s="1"/>
  <c r="W193" i="33"/>
  <c r="V199" i="33"/>
  <c r="V51" i="33" s="1"/>
  <c r="V52" i="33" s="1"/>
  <c r="V234" i="33"/>
  <c r="X198" i="33"/>
  <c r="V191" i="33"/>
  <c r="W101" i="33"/>
  <c r="V93" i="33"/>
  <c r="W102" i="33"/>
  <c r="W191" i="33" l="1"/>
  <c r="X101" i="33"/>
  <c r="W234" i="33"/>
  <c r="Y198" i="33"/>
  <c r="X193" i="33"/>
  <c r="W199" i="33"/>
  <c r="W51" i="33" s="1"/>
  <c r="W52" i="33" s="1"/>
  <c r="V73" i="33"/>
  <c r="V75" i="33"/>
  <c r="W93" i="33"/>
  <c r="X102" i="33"/>
  <c r="AM213" i="33"/>
  <c r="U7" i="33"/>
  <c r="V83" i="33" l="1"/>
  <c r="AN213" i="33"/>
  <c r="V7" i="33"/>
  <c r="W75" i="33"/>
  <c r="W73" i="33"/>
  <c r="X199" i="33"/>
  <c r="X51" i="33" s="1"/>
  <c r="X52" i="33" s="1"/>
  <c r="Y193" i="33"/>
  <c r="X234" i="33"/>
  <c r="Z198" i="33"/>
  <c r="Y102" i="33"/>
  <c r="X93" i="33"/>
  <c r="X191" i="33"/>
  <c r="Y101" i="33"/>
  <c r="W83" i="33" l="1"/>
  <c r="Y234" i="33"/>
  <c r="AA198" i="33"/>
  <c r="Y199" i="33"/>
  <c r="Z193" i="33"/>
  <c r="X73" i="33"/>
  <c r="X75" i="33"/>
  <c r="Y191" i="33"/>
  <c r="Z101" i="33"/>
  <c r="AO213" i="33"/>
  <c r="W7" i="33"/>
  <c r="Z102" i="33"/>
  <c r="X83" i="33" l="1"/>
  <c r="AP213" i="33"/>
  <c r="X7" i="33"/>
  <c r="Z93" i="33"/>
  <c r="AA102" i="33"/>
  <c r="Z191" i="33"/>
  <c r="AA101" i="33"/>
  <c r="Z234" i="33"/>
  <c r="AB198" i="33"/>
  <c r="Z199" i="33"/>
  <c r="AA193" i="33"/>
  <c r="AA191" i="33" l="1"/>
  <c r="AB101" i="33"/>
  <c r="AA199" i="33"/>
  <c r="AA51" i="33" s="1"/>
  <c r="AA52" i="33" s="1"/>
  <c r="AB193" i="33"/>
  <c r="AB102" i="33"/>
  <c r="AA93" i="33"/>
  <c r="AA234" i="33"/>
  <c r="AC198" i="33"/>
  <c r="AQ213" i="33"/>
  <c r="Y7" i="33"/>
  <c r="AB93" i="33" l="1"/>
  <c r="AC102" i="33"/>
  <c r="AA75" i="33"/>
  <c r="AA73" i="33"/>
  <c r="AB234" i="33"/>
  <c r="AD198" i="33"/>
  <c r="AC193" i="33"/>
  <c r="AB199" i="33"/>
  <c r="AB51" i="33" s="1"/>
  <c r="AB52" i="33" s="1"/>
  <c r="AB191" i="33"/>
  <c r="AC101" i="33"/>
  <c r="AA83" i="33" l="1"/>
  <c r="AB75" i="33"/>
  <c r="AB73" i="33"/>
  <c r="AB83" i="33" s="1"/>
  <c r="AS213" i="33"/>
  <c r="AA7" i="33"/>
  <c r="AC234" i="33"/>
  <c r="AE198" i="33"/>
  <c r="AC191" i="33"/>
  <c r="AD101" i="33"/>
  <c r="AD102" i="33"/>
  <c r="AC93" i="33"/>
  <c r="AD193" i="33"/>
  <c r="AC199" i="33"/>
  <c r="AC51" i="33" s="1"/>
  <c r="AC52" i="33" s="1"/>
  <c r="AC75" i="33" l="1"/>
  <c r="AC73" i="33"/>
  <c r="AC83" i="33" s="1"/>
  <c r="AE193" i="33"/>
  <c r="AD199" i="33"/>
  <c r="AD51" i="33" s="1"/>
  <c r="AD52" i="33" s="1"/>
  <c r="AD191" i="33"/>
  <c r="AE101" i="33"/>
  <c r="AD234" i="33"/>
  <c r="AF198" i="33"/>
  <c r="AE102" i="33"/>
  <c r="AD93" i="33"/>
  <c r="AT213" i="33"/>
  <c r="AB7" i="33"/>
  <c r="AE234" i="33" l="1"/>
  <c r="B198" i="33"/>
  <c r="AF234" i="33" s="1"/>
  <c r="AE191" i="33"/>
  <c r="AF101" i="33"/>
  <c r="AD75" i="33"/>
  <c r="AD73" i="33"/>
  <c r="AD83" i="33" s="1"/>
  <c r="AF193" i="33"/>
  <c r="AE199" i="33"/>
  <c r="AE51" i="33" s="1"/>
  <c r="AE52" i="33" s="1"/>
  <c r="AF102" i="33"/>
  <c r="AE93" i="33"/>
  <c r="AU213" i="33"/>
  <c r="AC7" i="33"/>
  <c r="AE75" i="33" l="1"/>
  <c r="AE73" i="33"/>
  <c r="AF199" i="33"/>
  <c r="AF51" i="33" s="1"/>
  <c r="AF52" i="33" s="1"/>
  <c r="B193" i="33"/>
  <c r="B199" i="33" s="1"/>
  <c r="AV213" i="33"/>
  <c r="AD7" i="33"/>
  <c r="AF191" i="33"/>
  <c r="B101" i="33"/>
  <c r="B191" i="33" s="1"/>
  <c r="B102" i="33"/>
  <c r="B93" i="33" s="1"/>
  <c r="AF93" i="33"/>
  <c r="AE83" i="33" l="1"/>
  <c r="AI51" i="33"/>
  <c r="AH51" i="33"/>
  <c r="B52" i="33"/>
  <c r="AF75" i="33"/>
  <c r="AF73" i="33"/>
  <c r="AF83" i="33" s="1"/>
  <c r="AH93" i="33"/>
  <c r="AI93" i="33"/>
  <c r="AW213" i="33"/>
  <c r="AE7" i="33"/>
  <c r="AX213" i="33" l="1"/>
  <c r="AF7" i="33"/>
  <c r="AI52" i="33"/>
  <c r="AH52" i="33"/>
  <c r="B75" i="33"/>
  <c r="B73" i="33"/>
  <c r="T213" i="33" l="1"/>
  <c r="AI75" i="33"/>
  <c r="AH75" i="33"/>
  <c r="B7" i="33"/>
  <c r="A7" i="33" s="1"/>
  <c r="AI73" i="33"/>
  <c r="AH73" i="33"/>
  <c r="B83" i="33"/>
  <c r="AH83" i="33" l="1"/>
  <c r="AI83" i="33"/>
  <c r="AB95" i="31" l="1"/>
  <c r="AB95" i="32"/>
  <c r="AB37" i="31"/>
  <c r="AB37" i="32"/>
  <c r="X95" i="31"/>
  <c r="X95" i="32"/>
  <c r="X37" i="31"/>
  <c r="X37" i="32"/>
  <c r="W95" i="31"/>
  <c r="W95" i="32"/>
  <c r="W37" i="31"/>
  <c r="W37" i="32"/>
  <c r="V37" i="31"/>
  <c r="V37" i="32"/>
  <c r="U37" i="31"/>
  <c r="U37" i="32"/>
  <c r="T95" i="31"/>
  <c r="T95" i="32"/>
  <c r="T37" i="31"/>
  <c r="T37" i="32"/>
  <c r="S95" i="31"/>
  <c r="S95" i="32"/>
  <c r="S37" i="31"/>
  <c r="S37" i="32"/>
  <c r="R38" i="32" l="1"/>
  <c r="R37" i="32"/>
  <c r="Q37" i="32"/>
  <c r="P37" i="32"/>
  <c r="O37" i="32" l="1"/>
  <c r="N37" i="32"/>
  <c r="M37" i="32"/>
  <c r="L37" i="32"/>
  <c r="K37" i="32" l="1"/>
  <c r="J37" i="32"/>
  <c r="I37" i="32"/>
  <c r="H37" i="32"/>
  <c r="G37" i="32"/>
  <c r="F37" i="32"/>
  <c r="E37" i="32"/>
  <c r="AH99" i="32"/>
  <c r="AI99" i="32" s="1"/>
  <c r="B51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P235" i="32"/>
  <c r="O235" i="32"/>
  <c r="N235" i="32"/>
  <c r="M235" i="32"/>
  <c r="L235" i="32"/>
  <c r="K235" i="32"/>
  <c r="J235" i="32"/>
  <c r="I235" i="32"/>
  <c r="H235" i="32"/>
  <c r="G235" i="32"/>
  <c r="F235" i="32"/>
  <c r="E235" i="32"/>
  <c r="D235" i="32"/>
  <c r="C235" i="32"/>
  <c r="B235" i="32"/>
  <c r="A235" i="32"/>
  <c r="E234" i="32"/>
  <c r="D234" i="32"/>
  <c r="C234" i="32"/>
  <c r="B234" i="32"/>
  <c r="S209" i="32"/>
  <c r="AG199" i="32"/>
  <c r="C199" i="32"/>
  <c r="F198" i="32"/>
  <c r="G198" i="32" s="1"/>
  <c r="F234" i="32" s="1"/>
  <c r="E198" i="32"/>
  <c r="D198" i="32"/>
  <c r="I197" i="32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F197" i="32"/>
  <c r="G197" i="32" s="1"/>
  <c r="H197" i="32" s="1"/>
  <c r="D197" i="32"/>
  <c r="E197" i="32" s="1"/>
  <c r="D196" i="32"/>
  <c r="E195" i="32"/>
  <c r="F195" i="32" s="1"/>
  <c r="G195" i="32" s="1"/>
  <c r="H195" i="32" s="1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D195" i="32"/>
  <c r="F194" i="32"/>
  <c r="G194" i="32" s="1"/>
  <c r="H194" i="32" s="1"/>
  <c r="I194" i="32" s="1"/>
  <c r="J194" i="32" s="1"/>
  <c r="K194" i="32" s="1"/>
  <c r="L194" i="32" s="1"/>
  <c r="M194" i="32" s="1"/>
  <c r="N194" i="32" s="1"/>
  <c r="O194" i="32" s="1"/>
  <c r="P194" i="32" s="1"/>
  <c r="Q194" i="32" s="1"/>
  <c r="R194" i="32" s="1"/>
  <c r="S194" i="32" s="1"/>
  <c r="T194" i="32" s="1"/>
  <c r="U194" i="32" s="1"/>
  <c r="V194" i="32" s="1"/>
  <c r="W194" i="32" s="1"/>
  <c r="X194" i="32" s="1"/>
  <c r="Y194" i="32" s="1"/>
  <c r="Z194" i="32" s="1"/>
  <c r="AA194" i="32" s="1"/>
  <c r="AB194" i="32" s="1"/>
  <c r="AC194" i="32" s="1"/>
  <c r="AD194" i="32" s="1"/>
  <c r="AE194" i="32" s="1"/>
  <c r="AF194" i="32" s="1"/>
  <c r="B194" i="32" s="1"/>
  <c r="E194" i="32"/>
  <c r="D194" i="32"/>
  <c r="E193" i="32"/>
  <c r="D193" i="32"/>
  <c r="AG191" i="32"/>
  <c r="C191" i="32"/>
  <c r="D190" i="32"/>
  <c r="E190" i="32" s="1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B190" i="32" s="1"/>
  <c r="E189" i="32"/>
  <c r="F189" i="32" s="1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D189" i="32"/>
  <c r="H188" i="32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G188" i="32"/>
  <c r="F188" i="32"/>
  <c r="D188" i="32"/>
  <c r="E188" i="32" s="1"/>
  <c r="E187" i="32"/>
  <c r="F187" i="32" s="1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D187" i="32"/>
  <c r="J186" i="32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I186" i="32"/>
  <c r="H186" i="32"/>
  <c r="G186" i="32"/>
  <c r="D186" i="32"/>
  <c r="E186" i="32" s="1"/>
  <c r="F186" i="32" s="1"/>
  <c r="H185" i="32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G185" i="32"/>
  <c r="F185" i="32"/>
  <c r="E185" i="32"/>
  <c r="D185" i="32"/>
  <c r="F184" i="32"/>
  <c r="G184" i="32" s="1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B184" i="32" s="1"/>
  <c r="E184" i="32"/>
  <c r="D184" i="32"/>
  <c r="D183" i="32"/>
  <c r="E183" i="32" s="1"/>
  <c r="F183" i="32" s="1"/>
  <c r="G183" i="32" s="1"/>
  <c r="H183" i="32" s="1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F182" i="32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D182" i="32"/>
  <c r="E182" i="32" s="1"/>
  <c r="Y181" i="32"/>
  <c r="Z181" i="32" s="1"/>
  <c r="AA181" i="32" s="1"/>
  <c r="AB181" i="32" s="1"/>
  <c r="AC181" i="32" s="1"/>
  <c r="AD181" i="32" s="1"/>
  <c r="AE181" i="32" s="1"/>
  <c r="AF181" i="32" s="1"/>
  <c r="B181" i="32" s="1"/>
  <c r="G181" i="32"/>
  <c r="H181" i="32" s="1"/>
  <c r="I181" i="32" s="1"/>
  <c r="J181" i="32" s="1"/>
  <c r="K181" i="32" s="1"/>
  <c r="L181" i="32" s="1"/>
  <c r="M181" i="32" s="1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E181" i="32"/>
  <c r="F181" i="32" s="1"/>
  <c r="D181" i="32"/>
  <c r="J180" i="32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D180" i="32"/>
  <c r="E180" i="32" s="1"/>
  <c r="F180" i="32" s="1"/>
  <c r="G180" i="32" s="1"/>
  <c r="H180" i="32" s="1"/>
  <c r="I180" i="32" s="1"/>
  <c r="D179" i="32"/>
  <c r="E179" i="32" s="1"/>
  <c r="F179" i="32" s="1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B179" i="32" s="1"/>
  <c r="H178" i="32"/>
  <c r="I178" i="32" s="1"/>
  <c r="J178" i="32" s="1"/>
  <c r="K178" i="32" s="1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AA178" i="32" s="1"/>
  <c r="AB178" i="32" s="1"/>
  <c r="AC178" i="32" s="1"/>
  <c r="AD178" i="32" s="1"/>
  <c r="AE178" i="32" s="1"/>
  <c r="AF178" i="32" s="1"/>
  <c r="B178" i="32" s="1"/>
  <c r="D178" i="32"/>
  <c r="E178" i="32" s="1"/>
  <c r="F178" i="32" s="1"/>
  <c r="G178" i="32" s="1"/>
  <c r="G176" i="32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F176" i="32"/>
  <c r="D176" i="32"/>
  <c r="E176" i="32" s="1"/>
  <c r="V175" i="32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B175" i="32" s="1"/>
  <c r="E175" i="32"/>
  <c r="F175" i="32" s="1"/>
  <c r="G175" i="32" s="1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D175" i="32"/>
  <c r="P174" i="32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M174" i="32"/>
  <c r="N174" i="32" s="1"/>
  <c r="O174" i="32" s="1"/>
  <c r="E174" i="32"/>
  <c r="F174" i="32" s="1"/>
  <c r="G174" i="32" s="1"/>
  <c r="H174" i="32" s="1"/>
  <c r="I174" i="32" s="1"/>
  <c r="J174" i="32" s="1"/>
  <c r="K174" i="32" s="1"/>
  <c r="L174" i="32" s="1"/>
  <c r="D174" i="32"/>
  <c r="F173" i="32"/>
  <c r="G173" i="32" s="1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D173" i="32"/>
  <c r="E173" i="32" s="1"/>
  <c r="D172" i="32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E170" i="32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D170" i="32"/>
  <c r="W169" i="32"/>
  <c r="X169" i="32" s="1"/>
  <c r="Y169" i="32" s="1"/>
  <c r="Z169" i="32" s="1"/>
  <c r="AA169" i="32" s="1"/>
  <c r="AB169" i="32" s="1"/>
  <c r="AC169" i="32" s="1"/>
  <c r="AD169" i="32" s="1"/>
  <c r="AE169" i="32" s="1"/>
  <c r="AF169" i="32" s="1"/>
  <c r="B169" i="32" s="1"/>
  <c r="D169" i="32"/>
  <c r="E169" i="32" s="1"/>
  <c r="F169" i="32" s="1"/>
  <c r="G169" i="32" s="1"/>
  <c r="H169" i="32" s="1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E167" i="32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D167" i="32"/>
  <c r="J166" i="32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6" i="32"/>
  <c r="E166" i="32" s="1"/>
  <c r="F166" i="32" s="1"/>
  <c r="G166" i="32" s="1"/>
  <c r="H166" i="32" s="1"/>
  <c r="I166" i="32" s="1"/>
  <c r="E165" i="32"/>
  <c r="F165" i="32" s="1"/>
  <c r="G165" i="32" s="1"/>
  <c r="H165" i="32" s="1"/>
  <c r="I165" i="32" s="1"/>
  <c r="J165" i="32" s="1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D165" i="32"/>
  <c r="D164" i="32"/>
  <c r="E164" i="32" s="1"/>
  <c r="F164" i="32" s="1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T163" i="32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D163" i="32"/>
  <c r="E163" i="32" s="1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D162" i="32"/>
  <c r="E162" i="32" s="1"/>
  <c r="F162" i="32" s="1"/>
  <c r="G162" i="32" s="1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U161" i="32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E161" i="32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D161" i="32"/>
  <c r="H160" i="32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D160" i="32"/>
  <c r="E160" i="32" s="1"/>
  <c r="F160" i="32" s="1"/>
  <c r="G160" i="32" s="1"/>
  <c r="M159" i="32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D159" i="32"/>
  <c r="E159" i="32" s="1"/>
  <c r="F159" i="32" s="1"/>
  <c r="G159" i="32" s="1"/>
  <c r="H159" i="32" s="1"/>
  <c r="I159" i="32" s="1"/>
  <c r="J159" i="32" s="1"/>
  <c r="K159" i="32" s="1"/>
  <c r="L159" i="32" s="1"/>
  <c r="D158" i="32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B158" i="32" s="1"/>
  <c r="X157" i="32"/>
  <c r="Y157" i="32" s="1"/>
  <c r="Z157" i="32" s="1"/>
  <c r="AA157" i="32" s="1"/>
  <c r="AB157" i="32" s="1"/>
  <c r="AC157" i="32" s="1"/>
  <c r="AD157" i="32" s="1"/>
  <c r="AE157" i="32" s="1"/>
  <c r="AF157" i="32" s="1"/>
  <c r="B157" i="32" s="1"/>
  <c r="K157" i="32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D157" i="32"/>
  <c r="E157" i="32" s="1"/>
  <c r="F157" i="32" s="1"/>
  <c r="G157" i="32" s="1"/>
  <c r="H157" i="32" s="1"/>
  <c r="I157" i="32" s="1"/>
  <c r="J157" i="32" s="1"/>
  <c r="D156" i="32"/>
  <c r="E156" i="32" s="1"/>
  <c r="F156" i="32" s="1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G155" i="32"/>
  <c r="H155" i="32" s="1"/>
  <c r="I155" i="32" s="1"/>
  <c r="J155" i="32" s="1"/>
  <c r="K155" i="32" s="1"/>
  <c r="L155" i="32" s="1"/>
  <c r="M155" i="32" s="1"/>
  <c r="N155" i="32" s="1"/>
  <c r="O155" i="32" s="1"/>
  <c r="P155" i="32" s="1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AF155" i="32" s="1"/>
  <c r="B155" i="32" s="1"/>
  <c r="D155" i="32"/>
  <c r="E155" i="32" s="1"/>
  <c r="F155" i="32" s="1"/>
  <c r="E153" i="32"/>
  <c r="F153" i="32" s="1"/>
  <c r="G153" i="32" s="1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D153" i="32"/>
  <c r="F152" i="32"/>
  <c r="G152" i="32" s="1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D152" i="32"/>
  <c r="E152" i="32" s="1"/>
  <c r="E151" i="32"/>
  <c r="F151" i="32" s="1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D151" i="32"/>
  <c r="P150" i="32"/>
  <c r="Q150" i="32" s="1"/>
  <c r="R150" i="32" s="1"/>
  <c r="S150" i="32" s="1"/>
  <c r="T150" i="32" s="1"/>
  <c r="U150" i="32" s="1"/>
  <c r="V150" i="32" s="1"/>
  <c r="W150" i="32" s="1"/>
  <c r="X150" i="32" s="1"/>
  <c r="Y150" i="32" s="1"/>
  <c r="Z150" i="32" s="1"/>
  <c r="AA150" i="32" s="1"/>
  <c r="AB150" i="32" s="1"/>
  <c r="AC150" i="32" s="1"/>
  <c r="AD150" i="32" s="1"/>
  <c r="AE150" i="32" s="1"/>
  <c r="AF150" i="32" s="1"/>
  <c r="B150" i="32" s="1"/>
  <c r="H150" i="32"/>
  <c r="I150" i="32" s="1"/>
  <c r="J150" i="32" s="1"/>
  <c r="K150" i="32" s="1"/>
  <c r="L150" i="32" s="1"/>
  <c r="M150" i="32" s="1"/>
  <c r="N150" i="32" s="1"/>
  <c r="O150" i="32" s="1"/>
  <c r="F150" i="32"/>
  <c r="G150" i="32" s="1"/>
  <c r="E150" i="32"/>
  <c r="D150" i="32"/>
  <c r="F148" i="32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D148" i="32"/>
  <c r="E148" i="32" s="1"/>
  <c r="D147" i="32"/>
  <c r="E147" i="32" s="1"/>
  <c r="F147" i="32" s="1"/>
  <c r="G147" i="32" s="1"/>
  <c r="H147" i="32" s="1"/>
  <c r="I147" i="32" s="1"/>
  <c r="J147" i="32" s="1"/>
  <c r="K147" i="32" s="1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W147" i="32" s="1"/>
  <c r="X147" i="32" s="1"/>
  <c r="Y147" i="32" s="1"/>
  <c r="Z147" i="32" s="1"/>
  <c r="AA147" i="32" s="1"/>
  <c r="AB147" i="32" s="1"/>
  <c r="AC147" i="32" s="1"/>
  <c r="AD147" i="32" s="1"/>
  <c r="AE147" i="32" s="1"/>
  <c r="AF147" i="32" s="1"/>
  <c r="B147" i="32" s="1"/>
  <c r="E145" i="32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D145" i="32"/>
  <c r="Z144" i="32"/>
  <c r="AA144" i="32" s="1"/>
  <c r="AB144" i="32" s="1"/>
  <c r="AC144" i="32" s="1"/>
  <c r="AD144" i="32" s="1"/>
  <c r="AE144" i="32" s="1"/>
  <c r="AF144" i="32" s="1"/>
  <c r="B144" i="32" s="1"/>
  <c r="N144" i="32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F144" i="32"/>
  <c r="G144" i="32" s="1"/>
  <c r="H144" i="32" s="1"/>
  <c r="I144" i="32" s="1"/>
  <c r="J144" i="32" s="1"/>
  <c r="K144" i="32" s="1"/>
  <c r="L144" i="32" s="1"/>
  <c r="M144" i="32" s="1"/>
  <c r="E144" i="32"/>
  <c r="D144" i="32"/>
  <c r="H143" i="32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D143" i="32"/>
  <c r="E143" i="32" s="1"/>
  <c r="F143" i="32" s="1"/>
  <c r="G143" i="32" s="1"/>
  <c r="D142" i="32"/>
  <c r="E142" i="32" s="1"/>
  <c r="F142" i="32" s="1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B142" i="32" s="1"/>
  <c r="E141" i="32"/>
  <c r="F141" i="32" s="1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D141" i="32"/>
  <c r="E140" i="32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D140" i="32"/>
  <c r="N139" i="32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B139" i="32" s="1"/>
  <c r="D139" i="32"/>
  <c r="E139" i="32" s="1"/>
  <c r="F139" i="32" s="1"/>
  <c r="G139" i="32" s="1"/>
  <c r="H139" i="32" s="1"/>
  <c r="I139" i="32" s="1"/>
  <c r="J139" i="32" s="1"/>
  <c r="K139" i="32" s="1"/>
  <c r="L139" i="32" s="1"/>
  <c r="M139" i="32" s="1"/>
  <c r="G137" i="32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F137" i="32"/>
  <c r="E137" i="32"/>
  <c r="D137" i="32"/>
  <c r="M136" i="32"/>
  <c r="N136" i="32" s="1"/>
  <c r="O136" i="32" s="1"/>
  <c r="P136" i="32" s="1"/>
  <c r="Q136" i="32" s="1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E136" i="32"/>
  <c r="F136" i="32" s="1"/>
  <c r="G136" i="32" s="1"/>
  <c r="H136" i="32" s="1"/>
  <c r="I136" i="32" s="1"/>
  <c r="J136" i="32" s="1"/>
  <c r="K136" i="32" s="1"/>
  <c r="L136" i="32" s="1"/>
  <c r="D136" i="32"/>
  <c r="E135" i="32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D135" i="32"/>
  <c r="E134" i="32"/>
  <c r="F134" i="32" s="1"/>
  <c r="G134" i="32" s="1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D134" i="32"/>
  <c r="G133" i="32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F133" i="32"/>
  <c r="E133" i="32"/>
  <c r="D133" i="32"/>
  <c r="E132" i="32"/>
  <c r="F132" i="32" s="1"/>
  <c r="G132" i="32" s="1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D132" i="32"/>
  <c r="S131" i="32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E131" i="32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D131" i="32"/>
  <c r="E130" i="32"/>
  <c r="F130" i="32" s="1"/>
  <c r="G130" i="32" s="1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B130" i="32" s="1"/>
  <c r="D130" i="32"/>
  <c r="G128" i="32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F128" i="32"/>
  <c r="E128" i="32"/>
  <c r="D128" i="32"/>
  <c r="E127" i="32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D127" i="32"/>
  <c r="E126" i="32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D126" i="32"/>
  <c r="I125" i="32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H125" i="32"/>
  <c r="D125" i="32"/>
  <c r="E125" i="32" s="1"/>
  <c r="F125" i="32" s="1"/>
  <c r="G125" i="32" s="1"/>
  <c r="G124" i="32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F124" i="32"/>
  <c r="E124" i="32"/>
  <c r="D124" i="32"/>
  <c r="D123" i="32"/>
  <c r="E123" i="32" s="1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J122" i="32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E122" i="32"/>
  <c r="F122" i="32" s="1"/>
  <c r="G122" i="32" s="1"/>
  <c r="H122" i="32" s="1"/>
  <c r="I122" i="32" s="1"/>
  <c r="D122" i="32"/>
  <c r="D121" i="32"/>
  <c r="E121" i="32" s="1"/>
  <c r="F121" i="32" s="1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F120" i="32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E120" i="32"/>
  <c r="D120" i="32"/>
  <c r="E119" i="32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D119" i="32"/>
  <c r="E118" i="32"/>
  <c r="F118" i="32" s="1"/>
  <c r="G118" i="32" s="1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D118" i="32"/>
  <c r="P117" i="32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E117" i="32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D117" i="32"/>
  <c r="G116" i="32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F116" i="32"/>
  <c r="E116" i="32"/>
  <c r="D116" i="32"/>
  <c r="E115" i="32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D115" i="32"/>
  <c r="F114" i="32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E114" i="32"/>
  <c r="D114" i="32"/>
  <c r="L113" i="32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K113" i="32"/>
  <c r="D113" i="32"/>
  <c r="E113" i="32" s="1"/>
  <c r="F113" i="32" s="1"/>
  <c r="G113" i="32" s="1"/>
  <c r="H113" i="32" s="1"/>
  <c r="I113" i="32" s="1"/>
  <c r="F112" i="32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E112" i="32"/>
  <c r="D112" i="32"/>
  <c r="H111" i="32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B111" i="32" s="1"/>
  <c r="D111" i="32"/>
  <c r="E111" i="32" s="1"/>
  <c r="F111" i="32" s="1"/>
  <c r="G111" i="32" s="1"/>
  <c r="M109" i="32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109" i="32"/>
  <c r="E109" i="32" s="1"/>
  <c r="F109" i="32" s="1"/>
  <c r="G109" i="32" s="1"/>
  <c r="H109" i="32" s="1"/>
  <c r="I109" i="32" s="1"/>
  <c r="J109" i="32" s="1"/>
  <c r="K109" i="32" s="1"/>
  <c r="L109" i="32" s="1"/>
  <c r="D108" i="32"/>
  <c r="E108" i="32" s="1"/>
  <c r="E106" i="32"/>
  <c r="F106" i="32" s="1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6" i="32"/>
  <c r="O105" i="32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F105" i="32"/>
  <c r="G105" i="32" s="1"/>
  <c r="H105" i="32" s="1"/>
  <c r="I105" i="32" s="1"/>
  <c r="J105" i="32" s="1"/>
  <c r="K105" i="32" s="1"/>
  <c r="L105" i="32" s="1"/>
  <c r="M105" i="32" s="1"/>
  <c r="N105" i="32" s="1"/>
  <c r="D105" i="32"/>
  <c r="E105" i="32" s="1"/>
  <c r="J104" i="32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F104" i="32"/>
  <c r="G104" i="32" s="1"/>
  <c r="H104" i="32" s="1"/>
  <c r="I104" i="32" s="1"/>
  <c r="E104" i="32"/>
  <c r="D104" i="32"/>
  <c r="D103" i="32"/>
  <c r="E103" i="32" s="1"/>
  <c r="F103" i="32" s="1"/>
  <c r="G103" i="32" s="1"/>
  <c r="H103" i="32" s="1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B103" i="32" s="1"/>
  <c r="F102" i="32"/>
  <c r="E102" i="32"/>
  <c r="D102" i="32"/>
  <c r="D101" i="32"/>
  <c r="AH98" i="32"/>
  <c r="AI98" i="32" s="1"/>
  <c r="AH97" i="32"/>
  <c r="AI97" i="32" s="1"/>
  <c r="AH96" i="32"/>
  <c r="AI96" i="32" s="1"/>
  <c r="AH95" i="32"/>
  <c r="AI95" i="32" s="1"/>
  <c r="AH94" i="32"/>
  <c r="AI94" i="32" s="1"/>
  <c r="D93" i="32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AI81" i="32"/>
  <c r="AH81" i="32"/>
  <c r="AF80" i="32"/>
  <c r="AE80" i="32"/>
  <c r="AD80" i="32"/>
  <c r="AC80" i="32"/>
  <c r="AB80" i="32"/>
  <c r="AA80" i="32"/>
  <c r="Z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E82" i="32" s="1"/>
  <c r="D80" i="32"/>
  <c r="C80" i="32"/>
  <c r="B80" i="32"/>
  <c r="AF79" i="32"/>
  <c r="AE79" i="32"/>
  <c r="AD79" i="32"/>
  <c r="AC79" i="32"/>
  <c r="AB79" i="32"/>
  <c r="AA79" i="32"/>
  <c r="Z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C79" i="32"/>
  <c r="B79" i="32"/>
  <c r="AF78" i="32"/>
  <c r="AE78" i="32"/>
  <c r="AD78" i="32"/>
  <c r="AC78" i="32"/>
  <c r="AB78" i="32"/>
  <c r="AA78" i="32"/>
  <c r="Z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AF77" i="32"/>
  <c r="AE77" i="32"/>
  <c r="AD77" i="32"/>
  <c r="AC77" i="32"/>
  <c r="AC82" i="32" s="1"/>
  <c r="AB77" i="32"/>
  <c r="AA77" i="32"/>
  <c r="Z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F82" i="32" s="1"/>
  <c r="AE76" i="32"/>
  <c r="AD76" i="32"/>
  <c r="AD82" i="32" s="1"/>
  <c r="AC76" i="32"/>
  <c r="AB76" i="32"/>
  <c r="AA76" i="32"/>
  <c r="Z76" i="32"/>
  <c r="X76" i="32"/>
  <c r="W76" i="32"/>
  <c r="V76" i="32"/>
  <c r="U76" i="32"/>
  <c r="T76" i="32"/>
  <c r="S76" i="32"/>
  <c r="R76" i="32"/>
  <c r="Q76" i="32"/>
  <c r="P76" i="32"/>
  <c r="P82" i="32" s="1"/>
  <c r="O76" i="32"/>
  <c r="N76" i="32"/>
  <c r="M76" i="32"/>
  <c r="L76" i="32"/>
  <c r="K76" i="32"/>
  <c r="K82" i="32" s="1"/>
  <c r="J76" i="32"/>
  <c r="I76" i="32"/>
  <c r="H76" i="32"/>
  <c r="G76" i="32"/>
  <c r="F76" i="32"/>
  <c r="E76" i="32"/>
  <c r="D76" i="32"/>
  <c r="C76" i="32"/>
  <c r="B76" i="32"/>
  <c r="AI74" i="32"/>
  <c r="AH74" i="32"/>
  <c r="AG72" i="32"/>
  <c r="AF72" i="32"/>
  <c r="AE72" i="32"/>
  <c r="AD72" i="32"/>
  <c r="AC72" i="32"/>
  <c r="AB72" i="32"/>
  <c r="AA72" i="32"/>
  <c r="Z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AI72" i="32" s="1"/>
  <c r="B72" i="32"/>
  <c r="AI71" i="32"/>
  <c r="AH71" i="32"/>
  <c r="AI70" i="32"/>
  <c r="AH70" i="32"/>
  <c r="AI69" i="32"/>
  <c r="AH69" i="32"/>
  <c r="AG68" i="32"/>
  <c r="AF68" i="32"/>
  <c r="AE68" i="32"/>
  <c r="AD68" i="32"/>
  <c r="AC5" i="32" s="1"/>
  <c r="AC68" i="32"/>
  <c r="AB68" i="32"/>
  <c r="AA5" i="32" s="1"/>
  <c r="AA68" i="32"/>
  <c r="Z5" i="32" s="1"/>
  <c r="Z68" i="32"/>
  <c r="X68" i="32"/>
  <c r="W5" i="32" s="1"/>
  <c r="W68" i="32"/>
  <c r="V5" i="32" s="1"/>
  <c r="V68" i="32"/>
  <c r="U5" i="32" s="1"/>
  <c r="U68" i="32"/>
  <c r="T5" i="32" s="1"/>
  <c r="T68" i="32"/>
  <c r="S5" i="32" s="1"/>
  <c r="S68" i="32"/>
  <c r="R68" i="32"/>
  <c r="Q5" i="32" s="1"/>
  <c r="Q68" i="32"/>
  <c r="P5" i="32" s="1"/>
  <c r="P68" i="32"/>
  <c r="O5" i="32" s="1"/>
  <c r="O68" i="32"/>
  <c r="N5" i="32" s="1"/>
  <c r="N68" i="32"/>
  <c r="M5" i="32" s="1"/>
  <c r="M68" i="32"/>
  <c r="L5" i="32" s="1"/>
  <c r="L68" i="32"/>
  <c r="K5" i="32" s="1"/>
  <c r="K68" i="32"/>
  <c r="J68" i="32"/>
  <c r="I68" i="32"/>
  <c r="H68" i="32"/>
  <c r="G68" i="32"/>
  <c r="F68" i="32"/>
  <c r="E5" i="32" s="1"/>
  <c r="E68" i="32"/>
  <c r="D68" i="32"/>
  <c r="C5" i="32" s="1"/>
  <c r="C68" i="32"/>
  <c r="B5" i="32" s="1"/>
  <c r="B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F56" i="32"/>
  <c r="AE56" i="32"/>
  <c r="AD56" i="32"/>
  <c r="AC56" i="32"/>
  <c r="AB56" i="32"/>
  <c r="AA56" i="32"/>
  <c r="Z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I54" i="32"/>
  <c r="AH54" i="32"/>
  <c r="AI53" i="32"/>
  <c r="AH53" i="32"/>
  <c r="Z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G52" i="32" s="1"/>
  <c r="AG75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F38" i="32"/>
  <c r="AE38" i="32"/>
  <c r="AD38" i="32"/>
  <c r="AC38" i="32"/>
  <c r="AB38" i="32"/>
  <c r="AA38" i="32"/>
  <c r="Z38" i="32"/>
  <c r="X38" i="32"/>
  <c r="W38" i="32"/>
  <c r="V38" i="32"/>
  <c r="U38" i="32"/>
  <c r="T38" i="32"/>
  <c r="S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E5" i="32"/>
  <c r="AD5" i="32"/>
  <c r="AB5" i="32"/>
  <c r="Y5" i="32"/>
  <c r="X5" i="32"/>
  <c r="I5" i="32"/>
  <c r="H5" i="32"/>
  <c r="G5" i="32"/>
  <c r="F5" i="32"/>
  <c r="D5" i="32"/>
  <c r="AG4" i="32"/>
  <c r="K4" i="32"/>
  <c r="B4" i="32"/>
  <c r="AG2" i="32"/>
  <c r="R37" i="31"/>
  <c r="E4" i="32"/>
  <c r="AE82" i="32" l="1"/>
  <c r="AA82" i="32"/>
  <c r="Z73" i="32"/>
  <c r="Z75" i="32"/>
  <c r="X82" i="32"/>
  <c r="W82" i="32"/>
  <c r="V82" i="32"/>
  <c r="U82" i="32"/>
  <c r="T73" i="32"/>
  <c r="S82" i="32"/>
  <c r="R73" i="32"/>
  <c r="R75" i="32"/>
  <c r="AJ213" i="32" s="1"/>
  <c r="Q82" i="32"/>
  <c r="Q73" i="32"/>
  <c r="Q83" i="32" s="1"/>
  <c r="Q75" i="32"/>
  <c r="O82" i="32"/>
  <c r="N82" i="32"/>
  <c r="N75" i="32"/>
  <c r="AF213" i="32" s="1"/>
  <c r="N73" i="32"/>
  <c r="L73" i="32"/>
  <c r="M73" i="32"/>
  <c r="M82" i="32"/>
  <c r="M75" i="32"/>
  <c r="AE213" i="32" s="1"/>
  <c r="AI78" i="32"/>
  <c r="J73" i="32"/>
  <c r="J75" i="32"/>
  <c r="AB213" i="32" s="1"/>
  <c r="I82" i="32"/>
  <c r="I75" i="32"/>
  <c r="AA213" i="32" s="1"/>
  <c r="H82" i="32"/>
  <c r="H75" i="32"/>
  <c r="F82" i="32"/>
  <c r="F75" i="32"/>
  <c r="F7" i="32" s="1"/>
  <c r="AH80" i="32"/>
  <c r="E75" i="32"/>
  <c r="E7" i="32" s="1"/>
  <c r="AI77" i="32"/>
  <c r="D73" i="32"/>
  <c r="C82" i="32"/>
  <c r="AH68" i="32"/>
  <c r="AH38" i="32"/>
  <c r="AH79" i="32"/>
  <c r="AI80" i="32"/>
  <c r="AF5" i="32"/>
  <c r="AI68" i="32"/>
  <c r="AI38" i="32"/>
  <c r="H4" i="32"/>
  <c r="Z213" i="32"/>
  <c r="H7" i="32"/>
  <c r="X213" i="32"/>
  <c r="G102" i="32"/>
  <c r="K75" i="32"/>
  <c r="S75" i="32"/>
  <c r="AH56" i="32"/>
  <c r="AI56" i="32"/>
  <c r="C73" i="32"/>
  <c r="C75" i="32" s="1"/>
  <c r="K73" i="32"/>
  <c r="S73" i="32"/>
  <c r="D75" i="32"/>
  <c r="L75" i="32"/>
  <c r="L83" i="32" s="1"/>
  <c r="T75" i="32"/>
  <c r="D82" i="32"/>
  <c r="L82" i="32"/>
  <c r="T82" i="32"/>
  <c r="AB82" i="32"/>
  <c r="G82" i="32"/>
  <c r="AG3" i="32"/>
  <c r="AG6" i="32" s="1"/>
  <c r="E73" i="32"/>
  <c r="AG73" i="32"/>
  <c r="E196" i="32"/>
  <c r="F196" i="32" s="1"/>
  <c r="G196" i="32" s="1"/>
  <c r="H196" i="32" s="1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9" i="32"/>
  <c r="F73" i="32"/>
  <c r="F83" i="32" s="1"/>
  <c r="G75" i="32"/>
  <c r="O75" i="32"/>
  <c r="I73" i="32"/>
  <c r="G73" i="32"/>
  <c r="P73" i="32"/>
  <c r="P83" i="32" s="1"/>
  <c r="AH77" i="32"/>
  <c r="AH78" i="32"/>
  <c r="AI79" i="32"/>
  <c r="O73" i="32"/>
  <c r="O83" i="32" s="1"/>
  <c r="P75" i="32"/>
  <c r="F108" i="32"/>
  <c r="G108" i="32" s="1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V108" i="32" s="1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B108" i="32" s="1"/>
  <c r="E93" i="32"/>
  <c r="R5" i="32"/>
  <c r="H73" i="32"/>
  <c r="H83" i="32" s="1"/>
  <c r="J5" i="32"/>
  <c r="AI76" i="32"/>
  <c r="J82" i="32"/>
  <c r="R82" i="32"/>
  <c r="R83" i="32" s="1"/>
  <c r="Z82" i="32"/>
  <c r="AG83" i="32"/>
  <c r="AH76" i="32"/>
  <c r="B82" i="32"/>
  <c r="D191" i="32"/>
  <c r="E101" i="32"/>
  <c r="AH72" i="32"/>
  <c r="S210" i="32"/>
  <c r="D210" i="32"/>
  <c r="F193" i="32"/>
  <c r="H198" i="32"/>
  <c r="Z83" i="32" l="1"/>
  <c r="AR213" i="32"/>
  <c r="Z7" i="32"/>
  <c r="S83" i="32"/>
  <c r="R7" i="32"/>
  <c r="AI213" i="32"/>
  <c r="Q7" i="32"/>
  <c r="N7" i="32"/>
  <c r="N83" i="32"/>
  <c r="W213" i="32"/>
  <c r="J83" i="32"/>
  <c r="M7" i="32"/>
  <c r="M83" i="32"/>
  <c r="K83" i="32"/>
  <c r="J7" i="32"/>
  <c r="I7" i="32"/>
  <c r="I83" i="32"/>
  <c r="G83" i="32"/>
  <c r="E83" i="32"/>
  <c r="D83" i="32"/>
  <c r="C83" i="32"/>
  <c r="G234" i="32"/>
  <c r="I198" i="32"/>
  <c r="AI82" i="32"/>
  <c r="AH82" i="32"/>
  <c r="Y213" i="32"/>
  <c r="C208" i="32"/>
  <c r="B208" i="32"/>
  <c r="G7" i="32"/>
  <c r="AK213" i="32"/>
  <c r="S7" i="32"/>
  <c r="E199" i="32"/>
  <c r="AC213" i="32"/>
  <c r="K7" i="32"/>
  <c r="G193" i="32"/>
  <c r="F199" i="32"/>
  <c r="V213" i="32"/>
  <c r="D7" i="32"/>
  <c r="F93" i="32"/>
  <c r="AH213" i="32"/>
  <c r="P7" i="32"/>
  <c r="AL213" i="32"/>
  <c r="T7" i="32"/>
  <c r="H102" i="32"/>
  <c r="E191" i="32"/>
  <c r="F101" i="32"/>
  <c r="T83" i="32"/>
  <c r="U213" i="32"/>
  <c r="C7" i="32"/>
  <c r="AG213" i="32"/>
  <c r="O7" i="32"/>
  <c r="AD213" i="32"/>
  <c r="L7" i="32"/>
  <c r="K6" i="32" l="1"/>
  <c r="F191" i="32"/>
  <c r="G101" i="32"/>
  <c r="H234" i="32"/>
  <c r="J198" i="32"/>
  <c r="H193" i="32"/>
  <c r="G199" i="32"/>
  <c r="I102" i="32"/>
  <c r="G93" i="32"/>
  <c r="H199" i="32" l="1"/>
  <c r="I193" i="32"/>
  <c r="I234" i="32"/>
  <c r="K198" i="32"/>
  <c r="G191" i="32"/>
  <c r="H101" i="32"/>
  <c r="I93" i="32"/>
  <c r="J102" i="32"/>
  <c r="H93" i="32"/>
  <c r="H191" i="32" l="1"/>
  <c r="I101" i="32"/>
  <c r="J193" i="32"/>
  <c r="I199" i="32"/>
  <c r="J234" i="32"/>
  <c r="L198" i="32"/>
  <c r="K102" i="32"/>
  <c r="J93" i="32"/>
  <c r="M198" i="32" l="1"/>
  <c r="K234" i="32"/>
  <c r="L102" i="32"/>
  <c r="K93" i="32"/>
  <c r="J199" i="32"/>
  <c r="K193" i="32"/>
  <c r="I191" i="32"/>
  <c r="J101" i="32"/>
  <c r="J191" i="32" l="1"/>
  <c r="K101" i="32"/>
  <c r="M102" i="32"/>
  <c r="L93" i="32"/>
  <c r="K199" i="32"/>
  <c r="L193" i="32"/>
  <c r="L234" i="32"/>
  <c r="N198" i="32"/>
  <c r="O198" i="32" l="1"/>
  <c r="M234" i="32"/>
  <c r="K191" i="32"/>
  <c r="L101" i="32"/>
  <c r="M193" i="32"/>
  <c r="L199" i="32"/>
  <c r="M93" i="32"/>
  <c r="N102" i="32"/>
  <c r="M199" i="32" l="1"/>
  <c r="N193" i="32"/>
  <c r="L191" i="32"/>
  <c r="M101" i="32"/>
  <c r="O102" i="32"/>
  <c r="N93" i="32"/>
  <c r="N234" i="32"/>
  <c r="P198" i="32"/>
  <c r="M191" i="32" l="1"/>
  <c r="N101" i="32"/>
  <c r="O234" i="32"/>
  <c r="Q198" i="32"/>
  <c r="O93" i="32"/>
  <c r="P102" i="32"/>
  <c r="O193" i="32"/>
  <c r="N199" i="32"/>
  <c r="Q102" i="32" l="1"/>
  <c r="P93" i="32"/>
  <c r="P193" i="32"/>
  <c r="O199" i="32"/>
  <c r="P234" i="32"/>
  <c r="R198" i="32"/>
  <c r="N191" i="32"/>
  <c r="O101" i="32"/>
  <c r="O191" i="32" l="1"/>
  <c r="P101" i="32"/>
  <c r="Q234" i="32"/>
  <c r="S198" i="32"/>
  <c r="P199" i="32"/>
  <c r="Q193" i="32"/>
  <c r="Q93" i="32"/>
  <c r="R102" i="32"/>
  <c r="R234" i="32" l="1"/>
  <c r="T198" i="32"/>
  <c r="P191" i="32"/>
  <c r="Q101" i="32"/>
  <c r="S102" i="32"/>
  <c r="R93" i="32"/>
  <c r="R193" i="32"/>
  <c r="Q199" i="32"/>
  <c r="R199" i="32" l="1"/>
  <c r="S193" i="32"/>
  <c r="T102" i="32"/>
  <c r="S93" i="32"/>
  <c r="Q191" i="32"/>
  <c r="R101" i="32"/>
  <c r="U198" i="32"/>
  <c r="S234" i="32"/>
  <c r="T234" i="32" l="1"/>
  <c r="V198" i="32"/>
  <c r="R191" i="32"/>
  <c r="S101" i="32"/>
  <c r="T93" i="32"/>
  <c r="U102" i="32"/>
  <c r="S199" i="32"/>
  <c r="T193" i="32"/>
  <c r="T199" i="32" l="1"/>
  <c r="U193" i="32"/>
  <c r="U93" i="32"/>
  <c r="V102" i="32"/>
  <c r="S191" i="32"/>
  <c r="T101" i="32"/>
  <c r="W198" i="32"/>
  <c r="U234" i="32"/>
  <c r="W102" i="32" l="1"/>
  <c r="V234" i="32"/>
  <c r="X198" i="32"/>
  <c r="T191" i="32"/>
  <c r="U101" i="32"/>
  <c r="U199" i="32"/>
  <c r="U51" i="32" s="1"/>
  <c r="U52" i="32" s="1"/>
  <c r="V193" i="32"/>
  <c r="W193" i="32" l="1"/>
  <c r="V199" i="32"/>
  <c r="V51" i="32" s="1"/>
  <c r="V52" i="32" s="1"/>
  <c r="V93" i="32"/>
  <c r="U75" i="32"/>
  <c r="U73" i="32"/>
  <c r="U83" i="32" s="1"/>
  <c r="U191" i="32"/>
  <c r="V101" i="32"/>
  <c r="W234" i="32"/>
  <c r="Y198" i="32"/>
  <c r="W93" i="32"/>
  <c r="X102" i="32"/>
  <c r="V191" i="32" l="1"/>
  <c r="W101" i="32"/>
  <c r="AM213" i="32"/>
  <c r="U7" i="32"/>
  <c r="X93" i="32"/>
  <c r="Y102" i="32"/>
  <c r="V75" i="32"/>
  <c r="V73" i="32"/>
  <c r="X234" i="32"/>
  <c r="Z198" i="32"/>
  <c r="X193" i="32"/>
  <c r="W199" i="32"/>
  <c r="W51" i="32" s="1"/>
  <c r="W52" i="32" s="1"/>
  <c r="V83" i="32" l="1"/>
  <c r="AN213" i="32"/>
  <c r="V7" i="32"/>
  <c r="W75" i="32"/>
  <c r="W73" i="32"/>
  <c r="Z102" i="32"/>
  <c r="X199" i="32"/>
  <c r="X51" i="32" s="1"/>
  <c r="X52" i="32" s="1"/>
  <c r="Y193" i="32"/>
  <c r="Y234" i="32"/>
  <c r="AA198" i="32"/>
  <c r="W191" i="32"/>
  <c r="X101" i="32"/>
  <c r="W83" i="32" l="1"/>
  <c r="Z193" i="32"/>
  <c r="Y199" i="32"/>
  <c r="X73" i="32"/>
  <c r="X75" i="32"/>
  <c r="AA102" i="32"/>
  <c r="Z93" i="32"/>
  <c r="X191" i="32"/>
  <c r="Y101" i="32"/>
  <c r="AO213" i="32"/>
  <c r="W7" i="32"/>
  <c r="Z234" i="32"/>
  <c r="AB198" i="32"/>
  <c r="AC198" i="32" l="1"/>
  <c r="AA234" i="32"/>
  <c r="Y191" i="32"/>
  <c r="Z101" i="32"/>
  <c r="AB102" i="32"/>
  <c r="AA93" i="32"/>
  <c r="AP213" i="32"/>
  <c r="X7" i="32"/>
  <c r="X83" i="32"/>
  <c r="Z199" i="32"/>
  <c r="AA193" i="32"/>
  <c r="AA199" i="32" l="1"/>
  <c r="AA51" i="32" s="1"/>
  <c r="AA52" i="32" s="1"/>
  <c r="AB193" i="32"/>
  <c r="Z191" i="32"/>
  <c r="AA101" i="32"/>
  <c r="AB93" i="32"/>
  <c r="AC102" i="32"/>
  <c r="AQ213" i="32"/>
  <c r="Y7" i="32"/>
  <c r="AB234" i="32"/>
  <c r="AD198" i="32"/>
  <c r="AD102" i="32" l="1"/>
  <c r="AA191" i="32"/>
  <c r="AB101" i="32"/>
  <c r="AE198" i="32"/>
  <c r="AC234" i="32"/>
  <c r="AB199" i="32"/>
  <c r="AB51" i="32" s="1"/>
  <c r="AB52" i="32" s="1"/>
  <c r="AC193" i="32"/>
  <c r="AA75" i="32"/>
  <c r="AA73" i="32"/>
  <c r="AA83" i="32" l="1"/>
  <c r="AB75" i="32"/>
  <c r="AB73" i="32"/>
  <c r="AB83" i="32" s="1"/>
  <c r="AD234" i="32"/>
  <c r="AF198" i="32"/>
  <c r="AC199" i="32"/>
  <c r="AC51" i="32" s="1"/>
  <c r="AC52" i="32" s="1"/>
  <c r="AD193" i="32"/>
  <c r="AB191" i="32"/>
  <c r="AC101" i="32"/>
  <c r="AC93" i="32"/>
  <c r="AS213" i="32"/>
  <c r="AA7" i="32"/>
  <c r="AE102" i="32"/>
  <c r="AD93" i="32"/>
  <c r="AC191" i="32" l="1"/>
  <c r="AD101" i="32"/>
  <c r="AE93" i="32"/>
  <c r="AF102" i="32"/>
  <c r="AE234" i="32"/>
  <c r="B198" i="32"/>
  <c r="AF234" i="32" s="1"/>
  <c r="AE193" i="32"/>
  <c r="AD199" i="32"/>
  <c r="AD51" i="32" s="1"/>
  <c r="AD52" i="32" s="1"/>
  <c r="AC73" i="32"/>
  <c r="AC75" i="32"/>
  <c r="AT213" i="32"/>
  <c r="AB7" i="32"/>
  <c r="AC83" i="32" l="1"/>
  <c r="AD73" i="32"/>
  <c r="AD75" i="32"/>
  <c r="B102" i="32"/>
  <c r="AF93" i="32"/>
  <c r="AU213" i="32"/>
  <c r="AC7" i="32"/>
  <c r="AD191" i="32"/>
  <c r="AE101" i="32"/>
  <c r="AF193" i="32"/>
  <c r="AE199" i="32"/>
  <c r="AE51" i="32" s="1"/>
  <c r="AE52" i="32" s="1"/>
  <c r="AE191" i="32" l="1"/>
  <c r="AF101" i="32"/>
  <c r="AH93" i="32"/>
  <c r="AI93" i="32"/>
  <c r="B93" i="32"/>
  <c r="AE73" i="32"/>
  <c r="AE75" i="32"/>
  <c r="AV213" i="32"/>
  <c r="AD7" i="32"/>
  <c r="AF199" i="32"/>
  <c r="AF51" i="32" s="1"/>
  <c r="AF52" i="32" s="1"/>
  <c r="B193" i="32"/>
  <c r="B199" i="32" s="1"/>
  <c r="AD83" i="32"/>
  <c r="AW213" i="32" l="1"/>
  <c r="AE7" i="32"/>
  <c r="AE83" i="32"/>
  <c r="B52" i="32"/>
  <c r="AI51" i="32"/>
  <c r="AH51" i="32"/>
  <c r="AF75" i="32"/>
  <c r="AF73" i="32"/>
  <c r="AF83" i="32" s="1"/>
  <c r="AF191" i="32"/>
  <c r="B101" i="32"/>
  <c r="B191" i="32" s="1"/>
  <c r="AX213" i="32" l="1"/>
  <c r="AF7" i="32"/>
  <c r="AH52" i="32"/>
  <c r="B75" i="32"/>
  <c r="AI52" i="32"/>
  <c r="B73" i="32"/>
  <c r="AI73" i="32" l="1"/>
  <c r="AH73" i="32"/>
  <c r="B83" i="32"/>
  <c r="T213" i="32"/>
  <c r="AI75" i="32"/>
  <c r="AH75" i="32"/>
  <c r="B7" i="32"/>
  <c r="A7" i="32" s="1"/>
  <c r="AI83" i="32" l="1"/>
  <c r="AH83" i="32"/>
  <c r="Q37" i="31" l="1"/>
  <c r="O37" i="31"/>
  <c r="N37" i="31"/>
  <c r="M37" i="31"/>
  <c r="H37" i="31"/>
  <c r="G37" i="31"/>
  <c r="F37" i="31"/>
  <c r="E37" i="31"/>
  <c r="D95" i="31"/>
  <c r="D37" i="31"/>
  <c r="AH99" i="31"/>
  <c r="AI99" i="31" s="1"/>
  <c r="C95" i="31"/>
  <c r="C37" i="31"/>
  <c r="B95" i="31"/>
  <c r="B37" i="31"/>
  <c r="AH37" i="31" s="1"/>
  <c r="B80" i="31"/>
  <c r="B79" i="31"/>
  <c r="B78" i="31"/>
  <c r="B77" i="31"/>
  <c r="B76" i="31"/>
  <c r="B72" i="31"/>
  <c r="B68" i="31"/>
  <c r="B56" i="31"/>
  <c r="B38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235" i="31"/>
  <c r="B234" i="31"/>
  <c r="S209" i="31"/>
  <c r="AG199" i="31"/>
  <c r="AG51" i="31" s="1"/>
  <c r="AG52" i="31" s="1"/>
  <c r="AG3" i="31" s="1"/>
  <c r="D199" i="31"/>
  <c r="C199" i="31"/>
  <c r="D198" i="31"/>
  <c r="E198" i="31" s="1"/>
  <c r="F198" i="31" s="1"/>
  <c r="E234" i="31" s="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D196" i="31"/>
  <c r="E196" i="31" s="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E195" i="3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D195" i="31"/>
  <c r="E194" i="31"/>
  <c r="F194" i="31" s="1"/>
  <c r="G194" i="31" s="1"/>
  <c r="H194" i="31" s="1"/>
  <c r="I194" i="31" s="1"/>
  <c r="J194" i="31" s="1"/>
  <c r="K194" i="31" s="1"/>
  <c r="L194" i="31" s="1"/>
  <c r="M194" i="31" s="1"/>
  <c r="N194" i="31" s="1"/>
  <c r="O194" i="31" s="1"/>
  <c r="P194" i="31" s="1"/>
  <c r="Q194" i="31" s="1"/>
  <c r="R194" i="31" s="1"/>
  <c r="S194" i="31" s="1"/>
  <c r="T194" i="31" s="1"/>
  <c r="U194" i="31" s="1"/>
  <c r="V194" i="31" s="1"/>
  <c r="W194" i="31" s="1"/>
  <c r="X194" i="31" s="1"/>
  <c r="Y194" i="31" s="1"/>
  <c r="Z194" i="31" s="1"/>
  <c r="AA194" i="31" s="1"/>
  <c r="AB194" i="31" s="1"/>
  <c r="AC194" i="31" s="1"/>
  <c r="AD194" i="31" s="1"/>
  <c r="AE194" i="31" s="1"/>
  <c r="AF194" i="31" s="1"/>
  <c r="B194" i="31" s="1"/>
  <c r="D194" i="31"/>
  <c r="D193" i="31"/>
  <c r="E193" i="31" s="1"/>
  <c r="F193" i="31" s="1"/>
  <c r="AG191" i="31"/>
  <c r="C191" i="31"/>
  <c r="D190" i="31"/>
  <c r="E190" i="31" s="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D189" i="31"/>
  <c r="E189" i="31" s="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E188" i="3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D188" i="31"/>
  <c r="D187" i="3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D186" i="3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D185" i="31"/>
  <c r="E185" i="31" s="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D184" i="31"/>
  <c r="E184" i="31" s="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F182" i="3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D182" i="31"/>
  <c r="E182" i="31" s="1"/>
  <c r="D181" i="3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D180" i="3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D178" i="31"/>
  <c r="E178" i="31" s="1"/>
  <c r="F178" i="31" s="1"/>
  <c r="G178" i="31" s="1"/>
  <c r="H178" i="31" s="1"/>
  <c r="I178" i="31" s="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B178" i="31" s="1"/>
  <c r="D176" i="31"/>
  <c r="E176" i="31" s="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D174" i="3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D173" i="31"/>
  <c r="E173" i="31" s="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2" i="31"/>
  <c r="E172" i="31" s="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Q171" i="3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D171" i="3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E169" i="31"/>
  <c r="F169" i="31" s="1"/>
  <c r="G169" i="31" s="1"/>
  <c r="H169" i="31" s="1"/>
  <c r="I169" i="31" s="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B169" i="31" s="1"/>
  <c r="D169" i="31"/>
  <c r="D167" i="3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D166" i="31"/>
  <c r="E166" i="31" s="1"/>
  <c r="F166" i="31" s="1"/>
  <c r="G166" i="31" s="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D165" i="31"/>
  <c r="E165" i="31" s="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D164" i="3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D163" i="31"/>
  <c r="E163" i="31" s="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D162" i="31"/>
  <c r="E162" i="31" s="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D161" i="3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E160" i="3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D160" i="31"/>
  <c r="F159" i="31"/>
  <c r="G159" i="31" s="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D159" i="31"/>
  <c r="E159" i="31" s="1"/>
  <c r="D158" i="31"/>
  <c r="E158" i="31" s="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E157" i="3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D157" i="31"/>
  <c r="D156" i="3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D155" i="31"/>
  <c r="E155" i="31" s="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B155" i="31" s="1"/>
  <c r="E153" i="3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D153" i="31"/>
  <c r="D152" i="31"/>
  <c r="E152" i="31" s="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E151" i="3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D151" i="31"/>
  <c r="D150" i="31"/>
  <c r="E150" i="31" s="1"/>
  <c r="F150" i="31" s="1"/>
  <c r="G150" i="31" s="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Z150" i="31" s="1"/>
  <c r="AA150" i="31" s="1"/>
  <c r="AB150" i="31" s="1"/>
  <c r="AC150" i="31" s="1"/>
  <c r="AD150" i="31" s="1"/>
  <c r="AE150" i="31" s="1"/>
  <c r="AF150" i="31" s="1"/>
  <c r="B150" i="31" s="1"/>
  <c r="D148" i="31"/>
  <c r="E148" i="31" s="1"/>
  <c r="F148" i="31" s="1"/>
  <c r="G148" i="31" s="1"/>
  <c r="H148" i="31" s="1"/>
  <c r="I148" i="31" s="1"/>
  <c r="J148" i="31" s="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D147" i="31"/>
  <c r="E147" i="31" s="1"/>
  <c r="F147" i="31" s="1"/>
  <c r="G147" i="31" s="1"/>
  <c r="H147" i="31" s="1"/>
  <c r="I147" i="31" s="1"/>
  <c r="J147" i="31" s="1"/>
  <c r="K147" i="31" s="1"/>
  <c r="L147" i="31" s="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B147" i="31" s="1"/>
  <c r="E145" i="3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D145" i="31"/>
  <c r="D144" i="31"/>
  <c r="E144" i="31" s="1"/>
  <c r="F144" i="31" s="1"/>
  <c r="G144" i="31" s="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D143" i="3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E142" i="31"/>
  <c r="F142" i="31" s="1"/>
  <c r="G142" i="31" s="1"/>
  <c r="H142" i="31" s="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G141" i="3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1" i="31"/>
  <c r="E141" i="31" s="1"/>
  <c r="F141" i="31" s="1"/>
  <c r="D140" i="3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W139" i="3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B139" i="31" s="1"/>
  <c r="D139" i="31"/>
  <c r="E139" i="31" s="1"/>
  <c r="F139" i="31" s="1"/>
  <c r="G139" i="31" s="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E137" i="3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D137" i="31"/>
  <c r="D136" i="3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5" i="3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D134" i="3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E133" i="3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D133" i="31"/>
  <c r="D132" i="31"/>
  <c r="E132" i="31" s="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F131" i="3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D131" i="31"/>
  <c r="E131" i="31" s="1"/>
  <c r="D130" i="31"/>
  <c r="E130" i="31" s="1"/>
  <c r="F130" i="31" s="1"/>
  <c r="G130" i="31" s="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B130" i="31" s="1"/>
  <c r="D128" i="31"/>
  <c r="E128" i="31" s="1"/>
  <c r="F128" i="31" s="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7" i="3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D126" i="3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D125" i="3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E124" i="3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D124" i="3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2" i="3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D121" i="3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0" i="3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E119" i="3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D119" i="31"/>
  <c r="D118" i="3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D117" i="3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G116" i="3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D116" i="31"/>
  <c r="E116" i="31" s="1"/>
  <c r="F116" i="31" s="1"/>
  <c r="E115" i="31"/>
  <c r="F115" i="31" s="1"/>
  <c r="G115" i="31" s="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D115" i="31"/>
  <c r="D114" i="31"/>
  <c r="E114" i="31" s="1"/>
  <c r="F114" i="31" s="1"/>
  <c r="G114" i="31" s="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L113" i="3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K113" i="31"/>
  <c r="D113" i="31"/>
  <c r="E113" i="31" s="1"/>
  <c r="F113" i="31" s="1"/>
  <c r="G113" i="31" s="1"/>
  <c r="H113" i="31" s="1"/>
  <c r="I113" i="31" s="1"/>
  <c r="F112" i="3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D112" i="31"/>
  <c r="E112" i="31" s="1"/>
  <c r="D111" i="31"/>
  <c r="E111" i="31" s="1"/>
  <c r="F111" i="31" s="1"/>
  <c r="G111" i="31" s="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B111" i="31" s="1"/>
  <c r="D109" i="3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D108" i="3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B108" i="31" s="1"/>
  <c r="D106" i="31"/>
  <c r="E106" i="31" s="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D104" i="3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3" i="31"/>
  <c r="E103" i="31" s="1"/>
  <c r="F103" i="31" s="1"/>
  <c r="G103" i="31" s="1"/>
  <c r="H103" i="31" s="1"/>
  <c r="I103" i="31" s="1"/>
  <c r="J103" i="31" s="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B103" i="31" s="1"/>
  <c r="D102" i="31"/>
  <c r="E102" i="31" s="1"/>
  <c r="F102" i="31" s="1"/>
  <c r="G102" i="31" s="1"/>
  <c r="D101" i="31"/>
  <c r="E101" i="31" s="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2" i="31"/>
  <c r="AI81" i="31"/>
  <c r="AH81" i="31"/>
  <c r="AF80" i="31"/>
  <c r="AE80" i="31"/>
  <c r="AD80" i="31"/>
  <c r="AC80" i="31"/>
  <c r="AB80" i="31"/>
  <c r="AA80" i="31"/>
  <c r="Z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AF79" i="31"/>
  <c r="AE79" i="31"/>
  <c r="AD79" i="31"/>
  <c r="AC79" i="31"/>
  <c r="AB79" i="31"/>
  <c r="AA79" i="31"/>
  <c r="Z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AF78" i="31"/>
  <c r="AE78" i="31"/>
  <c r="AD78" i="31"/>
  <c r="AC78" i="31"/>
  <c r="AB78" i="31"/>
  <c r="AA78" i="31"/>
  <c r="Z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AF77" i="31"/>
  <c r="AE77" i="31"/>
  <c r="AD77" i="31"/>
  <c r="AC77" i="31"/>
  <c r="AB77" i="31"/>
  <c r="AA77" i="31"/>
  <c r="Z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AF76" i="31"/>
  <c r="AE76" i="31"/>
  <c r="AD76" i="31"/>
  <c r="AC76" i="31"/>
  <c r="AB76" i="31"/>
  <c r="AA76" i="31"/>
  <c r="Z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AI74" i="31"/>
  <c r="AH74" i="31"/>
  <c r="AG72" i="31"/>
  <c r="AF72" i="31"/>
  <c r="AE72" i="31"/>
  <c r="AD72" i="31"/>
  <c r="AC72" i="31"/>
  <c r="AB72" i="31"/>
  <c r="AA72" i="31"/>
  <c r="Z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AI71" i="31"/>
  <c r="AH71" i="31"/>
  <c r="AI70" i="31"/>
  <c r="AH70" i="31"/>
  <c r="AI69" i="31"/>
  <c r="AH69" i="31"/>
  <c r="AG68" i="31"/>
  <c r="AF68" i="31"/>
  <c r="AE68" i="31"/>
  <c r="AD68" i="31"/>
  <c r="AC5" i="31" s="1"/>
  <c r="AC68" i="31"/>
  <c r="AB68" i="31"/>
  <c r="AA68" i="31"/>
  <c r="Z5" i="31" s="1"/>
  <c r="Z68" i="31"/>
  <c r="Y5" i="31" s="1"/>
  <c r="X5" i="31"/>
  <c r="W68" i="31"/>
  <c r="V5" i="31" s="1"/>
  <c r="V68" i="31"/>
  <c r="U5" i="31" s="1"/>
  <c r="U68" i="31"/>
  <c r="T68" i="31"/>
  <c r="S68" i="31"/>
  <c r="R68" i="31"/>
  <c r="Q68" i="31"/>
  <c r="P68" i="31"/>
  <c r="O68" i="31"/>
  <c r="N5" i="31" s="1"/>
  <c r="N68" i="31"/>
  <c r="M5" i="31" s="1"/>
  <c r="M68" i="31"/>
  <c r="L5" i="31" s="1"/>
  <c r="L68" i="31"/>
  <c r="K68" i="31"/>
  <c r="J5" i="31" s="1"/>
  <c r="J68" i="31"/>
  <c r="I68" i="31"/>
  <c r="H5" i="31" s="1"/>
  <c r="H68" i="31"/>
  <c r="G68" i="31"/>
  <c r="F5" i="31" s="1"/>
  <c r="F68" i="31"/>
  <c r="E68" i="31"/>
  <c r="D68" i="31"/>
  <c r="C68" i="31"/>
  <c r="B5" i="31" s="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F56" i="31"/>
  <c r="AE56" i="31"/>
  <c r="AD56" i="31"/>
  <c r="AC56" i="31"/>
  <c r="AB56" i="31"/>
  <c r="AA56" i="31"/>
  <c r="Z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I55" i="31"/>
  <c r="AH55" i="31"/>
  <c r="AI54" i="31"/>
  <c r="AH54" i="31"/>
  <c r="AI53" i="31"/>
  <c r="AH53" i="31"/>
  <c r="Z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G2" i="31" s="1"/>
  <c r="AF38" i="31"/>
  <c r="AE38" i="31"/>
  <c r="AD38" i="31"/>
  <c r="AC38" i="31"/>
  <c r="AB38" i="31"/>
  <c r="AA38" i="31"/>
  <c r="Z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AD5" i="31"/>
  <c r="AB5" i="31"/>
  <c r="T5" i="31"/>
  <c r="R5" i="31"/>
  <c r="Q5" i="31"/>
  <c r="P5" i="31"/>
  <c r="I5" i="31"/>
  <c r="E5" i="31"/>
  <c r="D5" i="31"/>
  <c r="AG4" i="31"/>
  <c r="K4" i="31"/>
  <c r="B4" i="31"/>
  <c r="AF95" i="30"/>
  <c r="AF37" i="30"/>
  <c r="AE95" i="30"/>
  <c r="AE37" i="30"/>
  <c r="AD37" i="30"/>
  <c r="AC37" i="30"/>
  <c r="AB37" i="30"/>
  <c r="R37" i="30"/>
  <c r="E4" i="31"/>
  <c r="E93" i="31" l="1"/>
  <c r="AI37" i="31"/>
  <c r="L82" i="31"/>
  <c r="S82" i="31"/>
  <c r="T82" i="31"/>
  <c r="AD82" i="31"/>
  <c r="AG73" i="31"/>
  <c r="AE82" i="31"/>
  <c r="C234" i="31"/>
  <c r="AF82" i="31"/>
  <c r="F73" i="31"/>
  <c r="AC82" i="31"/>
  <c r="AB82" i="31"/>
  <c r="AA82" i="31"/>
  <c r="Z82" i="31"/>
  <c r="Z73" i="31"/>
  <c r="Z75" i="31"/>
  <c r="AR213" i="31" s="1"/>
  <c r="W82" i="31"/>
  <c r="V82" i="31"/>
  <c r="U82" i="31"/>
  <c r="T73" i="31"/>
  <c r="S75" i="31"/>
  <c r="AK213" i="31" s="1"/>
  <c r="S73" i="31"/>
  <c r="Q82" i="31"/>
  <c r="R82" i="31"/>
  <c r="R73" i="31"/>
  <c r="R75" i="31"/>
  <c r="AJ213" i="31" s="1"/>
  <c r="Q73" i="31"/>
  <c r="P82" i="31"/>
  <c r="P75" i="31"/>
  <c r="P73" i="31"/>
  <c r="P83" i="31" s="1"/>
  <c r="O82" i="31"/>
  <c r="O73" i="31"/>
  <c r="O75" i="31"/>
  <c r="N75" i="31"/>
  <c r="AF213" i="31" s="1"/>
  <c r="N82" i="31"/>
  <c r="N73" i="31"/>
  <c r="M82" i="31"/>
  <c r="AI77" i="31"/>
  <c r="M73" i="31"/>
  <c r="M75" i="31"/>
  <c r="AE213" i="31" s="1"/>
  <c r="AI76" i="31"/>
  <c r="K75" i="31"/>
  <c r="AC213" i="31" s="1"/>
  <c r="K82" i="31"/>
  <c r="J73" i="31"/>
  <c r="J82" i="31"/>
  <c r="AI80" i="31"/>
  <c r="K73" i="31"/>
  <c r="L73" i="31"/>
  <c r="J75" i="31"/>
  <c r="AB213" i="31" s="1"/>
  <c r="AH76" i="31"/>
  <c r="I82" i="31"/>
  <c r="I73" i="31"/>
  <c r="G73" i="31"/>
  <c r="G82" i="31"/>
  <c r="F82" i="31"/>
  <c r="F83" i="31" s="1"/>
  <c r="E75" i="31"/>
  <c r="W213" i="31" s="1"/>
  <c r="G75" i="31"/>
  <c r="E73" i="31"/>
  <c r="H75" i="31"/>
  <c r="Z213" i="31" s="1"/>
  <c r="F75" i="31"/>
  <c r="AI56" i="31"/>
  <c r="H73" i="31"/>
  <c r="E82" i="31"/>
  <c r="AI79" i="31"/>
  <c r="D82" i="31"/>
  <c r="AH38" i="31"/>
  <c r="D73" i="31"/>
  <c r="B82" i="31"/>
  <c r="AI78" i="31"/>
  <c r="AH68" i="31"/>
  <c r="C82" i="31"/>
  <c r="AH56" i="31"/>
  <c r="C73" i="31"/>
  <c r="C75" i="31" s="1"/>
  <c r="U213" i="31" s="1"/>
  <c r="H4" i="31"/>
  <c r="AH213" i="31"/>
  <c r="P7" i="31"/>
  <c r="H102" i="31"/>
  <c r="G93" i="31"/>
  <c r="AG6" i="31"/>
  <c r="R83" i="31"/>
  <c r="AG213" i="31"/>
  <c r="O7" i="31"/>
  <c r="O83" i="31"/>
  <c r="E7" i="31"/>
  <c r="R7" i="31"/>
  <c r="G5" i="31"/>
  <c r="O5" i="31"/>
  <c r="W5" i="31"/>
  <c r="AE5" i="31"/>
  <c r="I75" i="31"/>
  <c r="Q75" i="31"/>
  <c r="Q83" i="31" s="1"/>
  <c r="AG75" i="31"/>
  <c r="AG83" i="31" s="1"/>
  <c r="H82" i="31"/>
  <c r="D93" i="31"/>
  <c r="D191" i="31"/>
  <c r="AI38" i="31"/>
  <c r="AH72" i="31"/>
  <c r="D75" i="31"/>
  <c r="L75" i="31"/>
  <c r="T75" i="31"/>
  <c r="AH77" i="31"/>
  <c r="E191" i="31"/>
  <c r="F101" i="31"/>
  <c r="C5" i="31"/>
  <c r="K5" i="31"/>
  <c r="S5" i="31"/>
  <c r="AA5" i="31"/>
  <c r="AI68" i="31"/>
  <c r="AI72" i="31"/>
  <c r="AH78" i="31"/>
  <c r="F93" i="31"/>
  <c r="AH79" i="31"/>
  <c r="S210" i="31"/>
  <c r="D210" i="31"/>
  <c r="AH80" i="31"/>
  <c r="D234" i="31"/>
  <c r="G198" i="31"/>
  <c r="E199" i="31"/>
  <c r="G193" i="31"/>
  <c r="F199" i="31"/>
  <c r="S7" i="31" l="1"/>
  <c r="AH82" i="31"/>
  <c r="K83" i="31"/>
  <c r="D83" i="31"/>
  <c r="N83" i="31"/>
  <c r="E83" i="31"/>
  <c r="K7" i="31"/>
  <c r="Z7" i="31"/>
  <c r="N7" i="31"/>
  <c r="I83" i="31"/>
  <c r="Z83" i="31"/>
  <c r="S83" i="31"/>
  <c r="M83" i="31"/>
  <c r="M7" i="31"/>
  <c r="J7" i="31"/>
  <c r="J83" i="31"/>
  <c r="H7" i="31"/>
  <c r="H83" i="31"/>
  <c r="G83" i="31"/>
  <c r="Y213" i="31"/>
  <c r="G7" i="31"/>
  <c r="X213" i="31"/>
  <c r="F7" i="31"/>
  <c r="C7" i="31"/>
  <c r="C83" i="31"/>
  <c r="AD213" i="31"/>
  <c r="L7" i="31"/>
  <c r="B208" i="31"/>
  <c r="AI213" i="31"/>
  <c r="Q7" i="31"/>
  <c r="L83" i="31"/>
  <c r="F191" i="31"/>
  <c r="G101" i="31"/>
  <c r="C208" i="31"/>
  <c r="H193" i="31"/>
  <c r="G199" i="31"/>
  <c r="AA213" i="31"/>
  <c r="I7" i="31"/>
  <c r="V213" i="31"/>
  <c r="D7" i="31"/>
  <c r="AI82" i="31"/>
  <c r="H93" i="31"/>
  <c r="I102" i="31"/>
  <c r="F234" i="31"/>
  <c r="H198" i="31"/>
  <c r="AL213" i="31"/>
  <c r="T7" i="31"/>
  <c r="T83" i="31"/>
  <c r="G234" i="31" l="1"/>
  <c r="I198" i="31"/>
  <c r="K6" i="31"/>
  <c r="J102" i="31"/>
  <c r="I93" i="31"/>
  <c r="I193" i="31"/>
  <c r="H199" i="31"/>
  <c r="G191" i="31"/>
  <c r="H101" i="31"/>
  <c r="I199" i="31" l="1"/>
  <c r="J193" i="31"/>
  <c r="K102" i="31"/>
  <c r="J93" i="31"/>
  <c r="H234" i="31"/>
  <c r="J198" i="31"/>
  <c r="H191" i="31"/>
  <c r="I101" i="31"/>
  <c r="I191" i="31" l="1"/>
  <c r="J101" i="31"/>
  <c r="I234" i="31"/>
  <c r="K198" i="31"/>
  <c r="L102" i="31"/>
  <c r="K93" i="31"/>
  <c r="J199" i="31"/>
  <c r="K193" i="31"/>
  <c r="K199" i="31" l="1"/>
  <c r="L193" i="31"/>
  <c r="L93" i="31"/>
  <c r="M102" i="31"/>
  <c r="L198" i="31"/>
  <c r="J234" i="31"/>
  <c r="J191" i="31"/>
  <c r="K101" i="31"/>
  <c r="K191" i="31" l="1"/>
  <c r="L101" i="31"/>
  <c r="M198" i="31"/>
  <c r="K234" i="31"/>
  <c r="M93" i="31"/>
  <c r="N102" i="31"/>
  <c r="M193" i="31"/>
  <c r="L199" i="31"/>
  <c r="O102" i="31" l="1"/>
  <c r="N198" i="31"/>
  <c r="L234" i="31"/>
  <c r="L191" i="31"/>
  <c r="M101" i="31"/>
  <c r="M199" i="31"/>
  <c r="N193" i="31"/>
  <c r="M191" i="31" l="1"/>
  <c r="N101" i="31"/>
  <c r="M234" i="31"/>
  <c r="O198" i="31"/>
  <c r="O193" i="31"/>
  <c r="N199" i="31"/>
  <c r="N93" i="31"/>
  <c r="O93" i="31"/>
  <c r="P102" i="31"/>
  <c r="P193" i="31" l="1"/>
  <c r="O199" i="31"/>
  <c r="N234" i="31"/>
  <c r="P198" i="31"/>
  <c r="N191" i="31"/>
  <c r="O101" i="31"/>
  <c r="Q102" i="31"/>
  <c r="P93" i="31"/>
  <c r="R102" i="31" l="1"/>
  <c r="O191" i="31"/>
  <c r="P101" i="31"/>
  <c r="O234" i="31"/>
  <c r="Q198" i="31"/>
  <c r="Q193" i="31"/>
  <c r="P199" i="31"/>
  <c r="P234" i="31" l="1"/>
  <c r="R198" i="31"/>
  <c r="P191" i="31"/>
  <c r="Q101" i="31"/>
  <c r="R193" i="31"/>
  <c r="Q199" i="31"/>
  <c r="Q93" i="31"/>
  <c r="S102" i="31"/>
  <c r="T102" i="31" l="1"/>
  <c r="Q191" i="31"/>
  <c r="R101" i="31"/>
  <c r="Q234" i="31"/>
  <c r="S198" i="31"/>
  <c r="R199" i="31"/>
  <c r="S193" i="31"/>
  <c r="R93" i="31"/>
  <c r="S199" i="31" l="1"/>
  <c r="T193" i="31"/>
  <c r="R191" i="31"/>
  <c r="S101" i="31"/>
  <c r="T198" i="31"/>
  <c r="R234" i="31"/>
  <c r="S93" i="31"/>
  <c r="T93" i="31"/>
  <c r="U102" i="31"/>
  <c r="U198" i="31" l="1"/>
  <c r="S234" i="31"/>
  <c r="S191" i="31"/>
  <c r="T101" i="31"/>
  <c r="T199" i="31"/>
  <c r="U193" i="31"/>
  <c r="U93" i="31"/>
  <c r="V102" i="31"/>
  <c r="V193" i="31" l="1"/>
  <c r="U199" i="31"/>
  <c r="U51" i="31" s="1"/>
  <c r="U52" i="31" s="1"/>
  <c r="T191" i="31"/>
  <c r="U101" i="31"/>
  <c r="V93" i="31"/>
  <c r="W102" i="31"/>
  <c r="V198" i="31"/>
  <c r="T234" i="31"/>
  <c r="X102" i="31" l="1"/>
  <c r="U191" i="31"/>
  <c r="V101" i="31"/>
  <c r="W198" i="31"/>
  <c r="U234" i="31"/>
  <c r="U75" i="31"/>
  <c r="U73" i="31"/>
  <c r="W193" i="31"/>
  <c r="V199" i="31"/>
  <c r="V51" i="31" s="1"/>
  <c r="V52" i="31" s="1"/>
  <c r="AM213" i="31" l="1"/>
  <c r="U7" i="31"/>
  <c r="V234" i="31"/>
  <c r="X198" i="31"/>
  <c r="V191" i="31"/>
  <c r="W101" i="31"/>
  <c r="U83" i="31"/>
  <c r="V75" i="31"/>
  <c r="V73" i="31"/>
  <c r="Y102" i="31"/>
  <c r="X193" i="31"/>
  <c r="X93" i="31" s="1"/>
  <c r="W199" i="31"/>
  <c r="W51" i="31" s="1"/>
  <c r="W52" i="31" s="1"/>
  <c r="W93" i="31"/>
  <c r="AN213" i="31" l="1"/>
  <c r="V7" i="31"/>
  <c r="W191" i="31"/>
  <c r="X101" i="31"/>
  <c r="W234" i="31"/>
  <c r="Y198" i="31"/>
  <c r="W73" i="31"/>
  <c r="W75" i="31"/>
  <c r="Y193" i="31"/>
  <c r="X199" i="31"/>
  <c r="Z102" i="31"/>
  <c r="V83" i="31"/>
  <c r="W83" i="31" l="1"/>
  <c r="X234" i="31"/>
  <c r="Z198" i="31"/>
  <c r="AA102" i="31"/>
  <c r="Z93" i="31"/>
  <c r="X191" i="31"/>
  <c r="Y101" i="31"/>
  <c r="AO213" i="31"/>
  <c r="W7" i="31"/>
  <c r="Z193" i="31"/>
  <c r="Y199" i="31"/>
  <c r="AP213" i="31" l="1"/>
  <c r="X7" i="31"/>
  <c r="Y191" i="31"/>
  <c r="Z101" i="31"/>
  <c r="Z199" i="31"/>
  <c r="AA193" i="31"/>
  <c r="AB102" i="31"/>
  <c r="Y234" i="31"/>
  <c r="AA198" i="31"/>
  <c r="AQ213" i="31" l="1"/>
  <c r="Y7" i="31"/>
  <c r="Z234" i="31"/>
  <c r="AB198" i="31"/>
  <c r="Z191" i="31"/>
  <c r="AA101" i="31"/>
  <c r="AA199" i="31"/>
  <c r="AA51" i="31" s="1"/>
  <c r="AA52" i="31" s="1"/>
  <c r="AB193" i="31"/>
  <c r="AA93" i="31"/>
  <c r="AC102" i="31"/>
  <c r="AA191" i="31" l="1"/>
  <c r="AB101" i="31"/>
  <c r="AB199" i="31"/>
  <c r="AB51" i="31" s="1"/>
  <c r="AB52" i="31" s="1"/>
  <c r="AC193" i="31"/>
  <c r="AA234" i="31"/>
  <c r="AC198" i="31"/>
  <c r="AC93" i="31"/>
  <c r="AD102" i="31"/>
  <c r="AB93" i="31"/>
  <c r="AA75" i="31"/>
  <c r="AA73" i="31"/>
  <c r="AB234" i="31" l="1"/>
  <c r="AD198" i="31"/>
  <c r="AC199" i="31"/>
  <c r="AC51" i="31" s="1"/>
  <c r="AC52" i="31" s="1"/>
  <c r="AD193" i="31"/>
  <c r="AB75" i="31"/>
  <c r="AB73" i="31"/>
  <c r="AS213" i="31"/>
  <c r="AA7" i="31"/>
  <c r="AB191" i="31"/>
  <c r="AC101" i="31"/>
  <c r="AE102" i="31"/>
  <c r="AD93" i="31"/>
  <c r="AB83" i="31" l="1"/>
  <c r="AC75" i="31"/>
  <c r="AC73" i="31"/>
  <c r="AC83" i="31" s="1"/>
  <c r="AE193" i="31"/>
  <c r="AD199" i="31"/>
  <c r="AD51" i="31" s="1"/>
  <c r="AD52" i="31" s="1"/>
  <c r="AF102" i="31"/>
  <c r="AE93" i="31"/>
  <c r="AC191" i="31"/>
  <c r="AD101" i="31"/>
  <c r="AC234" i="31"/>
  <c r="AE198" i="31"/>
  <c r="AT213" i="31"/>
  <c r="AB7" i="31"/>
  <c r="AD191" i="31" l="1"/>
  <c r="AE101" i="31"/>
  <c r="B102" i="31"/>
  <c r="AD75" i="31"/>
  <c r="AD73" i="31"/>
  <c r="AD83" i="31" s="1"/>
  <c r="AF193" i="31"/>
  <c r="AF93" i="31" s="1"/>
  <c r="AE199" i="31"/>
  <c r="AE51" i="31" s="1"/>
  <c r="AE52" i="31" s="1"/>
  <c r="AD234" i="31"/>
  <c r="AF198" i="31"/>
  <c r="AU213" i="31"/>
  <c r="AC7" i="31"/>
  <c r="AH93" i="31" l="1"/>
  <c r="AI93" i="31"/>
  <c r="B193" i="31"/>
  <c r="B93" i="31" s="1"/>
  <c r="AF199" i="31"/>
  <c r="AF51" i="31" s="1"/>
  <c r="AF52" i="31" s="1"/>
  <c r="AE234" i="31"/>
  <c r="B198" i="31"/>
  <c r="AF234" i="31" s="1"/>
  <c r="AE191" i="31"/>
  <c r="AF101" i="31"/>
  <c r="AE73" i="31"/>
  <c r="AE75" i="31"/>
  <c r="AV213" i="31"/>
  <c r="AD7" i="31"/>
  <c r="AF75" i="31" l="1"/>
  <c r="AF73" i="31"/>
  <c r="AF83" i="31" s="1"/>
  <c r="AE83" i="31"/>
  <c r="B199" i="31"/>
  <c r="B51" i="31" s="1"/>
  <c r="B52" i="31" s="1"/>
  <c r="AW213" i="31"/>
  <c r="AE7" i="31"/>
  <c r="AF191" i="31"/>
  <c r="B101" i="31"/>
  <c r="B191" i="31" s="1"/>
  <c r="B75" i="31" l="1"/>
  <c r="B73" i="31"/>
  <c r="B83" i="31" s="1"/>
  <c r="AI51" i="31"/>
  <c r="AH51" i="31"/>
  <c r="AX213" i="31"/>
  <c r="AF7" i="31"/>
  <c r="AI52" i="31" l="1"/>
  <c r="AH52" i="31"/>
  <c r="T213" i="31" l="1"/>
  <c r="B7" i="31"/>
  <c r="A7" i="31" s="1"/>
  <c r="AH75" i="31"/>
  <c r="AI75" i="31"/>
  <c r="AI73" i="31"/>
  <c r="AH73" i="31"/>
  <c r="AI83" i="31" l="1"/>
  <c r="AH83" i="31"/>
  <c r="Q95" i="30" l="1"/>
  <c r="Q37" i="30"/>
  <c r="P37" i="30" l="1"/>
  <c r="O95" i="30"/>
  <c r="O37" i="30"/>
  <c r="N59" i="30" l="1"/>
  <c r="N37" i="30"/>
  <c r="L37" i="30"/>
  <c r="K37" i="30"/>
  <c r="J37" i="30"/>
  <c r="I37" i="30"/>
  <c r="AI37" i="30" s="1"/>
  <c r="H37" i="30"/>
  <c r="G37" i="30"/>
  <c r="AH99" i="30"/>
  <c r="AI99" i="30" s="1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A235" i="30"/>
  <c r="C234" i="30"/>
  <c r="B234" i="30"/>
  <c r="S209" i="30"/>
  <c r="AG199" i="30"/>
  <c r="C199" i="30"/>
  <c r="E198" i="30"/>
  <c r="F198" i="30" s="1"/>
  <c r="D198" i="30"/>
  <c r="I197" i="30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D197" i="30"/>
  <c r="E197" i="30" s="1"/>
  <c r="F197" i="30" s="1"/>
  <c r="G197" i="30" s="1"/>
  <c r="H197" i="30" s="1"/>
  <c r="D196" i="30"/>
  <c r="E196" i="30" s="1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E195" i="30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D195" i="30"/>
  <c r="M194" i="30"/>
  <c r="N194" i="30" s="1"/>
  <c r="O194" i="30" s="1"/>
  <c r="P194" i="30" s="1"/>
  <c r="Q194" i="30" s="1"/>
  <c r="R194" i="30" s="1"/>
  <c r="S194" i="30" s="1"/>
  <c r="T194" i="30" s="1"/>
  <c r="U194" i="30" s="1"/>
  <c r="V194" i="30" s="1"/>
  <c r="W194" i="30" s="1"/>
  <c r="X194" i="30" s="1"/>
  <c r="Y194" i="30" s="1"/>
  <c r="Z194" i="30" s="1"/>
  <c r="AA194" i="30" s="1"/>
  <c r="AB194" i="30" s="1"/>
  <c r="AC194" i="30" s="1"/>
  <c r="AD194" i="30" s="1"/>
  <c r="AE194" i="30" s="1"/>
  <c r="AF194" i="30" s="1"/>
  <c r="B194" i="30" s="1"/>
  <c r="K194" i="30"/>
  <c r="L194" i="30" s="1"/>
  <c r="E194" i="30"/>
  <c r="F194" i="30" s="1"/>
  <c r="G194" i="30" s="1"/>
  <c r="H194" i="30" s="1"/>
  <c r="I194" i="30" s="1"/>
  <c r="J194" i="30" s="1"/>
  <c r="D194" i="30"/>
  <c r="E193" i="30"/>
  <c r="D193" i="30"/>
  <c r="D199" i="30" s="1"/>
  <c r="AG191" i="30"/>
  <c r="C191" i="30"/>
  <c r="AE190" i="30"/>
  <c r="AF190" i="30" s="1"/>
  <c r="B190" i="30" s="1"/>
  <c r="H190" i="30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G190" i="30"/>
  <c r="D190" i="30"/>
  <c r="E190" i="30" s="1"/>
  <c r="F190" i="30" s="1"/>
  <c r="F189" i="30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E189" i="30"/>
  <c r="D189" i="30"/>
  <c r="J188" i="30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B188" i="30" s="1"/>
  <c r="G188" i="30"/>
  <c r="H188" i="30" s="1"/>
  <c r="I188" i="30" s="1"/>
  <c r="F188" i="30"/>
  <c r="E188" i="30"/>
  <c r="D188" i="30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F186" i="30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D186" i="30"/>
  <c r="E186" i="30" s="1"/>
  <c r="O185" i="30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B185" i="30" s="1"/>
  <c r="E185" i="30"/>
  <c r="F185" i="30" s="1"/>
  <c r="G185" i="30" s="1"/>
  <c r="H185" i="30" s="1"/>
  <c r="I185" i="30" s="1"/>
  <c r="J185" i="30" s="1"/>
  <c r="K185" i="30" s="1"/>
  <c r="L185" i="30" s="1"/>
  <c r="M185" i="30" s="1"/>
  <c r="N185" i="30" s="1"/>
  <c r="D185" i="30"/>
  <c r="G184" i="30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D184" i="30"/>
  <c r="E184" i="30" s="1"/>
  <c r="F184" i="30" s="1"/>
  <c r="AF183" i="30"/>
  <c r="B183" i="30" s="1"/>
  <c r="J183" i="30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D183" i="30"/>
  <c r="E183" i="30" s="1"/>
  <c r="F183" i="30" s="1"/>
  <c r="G183" i="30" s="1"/>
  <c r="H183" i="30" s="1"/>
  <c r="I183" i="30" s="1"/>
  <c r="N182" i="30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L182" i="30"/>
  <c r="M182" i="30" s="1"/>
  <c r="G182" i="30"/>
  <c r="H182" i="30" s="1"/>
  <c r="I182" i="30" s="1"/>
  <c r="J182" i="30" s="1"/>
  <c r="K182" i="30" s="1"/>
  <c r="D182" i="30"/>
  <c r="E182" i="30" s="1"/>
  <c r="F182" i="30" s="1"/>
  <c r="F181" i="30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E181" i="30"/>
  <c r="D181" i="30"/>
  <c r="H180" i="30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B180" i="30" s="1"/>
  <c r="D180" i="30"/>
  <c r="E180" i="30" s="1"/>
  <c r="F180" i="30" s="1"/>
  <c r="G180" i="30" s="1"/>
  <c r="T179" i="30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D179" i="30"/>
  <c r="E179" i="30" s="1"/>
  <c r="F179" i="30" s="1"/>
  <c r="G179" i="30" s="1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AF178" i="30"/>
  <c r="B178" i="30" s="1"/>
  <c r="O178" i="30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E178" i="30"/>
  <c r="F178" i="30" s="1"/>
  <c r="G178" i="30" s="1"/>
  <c r="H178" i="30" s="1"/>
  <c r="I178" i="30" s="1"/>
  <c r="J178" i="30" s="1"/>
  <c r="K178" i="30" s="1"/>
  <c r="L178" i="30" s="1"/>
  <c r="M178" i="30" s="1"/>
  <c r="N178" i="30" s="1"/>
  <c r="D178" i="30"/>
  <c r="E176" i="30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D176" i="30"/>
  <c r="AD175" i="30"/>
  <c r="AE175" i="30" s="1"/>
  <c r="AF175" i="30" s="1"/>
  <c r="B175" i="30" s="1"/>
  <c r="N175" i="30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AB174" i="30"/>
  <c r="AC174" i="30" s="1"/>
  <c r="AD174" i="30" s="1"/>
  <c r="AE174" i="30" s="1"/>
  <c r="AF174" i="30" s="1"/>
  <c r="B174" i="30" s="1"/>
  <c r="D174" i="30"/>
  <c r="E174" i="30" s="1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E173" i="30"/>
  <c r="F173" i="30" s="1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D173" i="30"/>
  <c r="N172" i="30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E172" i="30"/>
  <c r="F172" i="30" s="1"/>
  <c r="G172" i="30" s="1"/>
  <c r="H172" i="30" s="1"/>
  <c r="I172" i="30" s="1"/>
  <c r="J172" i="30" s="1"/>
  <c r="K172" i="30" s="1"/>
  <c r="L172" i="30" s="1"/>
  <c r="M172" i="30" s="1"/>
  <c r="D172" i="30"/>
  <c r="K171" i="30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D171" i="30"/>
  <c r="E171" i="30" s="1"/>
  <c r="F171" i="30" s="1"/>
  <c r="G171" i="30" s="1"/>
  <c r="H171" i="30" s="1"/>
  <c r="I171" i="30" s="1"/>
  <c r="J171" i="30" s="1"/>
  <c r="D170" i="30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H169" i="30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B169" i="30" s="1"/>
  <c r="D169" i="30"/>
  <c r="E169" i="30" s="1"/>
  <c r="F169" i="30" s="1"/>
  <c r="G169" i="30" s="1"/>
  <c r="V167" i="30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B167" i="30" s="1"/>
  <c r="F167" i="30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E167" i="30"/>
  <c r="D167" i="30"/>
  <c r="D166" i="30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E165" i="30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D165" i="30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I163" i="30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B163" i="30" s="1"/>
  <c r="E163" i="30"/>
  <c r="F163" i="30" s="1"/>
  <c r="G163" i="30" s="1"/>
  <c r="H163" i="30" s="1"/>
  <c r="D163" i="30"/>
  <c r="AA162" i="30"/>
  <c r="AB162" i="30" s="1"/>
  <c r="AC162" i="30" s="1"/>
  <c r="AD162" i="30" s="1"/>
  <c r="AE162" i="30" s="1"/>
  <c r="AF162" i="30" s="1"/>
  <c r="B162" i="30" s="1"/>
  <c r="K162" i="30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D162" i="30"/>
  <c r="E162" i="30" s="1"/>
  <c r="F162" i="30" s="1"/>
  <c r="G162" i="30" s="1"/>
  <c r="H162" i="30" s="1"/>
  <c r="I162" i="30" s="1"/>
  <c r="J162" i="30" s="1"/>
  <c r="R161" i="30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B161" i="30" s="1"/>
  <c r="I161" i="30"/>
  <c r="J161" i="30" s="1"/>
  <c r="K161" i="30" s="1"/>
  <c r="L161" i="30" s="1"/>
  <c r="M161" i="30" s="1"/>
  <c r="N161" i="30" s="1"/>
  <c r="O161" i="30" s="1"/>
  <c r="P161" i="30" s="1"/>
  <c r="Q161" i="30" s="1"/>
  <c r="E161" i="30"/>
  <c r="F161" i="30" s="1"/>
  <c r="G161" i="30" s="1"/>
  <c r="H161" i="30" s="1"/>
  <c r="D161" i="30"/>
  <c r="G160" i="30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D160" i="30"/>
  <c r="E160" i="30" s="1"/>
  <c r="F160" i="30" s="1"/>
  <c r="Y159" i="30"/>
  <c r="Z159" i="30" s="1"/>
  <c r="AA159" i="30" s="1"/>
  <c r="AB159" i="30" s="1"/>
  <c r="AC159" i="30" s="1"/>
  <c r="AD159" i="30" s="1"/>
  <c r="AE159" i="30" s="1"/>
  <c r="AF159" i="30" s="1"/>
  <c r="B159" i="30" s="1"/>
  <c r="N159" i="30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H159" i="30"/>
  <c r="I159" i="30" s="1"/>
  <c r="J159" i="30" s="1"/>
  <c r="K159" i="30" s="1"/>
  <c r="L159" i="30" s="1"/>
  <c r="M159" i="30" s="1"/>
  <c r="D159" i="30"/>
  <c r="E159" i="30" s="1"/>
  <c r="F159" i="30" s="1"/>
  <c r="G159" i="30" s="1"/>
  <c r="L158" i="30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F158" i="30"/>
  <c r="G158" i="30" s="1"/>
  <c r="H158" i="30" s="1"/>
  <c r="I158" i="30" s="1"/>
  <c r="J158" i="30" s="1"/>
  <c r="K158" i="30" s="1"/>
  <c r="D158" i="30"/>
  <c r="E158" i="30" s="1"/>
  <c r="D157" i="30"/>
  <c r="E157" i="30" s="1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I156" i="30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D156" i="30"/>
  <c r="E156" i="30" s="1"/>
  <c r="F156" i="30" s="1"/>
  <c r="G156" i="30" s="1"/>
  <c r="H156" i="30" s="1"/>
  <c r="G155" i="30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B155" i="30" s="1"/>
  <c r="E155" i="30"/>
  <c r="F155" i="30" s="1"/>
  <c r="D155" i="30"/>
  <c r="AF153" i="30"/>
  <c r="B153" i="30" s="1"/>
  <c r="E153" i="30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D153" i="30"/>
  <c r="H152" i="30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B152" i="30" s="1"/>
  <c r="F152" i="30"/>
  <c r="G152" i="30" s="1"/>
  <c r="E152" i="30"/>
  <c r="D152" i="30"/>
  <c r="T151" i="30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R150" i="30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B150" i="30" s="1"/>
  <c r="G150" i="30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E150" i="30"/>
  <c r="F150" i="30" s="1"/>
  <c r="D150" i="30"/>
  <c r="E148" i="30"/>
  <c r="F148" i="30" s="1"/>
  <c r="G148" i="30" s="1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D148" i="30"/>
  <c r="F147" i="30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B147" i="30" s="1"/>
  <c r="E147" i="30"/>
  <c r="D147" i="30"/>
  <c r="Q145" i="30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G145" i="30"/>
  <c r="H145" i="30" s="1"/>
  <c r="I145" i="30" s="1"/>
  <c r="J145" i="30" s="1"/>
  <c r="K145" i="30" s="1"/>
  <c r="L145" i="30" s="1"/>
  <c r="M145" i="30" s="1"/>
  <c r="N145" i="30" s="1"/>
  <c r="O145" i="30" s="1"/>
  <c r="P145" i="30" s="1"/>
  <c r="F145" i="30"/>
  <c r="D145" i="30"/>
  <c r="E145" i="30" s="1"/>
  <c r="E144" i="30"/>
  <c r="F144" i="30" s="1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D144" i="30"/>
  <c r="AC143" i="30"/>
  <c r="AD143" i="30" s="1"/>
  <c r="AE143" i="30" s="1"/>
  <c r="AF143" i="30" s="1"/>
  <c r="B143" i="30" s="1"/>
  <c r="R143" i="30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F142" i="30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B142" i="30" s="1"/>
  <c r="E142" i="30"/>
  <c r="D142" i="30"/>
  <c r="AD141" i="30"/>
  <c r="AE141" i="30" s="1"/>
  <c r="AF141" i="30" s="1"/>
  <c r="B141" i="30" s="1"/>
  <c r="P141" i="30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F140" i="30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E140" i="30"/>
  <c r="D140" i="30"/>
  <c r="AB139" i="30"/>
  <c r="AC139" i="30" s="1"/>
  <c r="AD139" i="30" s="1"/>
  <c r="AE139" i="30" s="1"/>
  <c r="AF139" i="30" s="1"/>
  <c r="B139" i="30" s="1"/>
  <c r="R139" i="30"/>
  <c r="S139" i="30" s="1"/>
  <c r="T139" i="30" s="1"/>
  <c r="U139" i="30" s="1"/>
  <c r="V139" i="30" s="1"/>
  <c r="W139" i="30" s="1"/>
  <c r="X139" i="30" s="1"/>
  <c r="Y139" i="30" s="1"/>
  <c r="Z139" i="30" s="1"/>
  <c r="AA139" i="30" s="1"/>
  <c r="G139" i="30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D139" i="30"/>
  <c r="E139" i="30" s="1"/>
  <c r="F139" i="30" s="1"/>
  <c r="E137" i="30"/>
  <c r="F137" i="30" s="1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D137" i="30"/>
  <c r="L136" i="30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B136" i="30" s="1"/>
  <c r="H136" i="30"/>
  <c r="I136" i="30" s="1"/>
  <c r="J136" i="30" s="1"/>
  <c r="K136" i="30" s="1"/>
  <c r="F136" i="30"/>
  <c r="G136" i="30" s="1"/>
  <c r="E136" i="30"/>
  <c r="D136" i="30"/>
  <c r="D135" i="30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B135" i="30" s="1"/>
  <c r="I134" i="30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G134" i="30"/>
  <c r="H134" i="30" s="1"/>
  <c r="D134" i="30"/>
  <c r="E134" i="30" s="1"/>
  <c r="F134" i="30" s="1"/>
  <c r="G133" i="30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E133" i="30"/>
  <c r="F133" i="30" s="1"/>
  <c r="D133" i="30"/>
  <c r="H132" i="30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E132" i="30"/>
  <c r="F132" i="30" s="1"/>
  <c r="G132" i="30" s="1"/>
  <c r="D132" i="30"/>
  <c r="I131" i="30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F131" i="30"/>
  <c r="G131" i="30" s="1"/>
  <c r="H131" i="30" s="1"/>
  <c r="E131" i="30"/>
  <c r="D131" i="30"/>
  <c r="Q130" i="30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B130" i="30" s="1"/>
  <c r="D130" i="30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E128" i="30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D128" i="30"/>
  <c r="K127" i="30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H127" i="30"/>
  <c r="I127" i="30" s="1"/>
  <c r="J127" i="30" s="1"/>
  <c r="E127" i="30"/>
  <c r="F127" i="30" s="1"/>
  <c r="G127" i="30" s="1"/>
  <c r="D127" i="30"/>
  <c r="F126" i="30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D126" i="30"/>
  <c r="E126" i="30" s="1"/>
  <c r="D125" i="30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E124" i="30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D124" i="30"/>
  <c r="K123" i="30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H123" i="30"/>
  <c r="I123" i="30" s="1"/>
  <c r="J123" i="30" s="1"/>
  <c r="E123" i="30"/>
  <c r="F123" i="30" s="1"/>
  <c r="G123" i="30" s="1"/>
  <c r="D123" i="30"/>
  <c r="F122" i="30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E122" i="30"/>
  <c r="D122" i="30"/>
  <c r="G121" i="30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D121" i="30"/>
  <c r="E121" i="30" s="1"/>
  <c r="F121" i="30" s="1"/>
  <c r="G120" i="30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E120" i="30"/>
  <c r="F120" i="30" s="1"/>
  <c r="D120" i="30"/>
  <c r="E119" i="30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D119" i="30"/>
  <c r="H118" i="30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F118" i="30"/>
  <c r="G118" i="30" s="1"/>
  <c r="E118" i="30"/>
  <c r="D118" i="30"/>
  <c r="D117" i="30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E115" i="30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D115" i="30"/>
  <c r="F114" i="30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E114" i="30"/>
  <c r="D114" i="30"/>
  <c r="L113" i="30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K113" i="30"/>
  <c r="E113" i="30"/>
  <c r="F113" i="30" s="1"/>
  <c r="G113" i="30" s="1"/>
  <c r="H113" i="30" s="1"/>
  <c r="I113" i="30" s="1"/>
  <c r="D113" i="30"/>
  <c r="F112" i="30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E112" i="30"/>
  <c r="D112" i="30"/>
  <c r="D111" i="30"/>
  <c r="E111" i="30" s="1"/>
  <c r="F111" i="30" s="1"/>
  <c r="G111" i="30" s="1"/>
  <c r="H111" i="30" s="1"/>
  <c r="I111" i="30" s="1"/>
  <c r="J111" i="30" s="1"/>
  <c r="K111" i="30" s="1"/>
  <c r="L111" i="30" s="1"/>
  <c r="M111" i="30" s="1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B111" i="30" s="1"/>
  <c r="E109" i="30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D109" i="30"/>
  <c r="E108" i="30"/>
  <c r="D108" i="30"/>
  <c r="K106" i="30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F106" i="30"/>
  <c r="G106" i="30" s="1"/>
  <c r="H106" i="30" s="1"/>
  <c r="I106" i="30" s="1"/>
  <c r="J106" i="30" s="1"/>
  <c r="E106" i="30"/>
  <c r="D106" i="30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G104" i="30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E104" i="30"/>
  <c r="F104" i="30" s="1"/>
  <c r="D104" i="30"/>
  <c r="E103" i="30"/>
  <c r="F103" i="30" s="1"/>
  <c r="G103" i="30" s="1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B103" i="30" s="1"/>
  <c r="D103" i="30"/>
  <c r="F102" i="30"/>
  <c r="G102" i="30" s="1"/>
  <c r="E102" i="30"/>
  <c r="D102" i="30"/>
  <c r="D101" i="30"/>
  <c r="AH98" i="30"/>
  <c r="AI98" i="30" s="1"/>
  <c r="AH97" i="30"/>
  <c r="AI97" i="30" s="1"/>
  <c r="AH96" i="30"/>
  <c r="AI96" i="30" s="1"/>
  <c r="AH95" i="30"/>
  <c r="AI95" i="30" s="1"/>
  <c r="AH94" i="30"/>
  <c r="AI94" i="30" s="1"/>
  <c r="D93" i="30"/>
  <c r="C93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AB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B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Q82" i="30" s="1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AF76" i="30"/>
  <c r="AE76" i="30"/>
  <c r="AD76" i="30"/>
  <c r="AD82" i="30" s="1"/>
  <c r="AC76" i="30"/>
  <c r="AB76" i="30"/>
  <c r="AA76" i="30"/>
  <c r="Z76" i="30"/>
  <c r="Y76" i="30"/>
  <c r="X76" i="30"/>
  <c r="W76" i="30"/>
  <c r="W82" i="30" s="1"/>
  <c r="V76" i="30"/>
  <c r="U76" i="30"/>
  <c r="T76" i="30"/>
  <c r="S76" i="30"/>
  <c r="R76" i="30"/>
  <c r="Q76" i="30"/>
  <c r="P76" i="30"/>
  <c r="O76" i="30"/>
  <c r="N76" i="30"/>
  <c r="N82" i="30" s="1"/>
  <c r="M76" i="30"/>
  <c r="L76" i="30"/>
  <c r="K76" i="30"/>
  <c r="J76" i="30"/>
  <c r="I76" i="30"/>
  <c r="H76" i="30"/>
  <c r="G76" i="30"/>
  <c r="F76" i="30"/>
  <c r="E76" i="30"/>
  <c r="E82" i="30" s="1"/>
  <c r="D76" i="30"/>
  <c r="C76" i="30"/>
  <c r="B76" i="30"/>
  <c r="AI74" i="30"/>
  <c r="AH74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AH72" i="30" s="1"/>
  <c r="AI71" i="30"/>
  <c r="AH71" i="30"/>
  <c r="AI70" i="30"/>
  <c r="AH70" i="30"/>
  <c r="AI69" i="30"/>
  <c r="AH69" i="30"/>
  <c r="AG68" i="30"/>
  <c r="AF68" i="30"/>
  <c r="AE5" i="30" s="1"/>
  <c r="AE68" i="30"/>
  <c r="AD68" i="30"/>
  <c r="AC5" i="30" s="1"/>
  <c r="AC68" i="30"/>
  <c r="AB5" i="30" s="1"/>
  <c r="AB68" i="30"/>
  <c r="AA5" i="30" s="1"/>
  <c r="AA68" i="30"/>
  <c r="Z5" i="30" s="1"/>
  <c r="Z68" i="30"/>
  <c r="Y5" i="30" s="1"/>
  <c r="Y68" i="30"/>
  <c r="X68" i="30"/>
  <c r="W5" i="30" s="1"/>
  <c r="W68" i="30"/>
  <c r="V68" i="30"/>
  <c r="U68" i="30"/>
  <c r="T68" i="30"/>
  <c r="S68" i="30"/>
  <c r="R5" i="30" s="1"/>
  <c r="R68" i="30"/>
  <c r="Q68" i="30"/>
  <c r="P5" i="30" s="1"/>
  <c r="P68" i="30"/>
  <c r="O68" i="30"/>
  <c r="N68" i="30"/>
  <c r="M68" i="30"/>
  <c r="L68" i="30"/>
  <c r="K5" i="30" s="1"/>
  <c r="K68" i="30"/>
  <c r="J5" i="30" s="1"/>
  <c r="J68" i="30"/>
  <c r="I68" i="30"/>
  <c r="H68" i="30"/>
  <c r="G68" i="30"/>
  <c r="F68" i="30"/>
  <c r="E5" i="30" s="1"/>
  <c r="E68" i="30"/>
  <c r="D5" i="30" s="1"/>
  <c r="D68" i="30"/>
  <c r="C5" i="30" s="1"/>
  <c r="C68" i="30"/>
  <c r="B5" i="30" s="1"/>
  <c r="B68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AI55" i="30"/>
  <c r="AH55" i="30"/>
  <c r="AI54" i="30"/>
  <c r="AH54" i="30"/>
  <c r="AI53" i="30"/>
  <c r="AH53" i="30"/>
  <c r="Z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G52" i="30" s="1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R75" i="30" s="1"/>
  <c r="Q38" i="30"/>
  <c r="P38" i="30"/>
  <c r="O38" i="30"/>
  <c r="N38" i="30"/>
  <c r="M38" i="30"/>
  <c r="L38" i="30"/>
  <c r="K38" i="30"/>
  <c r="J38" i="30"/>
  <c r="I38" i="30"/>
  <c r="I75" i="30" s="1"/>
  <c r="H38" i="30"/>
  <c r="G38" i="30"/>
  <c r="F38" i="30"/>
  <c r="E38" i="30"/>
  <c r="D38" i="30"/>
  <c r="C38" i="30"/>
  <c r="B38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X5" i="30"/>
  <c r="U5" i="30"/>
  <c r="T5" i="30"/>
  <c r="S5" i="30"/>
  <c r="Q5" i="30"/>
  <c r="O5" i="30"/>
  <c r="M5" i="30"/>
  <c r="L5" i="30"/>
  <c r="I5" i="30"/>
  <c r="H5" i="30"/>
  <c r="G5" i="30"/>
  <c r="AG4" i="30"/>
  <c r="K4" i="30"/>
  <c r="B4" i="30"/>
  <c r="AG2" i="30"/>
  <c r="AF37" i="29"/>
  <c r="AE37" i="29"/>
  <c r="AD37" i="29"/>
  <c r="AC37" i="29"/>
  <c r="AB95" i="29"/>
  <c r="AB37" i="29"/>
  <c r="Q37" i="29"/>
  <c r="P37" i="29"/>
  <c r="E4" i="30"/>
  <c r="AE82" i="30" l="1"/>
  <c r="AC82" i="30"/>
  <c r="AA82" i="30"/>
  <c r="Z82" i="30"/>
  <c r="Z75" i="30"/>
  <c r="AR213" i="30" s="1"/>
  <c r="Z73" i="30"/>
  <c r="V82" i="30"/>
  <c r="U82" i="30"/>
  <c r="T82" i="30"/>
  <c r="T73" i="30"/>
  <c r="S82" i="30"/>
  <c r="R82" i="30"/>
  <c r="R73" i="30"/>
  <c r="Q75" i="30"/>
  <c r="AI213" i="30" s="1"/>
  <c r="Q73" i="30"/>
  <c r="P75" i="30"/>
  <c r="P7" i="30" s="1"/>
  <c r="P73" i="30"/>
  <c r="O82" i="30"/>
  <c r="O75" i="30"/>
  <c r="O7" i="30" s="1"/>
  <c r="O73" i="30"/>
  <c r="N75" i="30"/>
  <c r="AF213" i="30" s="1"/>
  <c r="N73" i="30"/>
  <c r="M82" i="30"/>
  <c r="M73" i="30"/>
  <c r="M75" i="30"/>
  <c r="AE213" i="30" s="1"/>
  <c r="L82" i="30"/>
  <c r="L75" i="30"/>
  <c r="L7" i="30" s="1"/>
  <c r="L73" i="30"/>
  <c r="K82" i="30"/>
  <c r="K75" i="30"/>
  <c r="AC213" i="30" s="1"/>
  <c r="J82" i="30"/>
  <c r="J75" i="30"/>
  <c r="J73" i="30"/>
  <c r="I82" i="30"/>
  <c r="AH37" i="30"/>
  <c r="I73" i="30"/>
  <c r="H75" i="30"/>
  <c r="Z213" i="30" s="1"/>
  <c r="H73" i="30"/>
  <c r="G82" i="30"/>
  <c r="AH78" i="30"/>
  <c r="G75" i="30"/>
  <c r="G73" i="30"/>
  <c r="AI78" i="30"/>
  <c r="F82" i="30"/>
  <c r="AI80" i="30"/>
  <c r="AH56" i="30"/>
  <c r="F75" i="30"/>
  <c r="X213" i="30" s="1"/>
  <c r="F73" i="30"/>
  <c r="E73" i="30"/>
  <c r="E75" i="30"/>
  <c r="W213" i="30" s="1"/>
  <c r="AI76" i="30"/>
  <c r="AI79" i="30"/>
  <c r="D82" i="30"/>
  <c r="D73" i="30"/>
  <c r="D83" i="30" s="1"/>
  <c r="AH77" i="30"/>
  <c r="AH68" i="30"/>
  <c r="C82" i="30"/>
  <c r="AI38" i="30"/>
  <c r="AH79" i="30"/>
  <c r="AH80" i="30"/>
  <c r="AI56" i="30"/>
  <c r="H4" i="30"/>
  <c r="H7" i="30"/>
  <c r="AH213" i="30"/>
  <c r="AB213" i="30"/>
  <c r="AG75" i="30"/>
  <c r="AG3" i="30"/>
  <c r="AG6" i="30" s="1"/>
  <c r="AG73" i="30"/>
  <c r="AG83" i="30" s="1"/>
  <c r="AA213" i="30"/>
  <c r="I7" i="30"/>
  <c r="AJ213" i="30"/>
  <c r="R7" i="30"/>
  <c r="R83" i="30"/>
  <c r="Z83" i="30"/>
  <c r="AG213" i="30"/>
  <c r="AI77" i="30"/>
  <c r="D210" i="30"/>
  <c r="S210" i="30"/>
  <c r="C73" i="30"/>
  <c r="C75" i="30" s="1"/>
  <c r="K73" i="30"/>
  <c r="S73" i="30"/>
  <c r="AI72" i="30"/>
  <c r="F5" i="30"/>
  <c r="N5" i="30"/>
  <c r="V5" i="30"/>
  <c r="AD5" i="30"/>
  <c r="N83" i="30"/>
  <c r="E93" i="30"/>
  <c r="F108" i="30"/>
  <c r="H102" i="30"/>
  <c r="E7" i="30"/>
  <c r="N7" i="30"/>
  <c r="H82" i="30"/>
  <c r="P82" i="30"/>
  <c r="X82" i="30"/>
  <c r="AF82" i="30"/>
  <c r="I83" i="30"/>
  <c r="S75" i="30"/>
  <c r="Y82" i="30"/>
  <c r="AH76" i="30"/>
  <c r="B82" i="30"/>
  <c r="AI68" i="30"/>
  <c r="AH38" i="30"/>
  <c r="D75" i="30"/>
  <c r="T75" i="30"/>
  <c r="T83" i="30" s="1"/>
  <c r="D191" i="30"/>
  <c r="E101" i="30"/>
  <c r="E199" i="30"/>
  <c r="F193" i="30"/>
  <c r="G198" i="30"/>
  <c r="E234" i="30"/>
  <c r="D234" i="30"/>
  <c r="Z7" i="30" l="1"/>
  <c r="S83" i="30"/>
  <c r="Q7" i="30"/>
  <c r="Q83" i="30"/>
  <c r="P83" i="30"/>
  <c r="O83" i="30"/>
  <c r="M83" i="30"/>
  <c r="M7" i="30"/>
  <c r="AD213" i="30"/>
  <c r="L83" i="30"/>
  <c r="K83" i="30"/>
  <c r="K7" i="30"/>
  <c r="J83" i="30"/>
  <c r="J7" i="30"/>
  <c r="C208" i="30"/>
  <c r="H83" i="30"/>
  <c r="G83" i="30"/>
  <c r="Y213" i="30"/>
  <c r="G7" i="30"/>
  <c r="B208" i="30"/>
  <c r="F7" i="30"/>
  <c r="F83" i="30"/>
  <c r="E83" i="30"/>
  <c r="AL213" i="30"/>
  <c r="T7" i="30"/>
  <c r="E191" i="30"/>
  <c r="F101" i="30"/>
  <c r="V213" i="30"/>
  <c r="D7" i="30"/>
  <c r="F234" i="30"/>
  <c r="H198" i="30"/>
  <c r="AK213" i="30"/>
  <c r="S7" i="30"/>
  <c r="U213" i="30"/>
  <c r="C7" i="30"/>
  <c r="C83" i="30"/>
  <c r="G193" i="30"/>
  <c r="F199" i="30"/>
  <c r="I102" i="30"/>
  <c r="AI82" i="30"/>
  <c r="AH82" i="30"/>
  <c r="F93" i="30"/>
  <c r="G108" i="30"/>
  <c r="K6" i="30" l="1"/>
  <c r="H108" i="30"/>
  <c r="G93" i="30"/>
  <c r="H193" i="30"/>
  <c r="G199" i="30"/>
  <c r="F191" i="30"/>
  <c r="G101" i="30"/>
  <c r="G234" i="30"/>
  <c r="I198" i="30"/>
  <c r="J102" i="30"/>
  <c r="G191" i="30" l="1"/>
  <c r="H101" i="30"/>
  <c r="K102" i="30"/>
  <c r="I193" i="30"/>
  <c r="H199" i="30"/>
  <c r="I108" i="30"/>
  <c r="H93" i="30"/>
  <c r="J198" i="30"/>
  <c r="H234" i="30"/>
  <c r="J193" i="30" l="1"/>
  <c r="I199" i="30"/>
  <c r="L102" i="30"/>
  <c r="H191" i="30"/>
  <c r="I101" i="30"/>
  <c r="I234" i="30"/>
  <c r="K198" i="30"/>
  <c r="J108" i="30"/>
  <c r="I93" i="30"/>
  <c r="L198" i="30" l="1"/>
  <c r="J234" i="30"/>
  <c r="I191" i="30"/>
  <c r="J101" i="30"/>
  <c r="M102" i="30"/>
  <c r="K108" i="30"/>
  <c r="J93" i="30"/>
  <c r="J199" i="30"/>
  <c r="K193" i="30"/>
  <c r="L108" i="30" l="1"/>
  <c r="K93" i="30"/>
  <c r="N102" i="30"/>
  <c r="J191" i="30"/>
  <c r="K101" i="30"/>
  <c r="K199" i="30"/>
  <c r="L193" i="30"/>
  <c r="M198" i="30"/>
  <c r="K234" i="30"/>
  <c r="M193" i="30" l="1"/>
  <c r="L199" i="30"/>
  <c r="K191" i="30"/>
  <c r="L101" i="30"/>
  <c r="O102" i="30"/>
  <c r="L234" i="30"/>
  <c r="N198" i="30"/>
  <c r="M108" i="30"/>
  <c r="L93" i="30"/>
  <c r="M234" i="30" l="1"/>
  <c r="O198" i="30"/>
  <c r="P102" i="30"/>
  <c r="L191" i="30"/>
  <c r="M101" i="30"/>
  <c r="N108" i="30"/>
  <c r="M93" i="30"/>
  <c r="M199" i="30"/>
  <c r="N193" i="30"/>
  <c r="O108" i="30" l="1"/>
  <c r="N93" i="30"/>
  <c r="M191" i="30"/>
  <c r="N101" i="30"/>
  <c r="N234" i="30"/>
  <c r="P198" i="30"/>
  <c r="Q102" i="30"/>
  <c r="O193" i="30"/>
  <c r="N199" i="30"/>
  <c r="R102" i="30" l="1"/>
  <c r="O234" i="30"/>
  <c r="Q198" i="30"/>
  <c r="N191" i="30"/>
  <c r="O101" i="30"/>
  <c r="P193" i="30"/>
  <c r="O199" i="30"/>
  <c r="P108" i="30"/>
  <c r="O93" i="30"/>
  <c r="P199" i="30" l="1"/>
  <c r="Q193" i="30"/>
  <c r="O191" i="30"/>
  <c r="P101" i="30"/>
  <c r="R198" i="30"/>
  <c r="P234" i="30"/>
  <c r="S102" i="30"/>
  <c r="Q108" i="30"/>
  <c r="P93" i="30"/>
  <c r="T102" i="30" l="1"/>
  <c r="Q234" i="30"/>
  <c r="S198" i="30"/>
  <c r="P191" i="30"/>
  <c r="Q101" i="30"/>
  <c r="R193" i="30"/>
  <c r="Q199" i="30"/>
  <c r="R108" i="30"/>
  <c r="Q93" i="30"/>
  <c r="R199" i="30" l="1"/>
  <c r="S193" i="30"/>
  <c r="Q191" i="30"/>
  <c r="R101" i="30"/>
  <c r="T198" i="30"/>
  <c r="R234" i="30"/>
  <c r="S108" i="30"/>
  <c r="R93" i="30"/>
  <c r="U102" i="30"/>
  <c r="T108" i="30" l="1"/>
  <c r="S93" i="30"/>
  <c r="U198" i="30"/>
  <c r="S234" i="30"/>
  <c r="R191" i="30"/>
  <c r="S101" i="30"/>
  <c r="S199" i="30"/>
  <c r="T193" i="30"/>
  <c r="V102" i="30"/>
  <c r="U193" i="30" l="1"/>
  <c r="T199" i="30"/>
  <c r="V198" i="30"/>
  <c r="T234" i="30"/>
  <c r="S191" i="30"/>
  <c r="T101" i="30"/>
  <c r="W102" i="30"/>
  <c r="U108" i="30"/>
  <c r="T93" i="30"/>
  <c r="W198" i="30" l="1"/>
  <c r="U234" i="30"/>
  <c r="X102" i="30"/>
  <c r="T191" i="30"/>
  <c r="U101" i="30"/>
  <c r="V108" i="30"/>
  <c r="U93" i="30"/>
  <c r="U199" i="30"/>
  <c r="U51" i="30" s="1"/>
  <c r="U52" i="30" s="1"/>
  <c r="V193" i="30"/>
  <c r="U191" i="30" l="1"/>
  <c r="V101" i="30"/>
  <c r="W193" i="30"/>
  <c r="V199" i="30"/>
  <c r="V51" i="30" s="1"/>
  <c r="V52" i="30" s="1"/>
  <c r="W108" i="30"/>
  <c r="V93" i="30"/>
  <c r="Y102" i="30"/>
  <c r="U73" i="30"/>
  <c r="U75" i="30"/>
  <c r="V234" i="30"/>
  <c r="X198" i="30"/>
  <c r="Z102" i="30" l="1"/>
  <c r="X108" i="30"/>
  <c r="W93" i="30"/>
  <c r="W234" i="30"/>
  <c r="Y198" i="30"/>
  <c r="X193" i="30"/>
  <c r="W199" i="30"/>
  <c r="W51" i="30" s="1"/>
  <c r="W52" i="30" s="1"/>
  <c r="AM213" i="30"/>
  <c r="U7" i="30"/>
  <c r="V191" i="30"/>
  <c r="W101" i="30"/>
  <c r="V73" i="30"/>
  <c r="V75" i="30"/>
  <c r="U83" i="30"/>
  <c r="W73" i="30" l="1"/>
  <c r="W75" i="30"/>
  <c r="AN213" i="30"/>
  <c r="V7" i="30"/>
  <c r="X234" i="30"/>
  <c r="Z198" i="30"/>
  <c r="W191" i="30"/>
  <c r="X101" i="30"/>
  <c r="Y193" i="30"/>
  <c r="X199" i="30"/>
  <c r="X52" i="30" s="1"/>
  <c r="Y108" i="30"/>
  <c r="X93" i="30"/>
  <c r="AA102" i="30"/>
  <c r="V83" i="30"/>
  <c r="X191" i="30" l="1"/>
  <c r="Y101" i="30"/>
  <c r="AB102" i="30"/>
  <c r="Y234" i="30"/>
  <c r="AA198" i="30"/>
  <c r="Z108" i="30"/>
  <c r="Y93" i="30"/>
  <c r="X73" i="30"/>
  <c r="X83" i="30" s="1"/>
  <c r="X75" i="30"/>
  <c r="AO213" i="30"/>
  <c r="W7" i="30"/>
  <c r="Z193" i="30"/>
  <c r="Y199" i="30"/>
  <c r="Y52" i="30" s="1"/>
  <c r="W83" i="30"/>
  <c r="Y75" i="30" l="1"/>
  <c r="Y73" i="30"/>
  <c r="Y83" i="30" s="1"/>
  <c r="AA108" i="30"/>
  <c r="Z93" i="30"/>
  <c r="AB198" i="30"/>
  <c r="Z234" i="30"/>
  <c r="Z199" i="30"/>
  <c r="AA193" i="30"/>
  <c r="AC102" i="30"/>
  <c r="AP213" i="30"/>
  <c r="X7" i="30"/>
  <c r="Y191" i="30"/>
  <c r="Z101" i="30"/>
  <c r="AA234" i="30" l="1"/>
  <c r="AC198" i="30"/>
  <c r="AA199" i="30"/>
  <c r="AA51" i="30" s="1"/>
  <c r="AA52" i="30" s="1"/>
  <c r="AB193" i="30"/>
  <c r="Z191" i="30"/>
  <c r="AA101" i="30"/>
  <c r="AB108" i="30"/>
  <c r="AA93" i="30"/>
  <c r="AD102" i="30"/>
  <c r="AQ213" i="30"/>
  <c r="Y7" i="30"/>
  <c r="AA191" i="30" l="1"/>
  <c r="AB101" i="30"/>
  <c r="AB199" i="30"/>
  <c r="AB51" i="30" s="1"/>
  <c r="AB52" i="30" s="1"/>
  <c r="AC193" i="30"/>
  <c r="AA73" i="30"/>
  <c r="AA75" i="30"/>
  <c r="AB234" i="30"/>
  <c r="AD198" i="30"/>
  <c r="AC108" i="30"/>
  <c r="AB93" i="30"/>
  <c r="AE102" i="30"/>
  <c r="AC234" i="30" l="1"/>
  <c r="AE198" i="30"/>
  <c r="AA83" i="30"/>
  <c r="AB73" i="30"/>
  <c r="AB75" i="30"/>
  <c r="AC199" i="30"/>
  <c r="AC51" i="30" s="1"/>
  <c r="AC52" i="30" s="1"/>
  <c r="AD193" i="30"/>
  <c r="AF102" i="30"/>
  <c r="AB191" i="30"/>
  <c r="AC101" i="30"/>
  <c r="AS213" i="30"/>
  <c r="AA7" i="30"/>
  <c r="AD108" i="30"/>
  <c r="AC93" i="30"/>
  <c r="AB83" i="30" l="1"/>
  <c r="B102" i="30"/>
  <c r="AC73" i="30"/>
  <c r="AC75" i="30"/>
  <c r="AC191" i="30"/>
  <c r="AD101" i="30"/>
  <c r="AD234" i="30"/>
  <c r="AF198" i="30"/>
  <c r="AE193" i="30"/>
  <c r="AD199" i="30"/>
  <c r="AD51" i="30" s="1"/>
  <c r="AD52" i="30" s="1"/>
  <c r="AE108" i="30"/>
  <c r="AD93" i="30"/>
  <c r="AT213" i="30"/>
  <c r="AB7" i="30"/>
  <c r="AC83" i="30" l="1"/>
  <c r="AE234" i="30"/>
  <c r="B198" i="30"/>
  <c r="AF234" i="30" s="1"/>
  <c r="AD191" i="30"/>
  <c r="AE101" i="30"/>
  <c r="AU213" i="30"/>
  <c r="AC7" i="30"/>
  <c r="AF108" i="30"/>
  <c r="AE93" i="30"/>
  <c r="AD75" i="30"/>
  <c r="AD73" i="30"/>
  <c r="AD83" i="30" s="1"/>
  <c r="AF193" i="30"/>
  <c r="AE199" i="30"/>
  <c r="AE51" i="30" s="1"/>
  <c r="AE52" i="30" s="1"/>
  <c r="AE73" i="30" l="1"/>
  <c r="AE75" i="30"/>
  <c r="B108" i="30"/>
  <c r="B93" i="30" s="1"/>
  <c r="AF93" i="30"/>
  <c r="AF199" i="30"/>
  <c r="AF51" i="30" s="1"/>
  <c r="AF52" i="30" s="1"/>
  <c r="B193" i="30"/>
  <c r="B199" i="30" s="1"/>
  <c r="B51" i="30" s="1"/>
  <c r="AV213" i="30"/>
  <c r="AD7" i="30"/>
  <c r="AE191" i="30"/>
  <c r="AF101" i="30"/>
  <c r="B52" i="30" l="1"/>
  <c r="AI51" i="30"/>
  <c r="AH51" i="30"/>
  <c r="AF73" i="30"/>
  <c r="AF75" i="30"/>
  <c r="AF191" i="30"/>
  <c r="B101" i="30"/>
  <c r="B191" i="30" s="1"/>
  <c r="AW213" i="30"/>
  <c r="AE7" i="30"/>
  <c r="AI93" i="30"/>
  <c r="AH93" i="30"/>
  <c r="AE83" i="30"/>
  <c r="AX213" i="30" l="1"/>
  <c r="AF7" i="30"/>
  <c r="AF83" i="30"/>
  <c r="AH52" i="30"/>
  <c r="B75" i="30"/>
  <c r="AI52" i="30"/>
  <c r="B73" i="30"/>
  <c r="AH73" i="30" l="1"/>
  <c r="B83" i="30"/>
  <c r="AI73" i="30"/>
  <c r="T213" i="30"/>
  <c r="AI75" i="30"/>
  <c r="AH75" i="30"/>
  <c r="B7" i="30"/>
  <c r="A7" i="30" s="1"/>
  <c r="AI83" i="30" l="1"/>
  <c r="AH83" i="30"/>
  <c r="O37" i="29" l="1"/>
  <c r="N37" i="29"/>
  <c r="M37" i="29"/>
  <c r="D37" i="29"/>
  <c r="AH99" i="29"/>
  <c r="AI99" i="29" s="1"/>
  <c r="C37" i="29"/>
  <c r="B37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235" i="29"/>
  <c r="B234" i="29"/>
  <c r="S209" i="29"/>
  <c r="AG199" i="29"/>
  <c r="C199" i="29"/>
  <c r="E198" i="29"/>
  <c r="D198" i="29"/>
  <c r="C234" i="29" s="1"/>
  <c r="D197" i="29"/>
  <c r="E197" i="29" s="1"/>
  <c r="F197" i="29" s="1"/>
  <c r="G197" i="29" s="1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6" i="29"/>
  <c r="E196" i="29" s="1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D195" i="29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E194" i="29"/>
  <c r="F194" i="29" s="1"/>
  <c r="G194" i="29" s="1"/>
  <c r="H194" i="29" s="1"/>
  <c r="I194" i="29" s="1"/>
  <c r="J194" i="29" s="1"/>
  <c r="K194" i="29" s="1"/>
  <c r="L194" i="29" s="1"/>
  <c r="M194" i="29" s="1"/>
  <c r="N194" i="29" s="1"/>
  <c r="O194" i="29" s="1"/>
  <c r="P194" i="29" s="1"/>
  <c r="Q194" i="29" s="1"/>
  <c r="R194" i="29" s="1"/>
  <c r="S194" i="29" s="1"/>
  <c r="T194" i="29" s="1"/>
  <c r="U194" i="29" s="1"/>
  <c r="V194" i="29" s="1"/>
  <c r="W194" i="29" s="1"/>
  <c r="X194" i="29" s="1"/>
  <c r="Y194" i="29" s="1"/>
  <c r="Z194" i="29" s="1"/>
  <c r="AA194" i="29" s="1"/>
  <c r="AB194" i="29" s="1"/>
  <c r="AC194" i="29" s="1"/>
  <c r="AD194" i="29" s="1"/>
  <c r="AE194" i="29" s="1"/>
  <c r="AF194" i="29" s="1"/>
  <c r="B194" i="29" s="1"/>
  <c r="D194" i="29"/>
  <c r="D193" i="29"/>
  <c r="E193" i="29" s="1"/>
  <c r="AG191" i="29"/>
  <c r="C191" i="29"/>
  <c r="D190" i="29"/>
  <c r="E190" i="29" s="1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D189" i="29"/>
  <c r="E189" i="29" s="1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D188" i="29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D187" i="29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W186" i="29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G186" i="29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D186" i="29"/>
  <c r="E186" i="29" s="1"/>
  <c r="F186" i="29" s="1"/>
  <c r="E185" i="29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D185" i="29"/>
  <c r="D184" i="29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E183" i="29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D183" i="29"/>
  <c r="D182" i="29"/>
  <c r="E182" i="29" s="1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D181" i="29"/>
  <c r="E181" i="29" s="1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0" i="29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D179" i="29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D178" i="29"/>
  <c r="E178" i="29" s="1"/>
  <c r="F178" i="29" s="1"/>
  <c r="G178" i="29" s="1"/>
  <c r="H178" i="29" s="1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B178" i="29" s="1"/>
  <c r="O176" i="29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E176" i="29"/>
  <c r="F176" i="29" s="1"/>
  <c r="G176" i="29" s="1"/>
  <c r="H176" i="29" s="1"/>
  <c r="I176" i="29" s="1"/>
  <c r="J176" i="29" s="1"/>
  <c r="K176" i="29" s="1"/>
  <c r="L176" i="29" s="1"/>
  <c r="M176" i="29" s="1"/>
  <c r="N176" i="29" s="1"/>
  <c r="D176" i="29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F173" i="29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D173" i="29"/>
  <c r="E173" i="29" s="1"/>
  <c r="D172" i="29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E171" i="29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D171" i="29"/>
  <c r="D170" i="29"/>
  <c r="E170" i="29" s="1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D169" i="29"/>
  <c r="E169" i="29" s="1"/>
  <c r="F169" i="29" s="1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B169" i="29" s="1"/>
  <c r="E167" i="29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D167" i="29"/>
  <c r="E166" i="29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D166" i="29"/>
  <c r="D165" i="29"/>
  <c r="E165" i="29" s="1"/>
  <c r="F165" i="29" s="1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D164" i="29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L163" i="29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D163" i="29"/>
  <c r="E163" i="29" s="1"/>
  <c r="F163" i="29" s="1"/>
  <c r="G163" i="29" s="1"/>
  <c r="H163" i="29" s="1"/>
  <c r="I163" i="29" s="1"/>
  <c r="J163" i="29" s="1"/>
  <c r="K163" i="29" s="1"/>
  <c r="D162" i="29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D161" i="29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F160" i="29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E160" i="29"/>
  <c r="D160" i="29"/>
  <c r="E159" i="29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D159" i="29"/>
  <c r="E158" i="29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O157" i="29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G157" i="29"/>
  <c r="H157" i="29" s="1"/>
  <c r="I157" i="29" s="1"/>
  <c r="J157" i="29" s="1"/>
  <c r="K157" i="29" s="1"/>
  <c r="L157" i="29" s="1"/>
  <c r="M157" i="29" s="1"/>
  <c r="N157" i="29" s="1"/>
  <c r="D157" i="29"/>
  <c r="E157" i="29" s="1"/>
  <c r="F157" i="29" s="1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B156" i="29" s="1"/>
  <c r="G155" i="29"/>
  <c r="H155" i="29" s="1"/>
  <c r="I155" i="29" s="1"/>
  <c r="J155" i="29" s="1"/>
  <c r="K155" i="29" s="1"/>
  <c r="L155" i="29" s="1"/>
  <c r="M155" i="29" s="1"/>
  <c r="N155" i="29" s="1"/>
  <c r="O155" i="29" s="1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B155" i="29" s="1"/>
  <c r="D155" i="29"/>
  <c r="E155" i="29" s="1"/>
  <c r="F155" i="29" s="1"/>
  <c r="Q153" i="29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I153" i="29"/>
  <c r="J153" i="29" s="1"/>
  <c r="K153" i="29" s="1"/>
  <c r="L153" i="29" s="1"/>
  <c r="M153" i="29" s="1"/>
  <c r="N153" i="29" s="1"/>
  <c r="O153" i="29" s="1"/>
  <c r="P153" i="29" s="1"/>
  <c r="E153" i="29"/>
  <c r="F153" i="29" s="1"/>
  <c r="G153" i="29" s="1"/>
  <c r="H153" i="29" s="1"/>
  <c r="D153" i="29"/>
  <c r="D152" i="29"/>
  <c r="E152" i="29" s="1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D151" i="29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D150" i="29"/>
  <c r="E150" i="29" s="1"/>
  <c r="F150" i="29" s="1"/>
  <c r="G150" i="29" s="1"/>
  <c r="H150" i="29" s="1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S150" i="29" s="1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B150" i="29" s="1"/>
  <c r="I148" i="29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E148" i="29"/>
  <c r="F148" i="29" s="1"/>
  <c r="G148" i="29" s="1"/>
  <c r="H148" i="29" s="1"/>
  <c r="D148" i="29"/>
  <c r="G147" i="29"/>
  <c r="H147" i="29" s="1"/>
  <c r="I147" i="29" s="1"/>
  <c r="J147" i="29" s="1"/>
  <c r="K147" i="29" s="1"/>
  <c r="L147" i="29" s="1"/>
  <c r="M147" i="29" s="1"/>
  <c r="N147" i="29" s="1"/>
  <c r="O147" i="29" s="1"/>
  <c r="P147" i="29" s="1"/>
  <c r="Q147" i="29" s="1"/>
  <c r="R147" i="29" s="1"/>
  <c r="S147" i="29" s="1"/>
  <c r="T147" i="29" s="1"/>
  <c r="U147" i="29" s="1"/>
  <c r="V147" i="29" s="1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B147" i="29" s="1"/>
  <c r="D147" i="29"/>
  <c r="E147" i="29" s="1"/>
  <c r="F147" i="29" s="1"/>
  <c r="M145" i="29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I145" i="29"/>
  <c r="J145" i="29" s="1"/>
  <c r="K145" i="29" s="1"/>
  <c r="L145" i="29" s="1"/>
  <c r="E145" i="29"/>
  <c r="F145" i="29" s="1"/>
  <c r="G145" i="29" s="1"/>
  <c r="H145" i="29" s="1"/>
  <c r="D145" i="29"/>
  <c r="D144" i="29"/>
  <c r="E144" i="29" s="1"/>
  <c r="F144" i="29" s="1"/>
  <c r="G144" i="29" s="1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D142" i="29"/>
  <c r="E142" i="29" s="1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J141" i="29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H141" i="29"/>
  <c r="I141" i="29" s="1"/>
  <c r="E141" i="29"/>
  <c r="F141" i="29" s="1"/>
  <c r="G141" i="29" s="1"/>
  <c r="D141" i="29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D139" i="29"/>
  <c r="E139" i="29" s="1"/>
  <c r="F139" i="29" s="1"/>
  <c r="G139" i="29" s="1"/>
  <c r="H139" i="29" s="1"/>
  <c r="I139" i="29" s="1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B139" i="29" s="1"/>
  <c r="F137" i="29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D137" i="29"/>
  <c r="E137" i="29" s="1"/>
  <c r="D136" i="29"/>
  <c r="E136" i="29" s="1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D135" i="29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D134" i="29"/>
  <c r="E134" i="29" s="1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D133" i="29"/>
  <c r="E133" i="29" s="1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E132" i="29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D132" i="29"/>
  <c r="E131" i="29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D131" i="29"/>
  <c r="E130" i="29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B130" i="29" s="1"/>
  <c r="D130" i="29"/>
  <c r="F128" i="29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D128" i="29"/>
  <c r="E128" i="29" s="1"/>
  <c r="U127" i="29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D126" i="29"/>
  <c r="E126" i="29" s="1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D125" i="29"/>
  <c r="E125" i="29" s="1"/>
  <c r="F125" i="29" s="1"/>
  <c r="G125" i="29" s="1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D124" i="29"/>
  <c r="E124" i="29" s="1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G122" i="29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E122" i="29"/>
  <c r="F122" i="29" s="1"/>
  <c r="D122" i="29"/>
  <c r="D121" i="29"/>
  <c r="E121" i="29" s="1"/>
  <c r="F121" i="29" s="1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D120" i="29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E119" i="29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D119" i="29"/>
  <c r="D118" i="29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D117" i="29"/>
  <c r="E117" i="29" s="1"/>
  <c r="F117" i="29" s="1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E116" i="29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D116" i="29"/>
  <c r="D115" i="29"/>
  <c r="E115" i="29" s="1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D114" i="29"/>
  <c r="E114" i="29" s="1"/>
  <c r="F114" i="29" s="1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K113" i="29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D113" i="29"/>
  <c r="E113" i="29" s="1"/>
  <c r="F113" i="29" s="1"/>
  <c r="G113" i="29" s="1"/>
  <c r="H113" i="29" s="1"/>
  <c r="I113" i="29" s="1"/>
  <c r="D112" i="29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1" i="29"/>
  <c r="E111" i="29" s="1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B111" i="29" s="1"/>
  <c r="D109" i="29"/>
  <c r="E109" i="29" s="1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F108" i="29"/>
  <c r="G108" i="29" s="1"/>
  <c r="H108" i="29" s="1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B108" i="29" s="1"/>
  <c r="D108" i="29"/>
  <c r="E108" i="29" s="1"/>
  <c r="E106" i="29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D106" i="29"/>
  <c r="E105" i="29"/>
  <c r="F105" i="29" s="1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D105" i="29"/>
  <c r="E104" i="29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D104" i="29"/>
  <c r="D103" i="29"/>
  <c r="E103" i="29" s="1"/>
  <c r="F103" i="29" s="1"/>
  <c r="G103" i="29" s="1"/>
  <c r="H103" i="29" s="1"/>
  <c r="I103" i="29" s="1"/>
  <c r="J103" i="29" s="1"/>
  <c r="K103" i="29" s="1"/>
  <c r="L103" i="29" s="1"/>
  <c r="M103" i="29" s="1"/>
  <c r="N103" i="29" s="1"/>
  <c r="O103" i="29" s="1"/>
  <c r="P103" i="29" s="1"/>
  <c r="Q103" i="29" s="1"/>
  <c r="R103" i="29" s="1"/>
  <c r="S103" i="29" s="1"/>
  <c r="T103" i="29" s="1"/>
  <c r="U103" i="29" s="1"/>
  <c r="V103" i="29" s="1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B103" i="29" s="1"/>
  <c r="D102" i="29"/>
  <c r="E102" i="29" s="1"/>
  <c r="E101" i="29"/>
  <c r="F101" i="29" s="1"/>
  <c r="G101" i="29" s="1"/>
  <c r="D101" i="29"/>
  <c r="AH98" i="29"/>
  <c r="AI98" i="29" s="1"/>
  <c r="AH97" i="29"/>
  <c r="AI97" i="29" s="1"/>
  <c r="AH96" i="29"/>
  <c r="AI96" i="29" s="1"/>
  <c r="AH95" i="29"/>
  <c r="AI95" i="29" s="1"/>
  <c r="AH94" i="29"/>
  <c r="AI94" i="29" s="1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B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AI74" i="29"/>
  <c r="AH74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AI71" i="29"/>
  <c r="AH71" i="29"/>
  <c r="AI70" i="29"/>
  <c r="AH70" i="29"/>
  <c r="AI69" i="29"/>
  <c r="AH69" i="29"/>
  <c r="AG68" i="29"/>
  <c r="AF68" i="29"/>
  <c r="AE68" i="29"/>
  <c r="AD5" i="29" s="1"/>
  <c r="AD68" i="29"/>
  <c r="AC5" i="29" s="1"/>
  <c r="AC68" i="29"/>
  <c r="AB5" i="29" s="1"/>
  <c r="AB68" i="29"/>
  <c r="AA5" i="29" s="1"/>
  <c r="AA68" i="29"/>
  <c r="Z5" i="29" s="1"/>
  <c r="Z68" i="29"/>
  <c r="Y68" i="29"/>
  <c r="X68" i="29"/>
  <c r="W68" i="29"/>
  <c r="V5" i="29" s="1"/>
  <c r="V68" i="29"/>
  <c r="U5" i="29" s="1"/>
  <c r="U68" i="29"/>
  <c r="T5" i="29" s="1"/>
  <c r="T68" i="29"/>
  <c r="S5" i="29" s="1"/>
  <c r="S68" i="29"/>
  <c r="R5" i="29" s="1"/>
  <c r="R68" i="29"/>
  <c r="Q5" i="29" s="1"/>
  <c r="Q68" i="29"/>
  <c r="P5" i="29" s="1"/>
  <c r="P68" i="29"/>
  <c r="O68" i="29"/>
  <c r="N68" i="29"/>
  <c r="M5" i="29" s="1"/>
  <c r="M68" i="29"/>
  <c r="L5" i="29" s="1"/>
  <c r="L68" i="29"/>
  <c r="K5" i="29" s="1"/>
  <c r="K68" i="29"/>
  <c r="J68" i="29"/>
  <c r="I5" i="29" s="1"/>
  <c r="I68" i="29"/>
  <c r="H68" i="29"/>
  <c r="G68" i="29"/>
  <c r="F5" i="29" s="1"/>
  <c r="F68" i="29"/>
  <c r="E5" i="29" s="1"/>
  <c r="E68" i="29"/>
  <c r="D5" i="29" s="1"/>
  <c r="D68" i="29"/>
  <c r="C5" i="29" s="1"/>
  <c r="C68" i="29"/>
  <c r="B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AI55" i="29"/>
  <c r="AH55" i="29"/>
  <c r="AI54" i="29"/>
  <c r="AH54" i="29"/>
  <c r="AI53" i="29"/>
  <c r="AH53" i="29"/>
  <c r="Z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G52" i="29" s="1"/>
  <c r="AG3" i="29" s="1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G2" i="29" s="1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Y5" i="29"/>
  <c r="X5" i="29"/>
  <c r="N5" i="29"/>
  <c r="J5" i="29"/>
  <c r="H5" i="29"/>
  <c r="B5" i="29"/>
  <c r="AG4" i="29"/>
  <c r="K4" i="29"/>
  <c r="B4" i="29"/>
  <c r="AF37" i="28"/>
  <c r="AE37" i="28"/>
  <c r="AD37" i="28"/>
  <c r="AC37" i="28"/>
  <c r="AB37" i="28"/>
  <c r="Y95" i="28"/>
  <c r="X95" i="28"/>
  <c r="X37" i="28"/>
  <c r="W95" i="28"/>
  <c r="W37" i="28"/>
  <c r="V37" i="28"/>
  <c r="U37" i="28"/>
  <c r="T37" i="28"/>
  <c r="S37" i="28"/>
  <c r="R37" i="28"/>
  <c r="Q37" i="28"/>
  <c r="P95" i="28"/>
  <c r="P37" i="28"/>
  <c r="E4" i="29"/>
  <c r="E199" i="29" l="1"/>
  <c r="F193" i="29"/>
  <c r="G193" i="29" s="1"/>
  <c r="J75" i="29"/>
  <c r="AB213" i="29" s="1"/>
  <c r="AC82" i="29"/>
  <c r="N82" i="29"/>
  <c r="V82" i="29"/>
  <c r="D199" i="29"/>
  <c r="O82" i="29"/>
  <c r="Q82" i="29"/>
  <c r="H73" i="29"/>
  <c r="AF82" i="29"/>
  <c r="AG6" i="29"/>
  <c r="O75" i="29"/>
  <c r="AG73" i="29"/>
  <c r="I82" i="29"/>
  <c r="Y82" i="29"/>
  <c r="D93" i="29"/>
  <c r="AE82" i="29"/>
  <c r="AD82" i="29"/>
  <c r="AB82" i="29"/>
  <c r="AA82" i="29"/>
  <c r="Z73" i="29"/>
  <c r="Z82" i="29"/>
  <c r="Z75" i="29"/>
  <c r="AR213" i="29" s="1"/>
  <c r="X82" i="29"/>
  <c r="W82" i="29"/>
  <c r="U82" i="29"/>
  <c r="T82" i="29"/>
  <c r="T73" i="29"/>
  <c r="S82" i="29"/>
  <c r="S73" i="29"/>
  <c r="R82" i="29"/>
  <c r="R75" i="29"/>
  <c r="AJ213" i="29" s="1"/>
  <c r="R73" i="29"/>
  <c r="Q73" i="29"/>
  <c r="P82" i="29"/>
  <c r="P73" i="29"/>
  <c r="P75" i="29"/>
  <c r="O73" i="29"/>
  <c r="AI76" i="29"/>
  <c r="N73" i="29"/>
  <c r="N83" i="29" s="1"/>
  <c r="N75" i="29"/>
  <c r="M82" i="29"/>
  <c r="M73" i="29"/>
  <c r="L82" i="29"/>
  <c r="L73" i="29"/>
  <c r="K82" i="29"/>
  <c r="K73" i="29"/>
  <c r="J82" i="29"/>
  <c r="J73" i="29"/>
  <c r="I73" i="29"/>
  <c r="H82" i="29"/>
  <c r="H75" i="29"/>
  <c r="Z213" i="29" s="1"/>
  <c r="G82" i="29"/>
  <c r="G73" i="29"/>
  <c r="G75" i="29"/>
  <c r="G7" i="29" s="1"/>
  <c r="F73" i="29"/>
  <c r="F82" i="29"/>
  <c r="F75" i="29"/>
  <c r="X213" i="29" s="1"/>
  <c r="AI78" i="29"/>
  <c r="E82" i="29"/>
  <c r="AI80" i="29"/>
  <c r="E73" i="29"/>
  <c r="D82" i="29"/>
  <c r="AI38" i="29"/>
  <c r="D73" i="29"/>
  <c r="AI79" i="29"/>
  <c r="AI77" i="29"/>
  <c r="C82" i="29"/>
  <c r="AI68" i="29"/>
  <c r="C73" i="29"/>
  <c r="C75" i="29" s="1"/>
  <c r="C83" i="29" s="1"/>
  <c r="AF5" i="29"/>
  <c r="AH80" i="29"/>
  <c r="H4" i="29"/>
  <c r="F102" i="29"/>
  <c r="F191" i="29" s="1"/>
  <c r="E93" i="29"/>
  <c r="Z83" i="29"/>
  <c r="AF213" i="29"/>
  <c r="N7" i="29"/>
  <c r="AH213" i="29"/>
  <c r="P7" i="29"/>
  <c r="AG213" i="29"/>
  <c r="O7" i="29"/>
  <c r="D210" i="29"/>
  <c r="S210" i="29"/>
  <c r="G5" i="29"/>
  <c r="O5" i="29"/>
  <c r="W5" i="29"/>
  <c r="AE5" i="29"/>
  <c r="I75" i="29"/>
  <c r="Q75" i="29"/>
  <c r="AG75" i="29"/>
  <c r="AG83" i="29" s="1"/>
  <c r="AH38" i="29"/>
  <c r="K75" i="29"/>
  <c r="S75" i="29"/>
  <c r="AH76" i="29"/>
  <c r="B82" i="29"/>
  <c r="P83" i="29"/>
  <c r="AH56" i="29"/>
  <c r="AH68" i="29"/>
  <c r="AH72" i="29"/>
  <c r="D75" i="29"/>
  <c r="D83" i="29" s="1"/>
  <c r="L75" i="29"/>
  <c r="T75" i="29"/>
  <c r="AH77" i="29"/>
  <c r="AI56" i="29"/>
  <c r="AI72" i="29"/>
  <c r="E75" i="29"/>
  <c r="M75" i="29"/>
  <c r="AH78" i="29"/>
  <c r="J7" i="29"/>
  <c r="Z7" i="29"/>
  <c r="AH79" i="29"/>
  <c r="D191" i="29"/>
  <c r="E191" i="29"/>
  <c r="H101" i="29"/>
  <c r="H193" i="29"/>
  <c r="D234" i="29"/>
  <c r="F198" i="29"/>
  <c r="O83" i="29" l="1"/>
  <c r="Y213" i="29"/>
  <c r="R83" i="29"/>
  <c r="R7" i="29"/>
  <c r="Q83" i="29"/>
  <c r="M83" i="29"/>
  <c r="J83" i="29"/>
  <c r="I83" i="29"/>
  <c r="H83" i="29"/>
  <c r="H7" i="29"/>
  <c r="G83" i="29"/>
  <c r="E83" i="29"/>
  <c r="F7" i="29"/>
  <c r="F83" i="29"/>
  <c r="C7" i="29"/>
  <c r="U213" i="29"/>
  <c r="I193" i="29"/>
  <c r="I101" i="29"/>
  <c r="AK213" i="29"/>
  <c r="S7" i="29"/>
  <c r="B208" i="29"/>
  <c r="AC213" i="29"/>
  <c r="K7" i="29"/>
  <c r="C208" i="29"/>
  <c r="E234" i="29"/>
  <c r="G198" i="29"/>
  <c r="AL213" i="29"/>
  <c r="T7" i="29"/>
  <c r="AD213" i="29"/>
  <c r="L7" i="29"/>
  <c r="S83" i="29"/>
  <c r="T83" i="29"/>
  <c r="F199" i="29"/>
  <c r="AE213" i="29"/>
  <c r="M7" i="29"/>
  <c r="V213" i="29"/>
  <c r="D7" i="29"/>
  <c r="AI82" i="29"/>
  <c r="AH82" i="29"/>
  <c r="AI213" i="29"/>
  <c r="Q7" i="29"/>
  <c r="K83" i="29"/>
  <c r="L83" i="29"/>
  <c r="G102" i="29"/>
  <c r="F93" i="29"/>
  <c r="W213" i="29"/>
  <c r="E7" i="29"/>
  <c r="AA213" i="29"/>
  <c r="I7" i="29"/>
  <c r="K6" i="29" l="1"/>
  <c r="F234" i="29"/>
  <c r="H198" i="29"/>
  <c r="G199" i="29"/>
  <c r="H102" i="29"/>
  <c r="G93" i="29"/>
  <c r="G191" i="29"/>
  <c r="J101" i="29"/>
  <c r="J193" i="29"/>
  <c r="K101" i="29" l="1"/>
  <c r="G234" i="29"/>
  <c r="I198" i="29"/>
  <c r="H199" i="29"/>
  <c r="I102" i="29"/>
  <c r="H93" i="29"/>
  <c r="H191" i="29"/>
  <c r="K193" i="29"/>
  <c r="H234" i="29" l="1"/>
  <c r="J198" i="29"/>
  <c r="I199" i="29"/>
  <c r="J102" i="29"/>
  <c r="I93" i="29"/>
  <c r="I191" i="29"/>
  <c r="L193" i="29"/>
  <c r="L101" i="29"/>
  <c r="K102" i="29" l="1"/>
  <c r="J93" i="29"/>
  <c r="J191" i="29"/>
  <c r="M101" i="29"/>
  <c r="K198" i="29"/>
  <c r="I234" i="29"/>
  <c r="J199" i="29"/>
  <c r="M193" i="29"/>
  <c r="L198" i="29" l="1"/>
  <c r="J234" i="29"/>
  <c r="K199" i="29"/>
  <c r="N101" i="29"/>
  <c r="N193" i="29"/>
  <c r="K93" i="29"/>
  <c r="L102" i="29"/>
  <c r="K191" i="29"/>
  <c r="O101" i="29" l="1"/>
  <c r="O193" i="29"/>
  <c r="L93" i="29"/>
  <c r="M102" i="29"/>
  <c r="L191" i="29"/>
  <c r="K234" i="29"/>
  <c r="M198" i="29"/>
  <c r="L199" i="29"/>
  <c r="N102" i="29" l="1"/>
  <c r="M93" i="29"/>
  <c r="M191" i="29"/>
  <c r="P193" i="29"/>
  <c r="P101" i="29"/>
  <c r="L234" i="29"/>
  <c r="N198" i="29"/>
  <c r="M199" i="29"/>
  <c r="Q101" i="29" l="1"/>
  <c r="Q193" i="29"/>
  <c r="M234" i="29"/>
  <c r="O198" i="29"/>
  <c r="N199" i="29"/>
  <c r="O102" i="29"/>
  <c r="N93" i="29"/>
  <c r="N191" i="29"/>
  <c r="R193" i="29" l="1"/>
  <c r="P102" i="29"/>
  <c r="O93" i="29"/>
  <c r="O191" i="29"/>
  <c r="R101" i="29"/>
  <c r="N234" i="29"/>
  <c r="P198" i="29"/>
  <c r="O199" i="29"/>
  <c r="S101" i="29" l="1"/>
  <c r="Q102" i="29"/>
  <c r="P93" i="29"/>
  <c r="P191" i="29"/>
  <c r="S193" i="29"/>
  <c r="O234" i="29"/>
  <c r="Q198" i="29"/>
  <c r="P199" i="29"/>
  <c r="R102" i="29" l="1"/>
  <c r="Q93" i="29"/>
  <c r="Q191" i="29"/>
  <c r="T193" i="29"/>
  <c r="T101" i="29"/>
  <c r="P234" i="29"/>
  <c r="R198" i="29"/>
  <c r="Q199" i="29"/>
  <c r="U101" i="29" l="1"/>
  <c r="U193" i="29"/>
  <c r="S198" i="29"/>
  <c r="Q234" i="29"/>
  <c r="R199" i="29"/>
  <c r="S102" i="29"/>
  <c r="R93" i="29"/>
  <c r="R191" i="29"/>
  <c r="S93" i="29" l="1"/>
  <c r="T102" i="29"/>
  <c r="S191" i="29"/>
  <c r="T198" i="29"/>
  <c r="R234" i="29"/>
  <c r="S199" i="29"/>
  <c r="V193" i="29"/>
  <c r="V101" i="29"/>
  <c r="S234" i="29" l="1"/>
  <c r="U198" i="29"/>
  <c r="T199" i="29"/>
  <c r="W101" i="29"/>
  <c r="T93" i="29"/>
  <c r="U102" i="29"/>
  <c r="T191" i="29"/>
  <c r="W193" i="29"/>
  <c r="X101" i="29" l="1"/>
  <c r="T234" i="29"/>
  <c r="V198" i="29"/>
  <c r="U199" i="29"/>
  <c r="U51" i="29" s="1"/>
  <c r="U52" i="29" s="1"/>
  <c r="V102" i="29"/>
  <c r="U93" i="29"/>
  <c r="U191" i="29"/>
  <c r="X193" i="29"/>
  <c r="U73" i="29" l="1"/>
  <c r="U75" i="29"/>
  <c r="Y101" i="29"/>
  <c r="W102" i="29"/>
  <c r="V93" i="29"/>
  <c r="V191" i="29"/>
  <c r="U234" i="29"/>
  <c r="W198" i="29"/>
  <c r="V199" i="29"/>
  <c r="V51" i="29" s="1"/>
  <c r="V52" i="29" s="1"/>
  <c r="Y193" i="29"/>
  <c r="Z101" i="29" l="1"/>
  <c r="Z193" i="29"/>
  <c r="X102" i="29"/>
  <c r="W93" i="29"/>
  <c r="W191" i="29"/>
  <c r="AM213" i="29"/>
  <c r="U7" i="29"/>
  <c r="V73" i="29"/>
  <c r="V75" i="29"/>
  <c r="V234" i="29"/>
  <c r="X198" i="29"/>
  <c r="W199" i="29"/>
  <c r="W51" i="29" s="1"/>
  <c r="W52" i="29" s="1"/>
  <c r="U83" i="29"/>
  <c r="W73" i="29" l="1"/>
  <c r="W75" i="29"/>
  <c r="W234" i="29"/>
  <c r="Y198" i="29"/>
  <c r="X199" i="29"/>
  <c r="X52" i="29" s="1"/>
  <c r="AA193" i="29"/>
  <c r="Y102" i="29"/>
  <c r="X93" i="29"/>
  <c r="X191" i="29"/>
  <c r="AN213" i="29"/>
  <c r="V7" i="29"/>
  <c r="V83" i="29"/>
  <c r="AA101" i="29"/>
  <c r="AB101" i="29" l="1"/>
  <c r="AB193" i="29"/>
  <c r="X73" i="29"/>
  <c r="X75" i="29"/>
  <c r="X234" i="29"/>
  <c r="Z198" i="29"/>
  <c r="Y199" i="29"/>
  <c r="Y52" i="29" s="1"/>
  <c r="Z102" i="29"/>
  <c r="Y93" i="29"/>
  <c r="Y191" i="29"/>
  <c r="AO213" i="29"/>
  <c r="W7" i="29"/>
  <c r="W83" i="29"/>
  <c r="X83" i="29" l="1"/>
  <c r="AA198" i="29"/>
  <c r="Y234" i="29"/>
  <c r="Z199" i="29"/>
  <c r="AC193" i="29"/>
  <c r="AC101" i="29"/>
  <c r="AP213" i="29"/>
  <c r="X7" i="29"/>
  <c r="AA102" i="29"/>
  <c r="Z93" i="29"/>
  <c r="Z191" i="29"/>
  <c r="Y75" i="29"/>
  <c r="Y73" i="29"/>
  <c r="Y83" i="29" s="1"/>
  <c r="AD193" i="29" l="1"/>
  <c r="AD101" i="29"/>
  <c r="AQ213" i="29"/>
  <c r="Y7" i="29"/>
  <c r="AA93" i="29"/>
  <c r="AB102" i="29"/>
  <c r="AA191" i="29"/>
  <c r="AB198" i="29"/>
  <c r="Z234" i="29"/>
  <c r="AA199" i="29"/>
  <c r="AA51" i="29" s="1"/>
  <c r="AA52" i="29" s="1"/>
  <c r="AC102" i="29" l="1"/>
  <c r="AB93" i="29"/>
  <c r="AB191" i="29"/>
  <c r="AA73" i="29"/>
  <c r="AA75" i="29"/>
  <c r="AA234" i="29"/>
  <c r="AC198" i="29"/>
  <c r="AB199" i="29"/>
  <c r="AB51" i="29" s="1"/>
  <c r="AB52" i="29" s="1"/>
  <c r="AE101" i="29"/>
  <c r="AE193" i="29"/>
  <c r="AB75" i="29" l="1"/>
  <c r="AB73" i="29"/>
  <c r="AS213" i="29"/>
  <c r="AA7" i="29"/>
  <c r="AB234" i="29"/>
  <c r="AD198" i="29"/>
  <c r="AC199" i="29"/>
  <c r="AC51" i="29" s="1"/>
  <c r="AC52" i="29" s="1"/>
  <c r="AA83" i="29"/>
  <c r="AF193" i="29"/>
  <c r="AF101" i="29"/>
  <c r="AD102" i="29"/>
  <c r="AC93" i="29"/>
  <c r="AC191" i="29"/>
  <c r="AB83" i="29" l="1"/>
  <c r="AC73" i="29"/>
  <c r="AC75" i="29"/>
  <c r="AC234" i="29"/>
  <c r="AE198" i="29"/>
  <c r="AD199" i="29"/>
  <c r="AD51" i="29" s="1"/>
  <c r="AD52" i="29" s="1"/>
  <c r="AE102" i="29"/>
  <c r="AD93" i="29"/>
  <c r="AD191" i="29"/>
  <c r="B101" i="29"/>
  <c r="B193" i="29"/>
  <c r="AT213" i="29"/>
  <c r="AB7" i="29"/>
  <c r="AD73" i="29" l="1"/>
  <c r="AD75" i="29"/>
  <c r="AD234" i="29"/>
  <c r="AF198" i="29"/>
  <c r="AE199" i="29"/>
  <c r="AE51" i="29" s="1"/>
  <c r="AE52" i="29" s="1"/>
  <c r="AU213" i="29"/>
  <c r="AC7" i="29"/>
  <c r="AF102" i="29"/>
  <c r="AE93" i="29"/>
  <c r="AE191" i="29"/>
  <c r="AC83" i="29"/>
  <c r="AD83" i="29" l="1"/>
  <c r="AE75" i="29"/>
  <c r="AE73" i="29"/>
  <c r="B198" i="29"/>
  <c r="AE234" i="29"/>
  <c r="AF199" i="29"/>
  <c r="AF51" i="29" s="1"/>
  <c r="AF52" i="29" s="1"/>
  <c r="B102" i="29"/>
  <c r="AF93" i="29"/>
  <c r="AF191" i="29"/>
  <c r="AV213" i="29"/>
  <c r="AD7" i="29"/>
  <c r="AE83" i="29" l="1"/>
  <c r="AI93" i="29"/>
  <c r="AH93" i="29"/>
  <c r="AF234" i="29"/>
  <c r="B199" i="29"/>
  <c r="B51" i="29" s="1"/>
  <c r="B93" i="29"/>
  <c r="B191" i="29"/>
  <c r="AF73" i="29"/>
  <c r="AF75" i="29"/>
  <c r="AW213" i="29"/>
  <c r="AE7" i="29"/>
  <c r="AX213" i="29" l="1"/>
  <c r="AF7" i="29"/>
  <c r="AH51" i="29"/>
  <c r="B52" i="29"/>
  <c r="AI51" i="29"/>
  <c r="AF83" i="29"/>
  <c r="AI52" i="29" l="1"/>
  <c r="AH52" i="29"/>
  <c r="B75" i="29"/>
  <c r="B73" i="29"/>
  <c r="T213" i="29" l="1"/>
  <c r="B7" i="29"/>
  <c r="A7" i="29" s="1"/>
  <c r="AI75" i="29"/>
  <c r="AH75" i="29"/>
  <c r="AI73" i="29"/>
  <c r="AH73" i="29"/>
  <c r="B83" i="29"/>
  <c r="AI83" i="29" l="1"/>
  <c r="AH83" i="29"/>
  <c r="AH99" i="28" l="1"/>
  <c r="AI99" i="28" s="1"/>
  <c r="C37" i="28"/>
  <c r="D37" i="28"/>
  <c r="B95" i="28"/>
  <c r="B37" i="28"/>
  <c r="B51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D234" i="28"/>
  <c r="C234" i="28"/>
  <c r="B234" i="28"/>
  <c r="S209" i="28"/>
  <c r="AG199" i="28"/>
  <c r="C199" i="28"/>
  <c r="F198" i="28"/>
  <c r="G198" i="28" s="1"/>
  <c r="E198" i="28"/>
  <c r="D198" i="28"/>
  <c r="D197" i="28"/>
  <c r="E197" i="28" s="1"/>
  <c r="F197" i="28" s="1"/>
  <c r="G197" i="28" s="1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D196" i="28"/>
  <c r="E196" i="28" s="1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Y195" i="28"/>
  <c r="Z195" i="28" s="1"/>
  <c r="AA195" i="28" s="1"/>
  <c r="AB195" i="28" s="1"/>
  <c r="AC195" i="28" s="1"/>
  <c r="AD195" i="28" s="1"/>
  <c r="AE195" i="28" s="1"/>
  <c r="AF195" i="28" s="1"/>
  <c r="B195" i="28" s="1"/>
  <c r="M195" i="28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E195" i="28"/>
  <c r="F195" i="28" s="1"/>
  <c r="G195" i="28" s="1"/>
  <c r="H195" i="28" s="1"/>
  <c r="I195" i="28" s="1"/>
  <c r="J195" i="28" s="1"/>
  <c r="K195" i="28" s="1"/>
  <c r="L195" i="28" s="1"/>
  <c r="D195" i="28"/>
  <c r="F194" i="28"/>
  <c r="G194" i="28" s="1"/>
  <c r="H194" i="28" s="1"/>
  <c r="I194" i="28" s="1"/>
  <c r="J194" i="28" s="1"/>
  <c r="K194" i="28" s="1"/>
  <c r="L194" i="28" s="1"/>
  <c r="M194" i="28" s="1"/>
  <c r="N194" i="28" s="1"/>
  <c r="O194" i="28" s="1"/>
  <c r="P194" i="28" s="1"/>
  <c r="Q194" i="28" s="1"/>
  <c r="R194" i="28" s="1"/>
  <c r="S194" i="28" s="1"/>
  <c r="T194" i="28" s="1"/>
  <c r="U194" i="28" s="1"/>
  <c r="V194" i="28" s="1"/>
  <c r="W194" i="28" s="1"/>
  <c r="X194" i="28" s="1"/>
  <c r="Y194" i="28" s="1"/>
  <c r="Z194" i="28" s="1"/>
  <c r="AA194" i="28" s="1"/>
  <c r="AB194" i="28" s="1"/>
  <c r="AC194" i="28" s="1"/>
  <c r="AD194" i="28" s="1"/>
  <c r="AE194" i="28" s="1"/>
  <c r="AF194" i="28" s="1"/>
  <c r="B194" i="28" s="1"/>
  <c r="E194" i="28"/>
  <c r="D194" i="28"/>
  <c r="D193" i="28"/>
  <c r="D199" i="28" s="1"/>
  <c r="AG191" i="28"/>
  <c r="C191" i="28"/>
  <c r="D190" i="28"/>
  <c r="E190" i="28" s="1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H189" i="28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G189" i="28"/>
  <c r="E189" i="28"/>
  <c r="F189" i="28" s="1"/>
  <c r="D189" i="28"/>
  <c r="E188" i="28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D188" i="28"/>
  <c r="D187" i="28"/>
  <c r="E187" i="28" s="1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W186" i="28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H186" i="28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G186" i="28"/>
  <c r="D186" i="28"/>
  <c r="E186" i="28" s="1"/>
  <c r="F186" i="28" s="1"/>
  <c r="U185" i="28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F185" i="28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E185" i="28"/>
  <c r="D185" i="28"/>
  <c r="T184" i="28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E184" i="28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D184" i="28"/>
  <c r="M183" i="28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F183" i="28"/>
  <c r="G183" i="28" s="1"/>
  <c r="H183" i="28" s="1"/>
  <c r="I183" i="28" s="1"/>
  <c r="J183" i="28" s="1"/>
  <c r="K183" i="28" s="1"/>
  <c r="L183" i="28" s="1"/>
  <c r="E183" i="28"/>
  <c r="D183" i="28"/>
  <c r="D182" i="28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U181" i="28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I181" i="28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G181" i="28"/>
  <c r="H181" i="28" s="1"/>
  <c r="F181" i="28"/>
  <c r="E181" i="28"/>
  <c r="D181" i="28"/>
  <c r="D180" i="28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L179" i="28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J179" i="28"/>
  <c r="K179" i="28" s="1"/>
  <c r="D179" i="28"/>
  <c r="E179" i="28" s="1"/>
  <c r="F179" i="28" s="1"/>
  <c r="G179" i="28" s="1"/>
  <c r="H179" i="28" s="1"/>
  <c r="I179" i="28" s="1"/>
  <c r="Q178" i="28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B178" i="28" s="1"/>
  <c r="D178" i="28"/>
  <c r="E178" i="28" s="1"/>
  <c r="F178" i="28" s="1"/>
  <c r="G178" i="28" s="1"/>
  <c r="H178" i="28" s="1"/>
  <c r="I178" i="28" s="1"/>
  <c r="J178" i="28" s="1"/>
  <c r="K178" i="28" s="1"/>
  <c r="L178" i="28" s="1"/>
  <c r="M178" i="28" s="1"/>
  <c r="N178" i="28" s="1"/>
  <c r="O178" i="28" s="1"/>
  <c r="P178" i="28" s="1"/>
  <c r="G176" i="28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F176" i="28"/>
  <c r="D176" i="28"/>
  <c r="E176" i="28" s="1"/>
  <c r="D175" i="28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AF174" i="28"/>
  <c r="B174" i="28" s="1"/>
  <c r="P174" i="28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D174" i="28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O173" i="28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D173" i="28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D172" i="28"/>
  <c r="E172" i="28" s="1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E171" i="28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D171" i="28"/>
  <c r="D170" i="28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D169" i="28"/>
  <c r="E169" i="28" s="1"/>
  <c r="F169" i="28" s="1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B169" i="28" s="1"/>
  <c r="F167" i="28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B167" i="28" s="1"/>
  <c r="E167" i="28"/>
  <c r="D167" i="28"/>
  <c r="L166" i="28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F166" i="28"/>
  <c r="G166" i="28" s="1"/>
  <c r="H166" i="28" s="1"/>
  <c r="I166" i="28" s="1"/>
  <c r="J166" i="28" s="1"/>
  <c r="K166" i="28" s="1"/>
  <c r="D166" i="28"/>
  <c r="E166" i="28" s="1"/>
  <c r="Z165" i="28"/>
  <c r="AA165" i="28" s="1"/>
  <c r="AB165" i="28" s="1"/>
  <c r="AC165" i="28" s="1"/>
  <c r="AD165" i="28" s="1"/>
  <c r="AE165" i="28" s="1"/>
  <c r="AF165" i="28" s="1"/>
  <c r="B165" i="28" s="1"/>
  <c r="J165" i="28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D165" i="28"/>
  <c r="E165" i="28" s="1"/>
  <c r="F165" i="28" s="1"/>
  <c r="G165" i="28" s="1"/>
  <c r="H165" i="28" s="1"/>
  <c r="I165" i="28" s="1"/>
  <c r="H164" i="28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E164" i="28"/>
  <c r="F164" i="28" s="1"/>
  <c r="G164" i="28" s="1"/>
  <c r="D164" i="28"/>
  <c r="N163" i="28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H163" i="28"/>
  <c r="I163" i="28" s="1"/>
  <c r="J163" i="28" s="1"/>
  <c r="K163" i="28" s="1"/>
  <c r="L163" i="28" s="1"/>
  <c r="M163" i="28" s="1"/>
  <c r="F163" i="28"/>
  <c r="G163" i="28" s="1"/>
  <c r="E163" i="28"/>
  <c r="D163" i="28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D161" i="28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D160" i="28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P159" i="28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F159" i="28"/>
  <c r="G159" i="28" s="1"/>
  <c r="H159" i="28" s="1"/>
  <c r="I159" i="28" s="1"/>
  <c r="J159" i="28" s="1"/>
  <c r="K159" i="28" s="1"/>
  <c r="L159" i="28" s="1"/>
  <c r="M159" i="28" s="1"/>
  <c r="N159" i="28" s="1"/>
  <c r="O159" i="28" s="1"/>
  <c r="E159" i="28"/>
  <c r="D159" i="28"/>
  <c r="AD158" i="28"/>
  <c r="AE158" i="28" s="1"/>
  <c r="AF158" i="28" s="1"/>
  <c r="B158" i="28" s="1"/>
  <c r="G158" i="28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F158" i="28"/>
  <c r="D158" i="28"/>
  <c r="E158" i="28" s="1"/>
  <c r="T157" i="28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D157" i="28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G156" i="28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F156" i="28"/>
  <c r="D156" i="28"/>
  <c r="E156" i="28" s="1"/>
  <c r="E155" i="28"/>
  <c r="F155" i="28" s="1"/>
  <c r="G155" i="28" s="1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B155" i="28" s="1"/>
  <c r="D155" i="28"/>
  <c r="D153" i="28"/>
  <c r="E153" i="28" s="1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P152" i="28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L152" i="28"/>
  <c r="M152" i="28" s="1"/>
  <c r="N152" i="28" s="1"/>
  <c r="O152" i="28" s="1"/>
  <c r="H152" i="28"/>
  <c r="I152" i="28" s="1"/>
  <c r="J152" i="28" s="1"/>
  <c r="K152" i="28" s="1"/>
  <c r="D152" i="28"/>
  <c r="E152" i="28" s="1"/>
  <c r="F152" i="28" s="1"/>
  <c r="G152" i="28" s="1"/>
  <c r="I151" i="28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F151" i="28"/>
  <c r="G151" i="28" s="1"/>
  <c r="H151" i="28" s="1"/>
  <c r="E151" i="28"/>
  <c r="D151" i="28"/>
  <c r="O150" i="28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B150" i="28" s="1"/>
  <c r="D150" i="28"/>
  <c r="E150" i="28" s="1"/>
  <c r="F150" i="28" s="1"/>
  <c r="G150" i="28" s="1"/>
  <c r="H150" i="28" s="1"/>
  <c r="I150" i="28" s="1"/>
  <c r="J150" i="28" s="1"/>
  <c r="K150" i="28" s="1"/>
  <c r="L150" i="28" s="1"/>
  <c r="M150" i="28" s="1"/>
  <c r="N150" i="28" s="1"/>
  <c r="J148" i="28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F148" i="28"/>
  <c r="G148" i="28" s="1"/>
  <c r="H148" i="28" s="1"/>
  <c r="I148" i="28" s="1"/>
  <c r="E148" i="28"/>
  <c r="D148" i="28"/>
  <c r="T147" i="28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B147" i="28" s="1"/>
  <c r="L147" i="28"/>
  <c r="M147" i="28" s="1"/>
  <c r="N147" i="28" s="1"/>
  <c r="O147" i="28" s="1"/>
  <c r="P147" i="28" s="1"/>
  <c r="Q147" i="28" s="1"/>
  <c r="R147" i="28" s="1"/>
  <c r="S147" i="28" s="1"/>
  <c r="K147" i="28"/>
  <c r="H147" i="28"/>
  <c r="I147" i="28" s="1"/>
  <c r="J147" i="28" s="1"/>
  <c r="D147" i="28"/>
  <c r="E147" i="28" s="1"/>
  <c r="F147" i="28" s="1"/>
  <c r="G147" i="28" s="1"/>
  <c r="I145" i="28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F145" i="28"/>
  <c r="G145" i="28" s="1"/>
  <c r="H145" i="28" s="1"/>
  <c r="E145" i="28"/>
  <c r="D145" i="28"/>
  <c r="D144" i="28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V143" i="28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B143" i="28" s="1"/>
  <c r="J143" i="28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F143" i="28"/>
  <c r="G143" i="28" s="1"/>
  <c r="H143" i="28" s="1"/>
  <c r="I143" i="28" s="1"/>
  <c r="E143" i="28"/>
  <c r="D143" i="28"/>
  <c r="L142" i="28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K142" i="28"/>
  <c r="H142" i="28"/>
  <c r="I142" i="28" s="1"/>
  <c r="J142" i="28" s="1"/>
  <c r="D142" i="28"/>
  <c r="E142" i="28" s="1"/>
  <c r="F142" i="28" s="1"/>
  <c r="G142" i="28" s="1"/>
  <c r="I141" i="28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F141" i="28"/>
  <c r="G141" i="28" s="1"/>
  <c r="H141" i="28" s="1"/>
  <c r="E141" i="28"/>
  <c r="D141" i="28"/>
  <c r="P140" i="28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G140" i="28"/>
  <c r="H140" i="28" s="1"/>
  <c r="I140" i="28" s="1"/>
  <c r="J140" i="28" s="1"/>
  <c r="K140" i="28" s="1"/>
  <c r="L140" i="28" s="1"/>
  <c r="M140" i="28" s="1"/>
  <c r="N140" i="28" s="1"/>
  <c r="O140" i="28" s="1"/>
  <c r="D140" i="28"/>
  <c r="E140" i="28" s="1"/>
  <c r="F140" i="28" s="1"/>
  <c r="F139" i="28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B139" i="28" s="1"/>
  <c r="E139" i="28"/>
  <c r="D139" i="28"/>
  <c r="G137" i="28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D137" i="28"/>
  <c r="E137" i="28" s="1"/>
  <c r="F137" i="28" s="1"/>
  <c r="Z136" i="28"/>
  <c r="AA136" i="28" s="1"/>
  <c r="AB136" i="28" s="1"/>
  <c r="AC136" i="28" s="1"/>
  <c r="AD136" i="28" s="1"/>
  <c r="AE136" i="28" s="1"/>
  <c r="AF136" i="28" s="1"/>
  <c r="B136" i="28" s="1"/>
  <c r="E136" i="28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D136" i="28"/>
  <c r="D135" i="28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D134" i="28"/>
  <c r="E134" i="28" s="1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K133" i="28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H133" i="28"/>
  <c r="I133" i="28" s="1"/>
  <c r="J133" i="28" s="1"/>
  <c r="D133" i="28"/>
  <c r="E133" i="28" s="1"/>
  <c r="F133" i="28" s="1"/>
  <c r="G133" i="28" s="1"/>
  <c r="D132" i="28"/>
  <c r="E132" i="28" s="1"/>
  <c r="F132" i="28" s="1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D131" i="28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F130" i="28"/>
  <c r="G130" i="28" s="1"/>
  <c r="H130" i="28" s="1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B130" i="28" s="1"/>
  <c r="E130" i="28"/>
  <c r="D130" i="28"/>
  <c r="AB128" i="28"/>
  <c r="AC128" i="28" s="1"/>
  <c r="AD128" i="28" s="1"/>
  <c r="AE128" i="28" s="1"/>
  <c r="AF128" i="28" s="1"/>
  <c r="B128" i="28" s="1"/>
  <c r="G128" i="28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F128" i="28"/>
  <c r="D128" i="28"/>
  <c r="E128" i="28" s="1"/>
  <c r="M127" i="28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D127" i="28"/>
  <c r="E127" i="28" s="1"/>
  <c r="F127" i="28" s="1"/>
  <c r="G127" i="28" s="1"/>
  <c r="H127" i="28" s="1"/>
  <c r="I127" i="28" s="1"/>
  <c r="J127" i="28" s="1"/>
  <c r="K127" i="28" s="1"/>
  <c r="L127" i="28" s="1"/>
  <c r="X126" i="28"/>
  <c r="Y126" i="28" s="1"/>
  <c r="Z126" i="28" s="1"/>
  <c r="AA126" i="28" s="1"/>
  <c r="AB126" i="28" s="1"/>
  <c r="AC126" i="28" s="1"/>
  <c r="AD126" i="28" s="1"/>
  <c r="AE126" i="28" s="1"/>
  <c r="AF126" i="28" s="1"/>
  <c r="B126" i="28" s="1"/>
  <c r="D126" i="28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F125" i="28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E125" i="28"/>
  <c r="D125" i="28"/>
  <c r="AD124" i="28"/>
  <c r="AE124" i="28" s="1"/>
  <c r="AF124" i="28" s="1"/>
  <c r="B124" i="28" s="1"/>
  <c r="AB124" i="28"/>
  <c r="AC124" i="28" s="1"/>
  <c r="G124" i="28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F124" i="28"/>
  <c r="D124" i="28"/>
  <c r="E124" i="28" s="1"/>
  <c r="D123" i="28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Z122" i="28"/>
  <c r="AA122" i="28" s="1"/>
  <c r="AB122" i="28" s="1"/>
  <c r="AC122" i="28" s="1"/>
  <c r="AD122" i="28" s="1"/>
  <c r="AE122" i="28" s="1"/>
  <c r="AF122" i="28" s="1"/>
  <c r="B122" i="28" s="1"/>
  <c r="X122" i="28"/>
  <c r="Y122" i="28" s="1"/>
  <c r="D122" i="28"/>
  <c r="E122" i="28" s="1"/>
  <c r="F122" i="28" s="1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N121" i="28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F121" i="28"/>
  <c r="G121" i="28" s="1"/>
  <c r="H121" i="28" s="1"/>
  <c r="I121" i="28" s="1"/>
  <c r="J121" i="28" s="1"/>
  <c r="K121" i="28" s="1"/>
  <c r="L121" i="28" s="1"/>
  <c r="M121" i="28" s="1"/>
  <c r="E121" i="28"/>
  <c r="D121" i="28"/>
  <c r="D120" i="28"/>
  <c r="E120" i="28" s="1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D118" i="28"/>
  <c r="E118" i="28" s="1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D117" i="28"/>
  <c r="E117" i="28" s="1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E116" i="28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D116" i="28"/>
  <c r="D115" i="28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D114" i="28"/>
  <c r="E114" i="28" s="1"/>
  <c r="F114" i="28" s="1"/>
  <c r="G114" i="28" s="1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O113" i="28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K113" i="28"/>
  <c r="L113" i="28" s="1"/>
  <c r="M113" i="28" s="1"/>
  <c r="N113" i="28" s="1"/>
  <c r="F113" i="28"/>
  <c r="G113" i="28" s="1"/>
  <c r="H113" i="28" s="1"/>
  <c r="I113" i="28" s="1"/>
  <c r="E113" i="28"/>
  <c r="D113" i="28"/>
  <c r="D112" i="28"/>
  <c r="E112" i="28" s="1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J111" i="28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B111" i="28" s="1"/>
  <c r="D111" i="28"/>
  <c r="E111" i="28" s="1"/>
  <c r="F111" i="28" s="1"/>
  <c r="G111" i="28" s="1"/>
  <c r="H111" i="28" s="1"/>
  <c r="I111" i="28" s="1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F108" i="28"/>
  <c r="G108" i="28" s="1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B108" i="28" s="1"/>
  <c r="D108" i="28"/>
  <c r="E108" i="28" s="1"/>
  <c r="E106" i="28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D106" i="28"/>
  <c r="D105" i="28"/>
  <c r="E105" i="28" s="1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H104" i="28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E104" i="28"/>
  <c r="F104" i="28" s="1"/>
  <c r="G104" i="28" s="1"/>
  <c r="D104" i="28"/>
  <c r="D103" i="28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B103" i="28" s="1"/>
  <c r="D102" i="28"/>
  <c r="D93" i="28" s="1"/>
  <c r="D101" i="28"/>
  <c r="AH98" i="28"/>
  <c r="AI98" i="28" s="1"/>
  <c r="AH97" i="28"/>
  <c r="AI97" i="28" s="1"/>
  <c r="AH96" i="28"/>
  <c r="AI96" i="28" s="1"/>
  <c r="AH95" i="28"/>
  <c r="AI95" i="28" s="1"/>
  <c r="AH94" i="28"/>
  <c r="AI94" i="28" s="1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AI81" i="28"/>
  <c r="AH81" i="28"/>
  <c r="AF80" i="28"/>
  <c r="AE80" i="28"/>
  <c r="AD80" i="28"/>
  <c r="AC80" i="28"/>
  <c r="AB80" i="28"/>
  <c r="AA80" i="28"/>
  <c r="Z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B80" i="28"/>
  <c r="AF79" i="28"/>
  <c r="AE79" i="28"/>
  <c r="AD79" i="28"/>
  <c r="AC79" i="28"/>
  <c r="AB79" i="28"/>
  <c r="AA79" i="28"/>
  <c r="Z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B79" i="28"/>
  <c r="AF78" i="28"/>
  <c r="AE78" i="28"/>
  <c r="AD78" i="28"/>
  <c r="AC78" i="28"/>
  <c r="AB78" i="28"/>
  <c r="AA78" i="28"/>
  <c r="Z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AF77" i="28"/>
  <c r="AE77" i="28"/>
  <c r="AD77" i="28"/>
  <c r="AC77" i="28"/>
  <c r="AB77" i="28"/>
  <c r="AA77" i="28"/>
  <c r="Z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I82" i="28" s="1"/>
  <c r="H77" i="28"/>
  <c r="G77" i="28"/>
  <c r="F77" i="28"/>
  <c r="E77" i="28"/>
  <c r="D77" i="28"/>
  <c r="C77" i="28"/>
  <c r="B77" i="28"/>
  <c r="AF76" i="28"/>
  <c r="AE76" i="28"/>
  <c r="AD76" i="28"/>
  <c r="AC76" i="28"/>
  <c r="AB76" i="28"/>
  <c r="AA76" i="28"/>
  <c r="Z76" i="28"/>
  <c r="X76" i="28"/>
  <c r="W76" i="28"/>
  <c r="V76" i="28"/>
  <c r="U76" i="28"/>
  <c r="T76" i="28"/>
  <c r="S76" i="28"/>
  <c r="R76" i="28"/>
  <c r="R82" i="28" s="1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AI74" i="28"/>
  <c r="AH74" i="28"/>
  <c r="AG72" i="28"/>
  <c r="AF72" i="28"/>
  <c r="AE72" i="28"/>
  <c r="AD72" i="28"/>
  <c r="AC72" i="28"/>
  <c r="AB72" i="28"/>
  <c r="AA72" i="28"/>
  <c r="Z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AI71" i="28"/>
  <c r="AH71" i="28"/>
  <c r="AI70" i="28"/>
  <c r="AH70" i="28"/>
  <c r="AI69" i="28"/>
  <c r="AH69" i="28"/>
  <c r="AG68" i="28"/>
  <c r="AF68" i="28"/>
  <c r="AE5" i="28" s="1"/>
  <c r="AE68" i="28"/>
  <c r="AD5" i="28" s="1"/>
  <c r="AD68" i="28"/>
  <c r="AC68" i="28"/>
  <c r="AB5" i="28" s="1"/>
  <c r="AB68" i="28"/>
  <c r="AA68" i="28"/>
  <c r="Z5" i="28" s="1"/>
  <c r="Z68" i="28"/>
  <c r="X68" i="28"/>
  <c r="W5" i="28" s="1"/>
  <c r="W68" i="28"/>
  <c r="V5" i="28" s="1"/>
  <c r="V68" i="28"/>
  <c r="U68" i="28"/>
  <c r="T5" i="28" s="1"/>
  <c r="T68" i="28"/>
  <c r="S5" i="28" s="1"/>
  <c r="S68" i="28"/>
  <c r="R5" i="28" s="1"/>
  <c r="R68" i="28"/>
  <c r="Q68" i="28"/>
  <c r="P68" i="28"/>
  <c r="O5" i="28" s="1"/>
  <c r="O68" i="28"/>
  <c r="N5" i="28" s="1"/>
  <c r="N68" i="28"/>
  <c r="M68" i="28"/>
  <c r="L68" i="28"/>
  <c r="K68" i="28"/>
  <c r="J68" i="28"/>
  <c r="I68" i="28"/>
  <c r="H5" i="28" s="1"/>
  <c r="H68" i="28"/>
  <c r="G5" i="28" s="1"/>
  <c r="G68" i="28"/>
  <c r="F5" i="28" s="1"/>
  <c r="F68" i="28"/>
  <c r="E68" i="28"/>
  <c r="D68" i="28"/>
  <c r="C68" i="28"/>
  <c r="B5" i="28" s="1"/>
  <c r="B68" i="28"/>
  <c r="AF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F56" i="28"/>
  <c r="AE56" i="28"/>
  <c r="AD56" i="28"/>
  <c r="AC56" i="28"/>
  <c r="AB56" i="28"/>
  <c r="AA56" i="28"/>
  <c r="Z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AI55" i="28"/>
  <c r="AH55" i="28"/>
  <c r="AI54" i="28"/>
  <c r="AH54" i="28"/>
  <c r="AI53" i="28"/>
  <c r="AH53" i="28"/>
  <c r="Z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G51" i="28"/>
  <c r="AG52" i="28" s="1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G2" i="28" s="1"/>
  <c r="AF38" i="28"/>
  <c r="AE38" i="28"/>
  <c r="AD38" i="28"/>
  <c r="AC38" i="28"/>
  <c r="AB38" i="28"/>
  <c r="AA38" i="28"/>
  <c r="Z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I73" i="28" s="1"/>
  <c r="H38" i="28"/>
  <c r="G38" i="28"/>
  <c r="F38" i="28"/>
  <c r="E38" i="28"/>
  <c r="E73" i="28" s="1"/>
  <c r="D38" i="28"/>
  <c r="D75" i="28" s="1"/>
  <c r="C38" i="28"/>
  <c r="B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C5" i="28"/>
  <c r="AA5" i="28"/>
  <c r="X5" i="28"/>
  <c r="U5" i="28"/>
  <c r="P5" i="28"/>
  <c r="M5" i="28"/>
  <c r="L5" i="28"/>
  <c r="K5" i="28"/>
  <c r="J5" i="28"/>
  <c r="E5" i="28"/>
  <c r="D5" i="28"/>
  <c r="C5" i="28"/>
  <c r="AG4" i="28"/>
  <c r="K4" i="28"/>
  <c r="B4" i="28"/>
  <c r="AF95" i="27"/>
  <c r="AF37" i="27"/>
  <c r="AE95" i="27"/>
  <c r="AE37" i="27"/>
  <c r="AD95" i="27"/>
  <c r="AD37" i="27"/>
  <c r="AC95" i="27"/>
  <c r="AB37" i="27"/>
  <c r="AC37" i="27"/>
  <c r="AB95" i="27"/>
  <c r="AA95" i="27"/>
  <c r="Z95" i="27"/>
  <c r="X95" i="27"/>
  <c r="X37" i="27"/>
  <c r="W37" i="27"/>
  <c r="V37" i="27"/>
  <c r="U37" i="27"/>
  <c r="T37" i="27"/>
  <c r="S37" i="27"/>
  <c r="R37" i="27"/>
  <c r="Q37" i="27"/>
  <c r="P37" i="27"/>
  <c r="E4" i="28"/>
  <c r="AF82" i="28" l="1"/>
  <c r="AE82" i="28"/>
  <c r="AA82" i="28"/>
  <c r="Z82" i="28"/>
  <c r="Z75" i="28"/>
  <c r="AR213" i="28" s="1"/>
  <c r="Z73" i="28"/>
  <c r="X82" i="28"/>
  <c r="W82" i="28"/>
  <c r="T75" i="28"/>
  <c r="T73" i="28"/>
  <c r="S82" i="28"/>
  <c r="S75" i="28"/>
  <c r="S73" i="28"/>
  <c r="R75" i="28"/>
  <c r="AJ213" i="28" s="1"/>
  <c r="Q82" i="28"/>
  <c r="Q73" i="28"/>
  <c r="Q75" i="28"/>
  <c r="AI213" i="28" s="1"/>
  <c r="R73" i="28"/>
  <c r="P82" i="28"/>
  <c r="P75" i="28"/>
  <c r="P73" i="28"/>
  <c r="O82" i="28"/>
  <c r="O75" i="28"/>
  <c r="N75" i="28"/>
  <c r="N73" i="28"/>
  <c r="M73" i="28"/>
  <c r="M82" i="28"/>
  <c r="M75" i="28"/>
  <c r="M7" i="28" s="1"/>
  <c r="L75" i="28"/>
  <c r="AD213" i="28" s="1"/>
  <c r="L73" i="28"/>
  <c r="K82" i="28"/>
  <c r="K75" i="28"/>
  <c r="K73" i="28"/>
  <c r="J82" i="28"/>
  <c r="J75" i="28"/>
  <c r="AB213" i="28" s="1"/>
  <c r="J73" i="28"/>
  <c r="I75" i="28"/>
  <c r="AA213" i="28" s="1"/>
  <c r="H82" i="28"/>
  <c r="H73" i="28"/>
  <c r="H75" i="28"/>
  <c r="H7" i="28" s="1"/>
  <c r="G82" i="28"/>
  <c r="G75" i="28"/>
  <c r="AI56" i="28"/>
  <c r="F75" i="28"/>
  <c r="F7" i="28" s="1"/>
  <c r="F73" i="28"/>
  <c r="AI79" i="28"/>
  <c r="AI76" i="28"/>
  <c r="E82" i="28"/>
  <c r="C82" i="28"/>
  <c r="AI78" i="28"/>
  <c r="AI77" i="28"/>
  <c r="E75" i="28"/>
  <c r="W213" i="28" s="1"/>
  <c r="AH38" i="28"/>
  <c r="D73" i="28"/>
  <c r="C73" i="28"/>
  <c r="C75" i="28" s="1"/>
  <c r="C7" i="28" s="1"/>
  <c r="B82" i="28"/>
  <c r="AH79" i="28"/>
  <c r="AH77" i="28"/>
  <c r="AI38" i="28"/>
  <c r="H4" i="28"/>
  <c r="X213" i="28"/>
  <c r="AF213" i="28"/>
  <c r="N7" i="28"/>
  <c r="AH213" i="28"/>
  <c r="P7" i="28"/>
  <c r="AK213" i="28"/>
  <c r="S7" i="28"/>
  <c r="AC213" i="28"/>
  <c r="K7" i="28"/>
  <c r="AG75" i="28"/>
  <c r="AG3" i="28"/>
  <c r="AG73" i="28"/>
  <c r="AG83" i="28" s="1"/>
  <c r="AE213" i="28"/>
  <c r="V213" i="28"/>
  <c r="D7" i="28"/>
  <c r="AL213" i="28"/>
  <c r="T7" i="28"/>
  <c r="AG6" i="28"/>
  <c r="Y213" i="28"/>
  <c r="G7" i="28"/>
  <c r="AG213" i="28"/>
  <c r="O7" i="28"/>
  <c r="E102" i="28"/>
  <c r="I5" i="28"/>
  <c r="Q5" i="28"/>
  <c r="Y5" i="28"/>
  <c r="G73" i="28"/>
  <c r="G83" i="28" s="1"/>
  <c r="O73" i="28"/>
  <c r="O83" i="28" s="1"/>
  <c r="AH76" i="28"/>
  <c r="P83" i="28"/>
  <c r="AH56" i="28"/>
  <c r="AH68" i="28"/>
  <c r="Z83" i="28"/>
  <c r="AH72" i="28"/>
  <c r="I7" i="28"/>
  <c r="Q7" i="28"/>
  <c r="AI68" i="28"/>
  <c r="K83" i="28"/>
  <c r="S83" i="28"/>
  <c r="AI72" i="28"/>
  <c r="AH78" i="28"/>
  <c r="R7" i="28"/>
  <c r="Z7" i="28"/>
  <c r="L83" i="28"/>
  <c r="D82" i="28"/>
  <c r="L82" i="28"/>
  <c r="T82" i="28"/>
  <c r="T83" i="28" s="1"/>
  <c r="AB82" i="28"/>
  <c r="U82" i="28"/>
  <c r="AC82" i="28"/>
  <c r="S210" i="28"/>
  <c r="D210" i="28"/>
  <c r="F82" i="28"/>
  <c r="N82" i="28"/>
  <c r="N83" i="28" s="1"/>
  <c r="V82" i="28"/>
  <c r="AD82" i="28"/>
  <c r="AH80" i="28"/>
  <c r="AI80" i="28"/>
  <c r="D191" i="28"/>
  <c r="E101" i="28"/>
  <c r="F234" i="28"/>
  <c r="H198" i="28"/>
  <c r="E193" i="28"/>
  <c r="E234" i="28"/>
  <c r="R83" i="28" l="1"/>
  <c r="Q83" i="28"/>
  <c r="M83" i="28"/>
  <c r="L7" i="28"/>
  <c r="J7" i="28"/>
  <c r="J83" i="28"/>
  <c r="I83" i="28"/>
  <c r="B208" i="28"/>
  <c r="C208" i="28"/>
  <c r="K6" i="28" s="1"/>
  <c r="Z213" i="28"/>
  <c r="H83" i="28"/>
  <c r="F83" i="28"/>
  <c r="D83" i="28"/>
  <c r="AH82" i="28"/>
  <c r="AI82" i="28"/>
  <c r="C83" i="28"/>
  <c r="U213" i="28"/>
  <c r="E7" i="28"/>
  <c r="E83" i="28"/>
  <c r="F102" i="28"/>
  <c r="E93" i="28"/>
  <c r="E199" i="28"/>
  <c r="F193" i="28"/>
  <c r="G234" i="28"/>
  <c r="I198" i="28"/>
  <c r="E191" i="28"/>
  <c r="F101" i="28"/>
  <c r="F191" i="28" l="1"/>
  <c r="G101" i="28"/>
  <c r="H234" i="28"/>
  <c r="J198" i="28"/>
  <c r="G193" i="28"/>
  <c r="F199" i="28"/>
  <c r="G102" i="28"/>
  <c r="F93" i="28"/>
  <c r="H193" i="28" l="1"/>
  <c r="G199" i="28"/>
  <c r="G191" i="28"/>
  <c r="H101" i="28"/>
  <c r="I234" i="28"/>
  <c r="K198" i="28"/>
  <c r="H102" i="28"/>
  <c r="G93" i="28"/>
  <c r="J234" i="28" l="1"/>
  <c r="L198" i="28"/>
  <c r="H191" i="28"/>
  <c r="I101" i="28"/>
  <c r="I102" i="28"/>
  <c r="H93" i="28"/>
  <c r="I193" i="28"/>
  <c r="H199" i="28"/>
  <c r="J102" i="28" l="1"/>
  <c r="I93" i="28"/>
  <c r="I191" i="28"/>
  <c r="J101" i="28"/>
  <c r="M198" i="28"/>
  <c r="K234" i="28"/>
  <c r="J193" i="28"/>
  <c r="I199" i="28"/>
  <c r="N198" i="28" l="1"/>
  <c r="L234" i="28"/>
  <c r="J191" i="28"/>
  <c r="K101" i="28"/>
  <c r="J93" i="28"/>
  <c r="K102" i="28"/>
  <c r="J199" i="28"/>
  <c r="K193" i="28"/>
  <c r="K191" i="28" l="1"/>
  <c r="L101" i="28"/>
  <c r="K199" i="28"/>
  <c r="L193" i="28"/>
  <c r="K93" i="28"/>
  <c r="L102" i="28"/>
  <c r="O198" i="28"/>
  <c r="M234" i="28"/>
  <c r="L199" i="28" l="1"/>
  <c r="M193" i="28"/>
  <c r="L191" i="28"/>
  <c r="M101" i="28"/>
  <c r="N234" i="28"/>
  <c r="P198" i="28"/>
  <c r="M102" i="28"/>
  <c r="L93" i="28"/>
  <c r="N102" i="28" l="1"/>
  <c r="M93" i="28"/>
  <c r="O234" i="28"/>
  <c r="Q198" i="28"/>
  <c r="M191" i="28"/>
  <c r="N101" i="28"/>
  <c r="M199" i="28"/>
  <c r="N193" i="28"/>
  <c r="O193" i="28" l="1"/>
  <c r="N199" i="28"/>
  <c r="N191" i="28"/>
  <c r="O101" i="28"/>
  <c r="P234" i="28"/>
  <c r="R198" i="28"/>
  <c r="O102" i="28"/>
  <c r="N93" i="28"/>
  <c r="P102" i="28" l="1"/>
  <c r="O93" i="28"/>
  <c r="Q234" i="28"/>
  <c r="S198" i="28"/>
  <c r="O191" i="28"/>
  <c r="P101" i="28"/>
  <c r="P193" i="28"/>
  <c r="O199" i="28"/>
  <c r="P199" i="28" l="1"/>
  <c r="Q193" i="28"/>
  <c r="P191" i="28"/>
  <c r="Q101" i="28"/>
  <c r="R234" i="28"/>
  <c r="T198" i="28"/>
  <c r="Q102" i="28"/>
  <c r="P93" i="28"/>
  <c r="R102" i="28" l="1"/>
  <c r="Q93" i="28"/>
  <c r="U198" i="28"/>
  <c r="S234" i="28"/>
  <c r="Q191" i="28"/>
  <c r="R101" i="28"/>
  <c r="R193" i="28"/>
  <c r="Q199" i="28"/>
  <c r="R199" i="28" l="1"/>
  <c r="S193" i="28"/>
  <c r="R191" i="28"/>
  <c r="S101" i="28"/>
  <c r="V198" i="28"/>
  <c r="T234" i="28"/>
  <c r="R93" i="28"/>
  <c r="S102" i="28"/>
  <c r="S93" i="28" l="1"/>
  <c r="T102" i="28"/>
  <c r="W198" i="28"/>
  <c r="U234" i="28"/>
  <c r="S191" i="28"/>
  <c r="T101" i="28"/>
  <c r="S199" i="28"/>
  <c r="T193" i="28"/>
  <c r="T191" i="28" l="1"/>
  <c r="U101" i="28"/>
  <c r="V234" i="28"/>
  <c r="X198" i="28"/>
  <c r="U102" i="28"/>
  <c r="T93" i="28"/>
  <c r="U193" i="28"/>
  <c r="T199" i="28"/>
  <c r="V102" i="28" l="1"/>
  <c r="U93" i="28"/>
  <c r="W234" i="28"/>
  <c r="Y198" i="28"/>
  <c r="U199" i="28"/>
  <c r="U51" i="28" s="1"/>
  <c r="U52" i="28" s="1"/>
  <c r="V193" i="28"/>
  <c r="U191" i="28"/>
  <c r="V101" i="28"/>
  <c r="W193" i="28" l="1"/>
  <c r="V199" i="28"/>
  <c r="V51" i="28" s="1"/>
  <c r="V52" i="28" s="1"/>
  <c r="U73" i="28"/>
  <c r="U75" i="28"/>
  <c r="X234" i="28"/>
  <c r="Z198" i="28"/>
  <c r="V191" i="28"/>
  <c r="W101" i="28"/>
  <c r="W102" i="28"/>
  <c r="V93" i="28"/>
  <c r="W191" i="28" l="1"/>
  <c r="X101" i="28"/>
  <c r="AM213" i="28"/>
  <c r="U7" i="28"/>
  <c r="Y234" i="28"/>
  <c r="AA198" i="28"/>
  <c r="U83" i="28"/>
  <c r="V75" i="28"/>
  <c r="V73" i="28"/>
  <c r="X102" i="28"/>
  <c r="W93" i="28"/>
  <c r="X193" i="28"/>
  <c r="W199" i="28"/>
  <c r="W51" i="28" s="1"/>
  <c r="W52" i="28" s="1"/>
  <c r="W75" i="28" l="1"/>
  <c r="W73" i="28"/>
  <c r="X199" i="28"/>
  <c r="X51" i="28" s="1"/>
  <c r="X52" i="28" s="1"/>
  <c r="Y193" i="28"/>
  <c r="Y102" i="28"/>
  <c r="X93" i="28"/>
  <c r="X191" i="28"/>
  <c r="Y101" i="28"/>
  <c r="AN213" i="28"/>
  <c r="V7" i="28"/>
  <c r="Z234" i="28"/>
  <c r="AB198" i="28"/>
  <c r="V83" i="28"/>
  <c r="W83" i="28" l="1"/>
  <c r="Y191" i="28"/>
  <c r="Z101" i="28"/>
  <c r="Z102" i="28"/>
  <c r="AC198" i="28"/>
  <c r="AA234" i="28"/>
  <c r="Z193" i="28"/>
  <c r="Y199" i="28"/>
  <c r="X75" i="28"/>
  <c r="X73" i="28"/>
  <c r="AO213" i="28"/>
  <c r="W7" i="28"/>
  <c r="X83" i="28" l="1"/>
  <c r="AB234" i="28"/>
  <c r="AD198" i="28"/>
  <c r="Z199" i="28"/>
  <c r="AA193" i="28"/>
  <c r="Z191" i="28"/>
  <c r="AA101" i="28"/>
  <c r="Z93" i="28"/>
  <c r="AA102" i="28"/>
  <c r="AP213" i="28"/>
  <c r="X7" i="28"/>
  <c r="AA199" i="28" l="1"/>
  <c r="AA51" i="28" s="1"/>
  <c r="AA52" i="28" s="1"/>
  <c r="AB193" i="28"/>
  <c r="AC234" i="28"/>
  <c r="AE198" i="28"/>
  <c r="AA93" i="28"/>
  <c r="AB102" i="28"/>
  <c r="AQ213" i="28"/>
  <c r="Y7" i="28"/>
  <c r="AA191" i="28"/>
  <c r="AB101" i="28"/>
  <c r="AD234" i="28" l="1"/>
  <c r="AF198" i="28"/>
  <c r="AC102" i="28"/>
  <c r="AB93" i="28"/>
  <c r="AB191" i="28"/>
  <c r="AC101" i="28"/>
  <c r="AC193" i="28"/>
  <c r="AB199" i="28"/>
  <c r="AB51" i="28" s="1"/>
  <c r="AB52" i="28" s="1"/>
  <c r="AA75" i="28"/>
  <c r="AA73" i="28"/>
  <c r="AA83" i="28" l="1"/>
  <c r="AB75" i="28"/>
  <c r="AB73" i="28"/>
  <c r="AB83" i="28" s="1"/>
  <c r="AC199" i="28"/>
  <c r="AC51" i="28" s="1"/>
  <c r="AC52" i="28" s="1"/>
  <c r="AD193" i="28"/>
  <c r="AC191" i="28"/>
  <c r="AD101" i="28"/>
  <c r="AD102" i="28"/>
  <c r="AC93" i="28"/>
  <c r="AE234" i="28"/>
  <c r="B198" i="28"/>
  <c r="AF234" i="28" s="1"/>
  <c r="AS213" i="28"/>
  <c r="AA7" i="28"/>
  <c r="AD191" i="28" l="1"/>
  <c r="AE101" i="28"/>
  <c r="AE102" i="28"/>
  <c r="AD93" i="28"/>
  <c r="AE193" i="28"/>
  <c r="AD199" i="28"/>
  <c r="AD51" i="28" s="1"/>
  <c r="AD52" i="28" s="1"/>
  <c r="AC73" i="28"/>
  <c r="AC75" i="28"/>
  <c r="AT213" i="28"/>
  <c r="AB7" i="28"/>
  <c r="AC83" i="28" l="1"/>
  <c r="AU213" i="28"/>
  <c r="AC7" i="28"/>
  <c r="AF193" i="28"/>
  <c r="AE199" i="28"/>
  <c r="AE51" i="28" s="1"/>
  <c r="AE52" i="28" s="1"/>
  <c r="AD75" i="28"/>
  <c r="AD73" i="28"/>
  <c r="AF102" i="28"/>
  <c r="AE93" i="28"/>
  <c r="AE191" i="28"/>
  <c r="AF101" i="28"/>
  <c r="AD83" i="28" l="1"/>
  <c r="AF93" i="28"/>
  <c r="B102" i="28"/>
  <c r="B93" i="28" s="1"/>
  <c r="AV213" i="28"/>
  <c r="AD7" i="28"/>
  <c r="AF191" i="28"/>
  <c r="B101" i="28"/>
  <c r="B191" i="28" s="1"/>
  <c r="AE75" i="28"/>
  <c r="AE73" i="28"/>
  <c r="AF199" i="28"/>
  <c r="AF51" i="28" s="1"/>
  <c r="AF52" i="28" s="1"/>
  <c r="B193" i="28"/>
  <c r="B199" i="28" s="1"/>
  <c r="AE83" i="28" l="1"/>
  <c r="AW213" i="28"/>
  <c r="AE7" i="28"/>
  <c r="B52" i="28"/>
  <c r="AH51" i="28"/>
  <c r="AI51" i="28"/>
  <c r="AF75" i="28"/>
  <c r="AF73" i="28"/>
  <c r="AH93" i="28"/>
  <c r="AI93" i="28"/>
  <c r="AF83" i="28" l="1"/>
  <c r="AX213" i="28"/>
  <c r="AF7" i="28"/>
  <c r="B75" i="28"/>
  <c r="AI52" i="28"/>
  <c r="AH52" i="28"/>
  <c r="B73" i="28"/>
  <c r="AI73" i="28" l="1"/>
  <c r="AH73" i="28"/>
  <c r="B83" i="28"/>
  <c r="T213" i="28"/>
  <c r="B7" i="28"/>
  <c r="A7" i="28" s="1"/>
  <c r="AI75" i="28"/>
  <c r="AH75" i="28"/>
  <c r="AI83" i="28" l="1"/>
  <c r="AH83" i="28"/>
  <c r="O37" i="27" l="1"/>
  <c r="N37" i="27"/>
  <c r="AH99" i="27"/>
  <c r="AI99" i="27" s="1"/>
  <c r="B51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P235" i="27"/>
  <c r="O235" i="27"/>
  <c r="N235" i="27"/>
  <c r="M235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E234" i="27"/>
  <c r="D234" i="27"/>
  <c r="C234" i="27"/>
  <c r="B234" i="27"/>
  <c r="S209" i="27"/>
  <c r="AG199" i="27"/>
  <c r="C199" i="27"/>
  <c r="G198" i="27"/>
  <c r="F234" i="27" s="1"/>
  <c r="F198" i="27"/>
  <c r="E198" i="27"/>
  <c r="D198" i="27"/>
  <c r="D197" i="27"/>
  <c r="E197" i="27" s="1"/>
  <c r="F197" i="27" s="1"/>
  <c r="G197" i="27" s="1"/>
  <c r="H197" i="27" s="1"/>
  <c r="I197" i="27" s="1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G196" i="27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D196" i="27"/>
  <c r="E196" i="27" s="1"/>
  <c r="F196" i="27" s="1"/>
  <c r="E195" i="27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D195" i="27"/>
  <c r="F194" i="27"/>
  <c r="G194" i="27" s="1"/>
  <c r="H194" i="27" s="1"/>
  <c r="I194" i="27" s="1"/>
  <c r="J194" i="27" s="1"/>
  <c r="K194" i="27" s="1"/>
  <c r="L194" i="27" s="1"/>
  <c r="M194" i="27" s="1"/>
  <c r="N194" i="27" s="1"/>
  <c r="O194" i="27" s="1"/>
  <c r="P194" i="27" s="1"/>
  <c r="Q194" i="27" s="1"/>
  <c r="R194" i="27" s="1"/>
  <c r="S194" i="27" s="1"/>
  <c r="T194" i="27" s="1"/>
  <c r="U194" i="27" s="1"/>
  <c r="V194" i="27" s="1"/>
  <c r="W194" i="27" s="1"/>
  <c r="X194" i="27" s="1"/>
  <c r="Y194" i="27" s="1"/>
  <c r="Z194" i="27" s="1"/>
  <c r="AA194" i="27" s="1"/>
  <c r="AB194" i="27" s="1"/>
  <c r="AC194" i="27" s="1"/>
  <c r="AD194" i="27" s="1"/>
  <c r="AE194" i="27" s="1"/>
  <c r="AF194" i="27" s="1"/>
  <c r="B194" i="27" s="1"/>
  <c r="E194" i="27"/>
  <c r="D194" i="27"/>
  <c r="D193" i="27"/>
  <c r="D199" i="27" s="1"/>
  <c r="AG191" i="27"/>
  <c r="C191" i="27"/>
  <c r="G190" i="27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D190" i="27"/>
  <c r="E190" i="27" s="1"/>
  <c r="F190" i="27" s="1"/>
  <c r="M189" i="27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H189" i="27"/>
  <c r="I189" i="27" s="1"/>
  <c r="J189" i="27" s="1"/>
  <c r="K189" i="27" s="1"/>
  <c r="L189" i="27" s="1"/>
  <c r="G189" i="27"/>
  <c r="E189" i="27"/>
  <c r="F189" i="27" s="1"/>
  <c r="D189" i="27"/>
  <c r="P188" i="27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E188" i="27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D188" i="27"/>
  <c r="D187" i="27"/>
  <c r="E187" i="27" s="1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G186" i="27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6" i="27"/>
  <c r="E186" i="27" s="1"/>
  <c r="F186" i="27" s="1"/>
  <c r="E185" i="27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D185" i="27"/>
  <c r="H184" i="27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B184" i="27" s="1"/>
  <c r="D184" i="27"/>
  <c r="E184" i="27" s="1"/>
  <c r="F184" i="27" s="1"/>
  <c r="G184" i="27" s="1"/>
  <c r="I183" i="27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D183" i="27"/>
  <c r="E183" i="27" s="1"/>
  <c r="F183" i="27" s="1"/>
  <c r="G183" i="27" s="1"/>
  <c r="H183" i="27" s="1"/>
  <c r="P182" i="27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D182" i="27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O181" i="27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E181" i="27"/>
  <c r="F181" i="27" s="1"/>
  <c r="G181" i="27" s="1"/>
  <c r="H181" i="27" s="1"/>
  <c r="I181" i="27" s="1"/>
  <c r="J181" i="27" s="1"/>
  <c r="K181" i="27" s="1"/>
  <c r="L181" i="27" s="1"/>
  <c r="M181" i="27" s="1"/>
  <c r="N181" i="27" s="1"/>
  <c r="D181" i="27"/>
  <c r="D180" i="27"/>
  <c r="E180" i="27" s="1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E179" i="27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D179" i="27"/>
  <c r="AE178" i="27"/>
  <c r="AF178" i="27" s="1"/>
  <c r="D178" i="27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B178" i="27"/>
  <c r="E176" i="27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D176" i="27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E174" i="27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4" i="27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F172" i="27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E172" i="27"/>
  <c r="D172" i="27"/>
  <c r="O171" i="27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G171" i="27"/>
  <c r="H171" i="27" s="1"/>
  <c r="I171" i="27" s="1"/>
  <c r="J171" i="27" s="1"/>
  <c r="K171" i="27" s="1"/>
  <c r="L171" i="27" s="1"/>
  <c r="M171" i="27" s="1"/>
  <c r="N171" i="27" s="1"/>
  <c r="D171" i="27"/>
  <c r="E171" i="27" s="1"/>
  <c r="F171" i="27" s="1"/>
  <c r="Q170" i="27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D170" i="27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G169" i="27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B169" i="27" s="1"/>
  <c r="D169" i="27"/>
  <c r="E169" i="27" s="1"/>
  <c r="F169" i="27" s="1"/>
  <c r="I167" i="27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D167" i="27"/>
  <c r="E167" i="27" s="1"/>
  <c r="F167" i="27" s="1"/>
  <c r="G167" i="27" s="1"/>
  <c r="H167" i="27" s="1"/>
  <c r="N166" i="27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D166" i="27"/>
  <c r="E166" i="27" s="1"/>
  <c r="F166" i="27" s="1"/>
  <c r="G166" i="27" s="1"/>
  <c r="H166" i="27" s="1"/>
  <c r="I166" i="27" s="1"/>
  <c r="J166" i="27" s="1"/>
  <c r="K166" i="27" s="1"/>
  <c r="L166" i="27" s="1"/>
  <c r="M166" i="27" s="1"/>
  <c r="H165" i="27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D165" i="27"/>
  <c r="E165" i="27" s="1"/>
  <c r="F165" i="27" s="1"/>
  <c r="G165" i="27" s="1"/>
  <c r="D164" i="27"/>
  <c r="E164" i="27" s="1"/>
  <c r="F164" i="27" s="1"/>
  <c r="G164" i="27" s="1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H163" i="27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D163" i="27"/>
  <c r="E163" i="27" s="1"/>
  <c r="F163" i="27" s="1"/>
  <c r="G163" i="27" s="1"/>
  <c r="O162" i="27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G162" i="27"/>
  <c r="H162" i="27" s="1"/>
  <c r="I162" i="27" s="1"/>
  <c r="J162" i="27" s="1"/>
  <c r="K162" i="27" s="1"/>
  <c r="L162" i="27" s="1"/>
  <c r="M162" i="27" s="1"/>
  <c r="N162" i="27" s="1"/>
  <c r="F162" i="27"/>
  <c r="E162" i="27"/>
  <c r="D162" i="27"/>
  <c r="D161" i="27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Z160" i="27"/>
  <c r="AA160" i="27" s="1"/>
  <c r="AB160" i="27" s="1"/>
  <c r="AC160" i="27" s="1"/>
  <c r="AD160" i="27" s="1"/>
  <c r="AE160" i="27" s="1"/>
  <c r="AF160" i="27" s="1"/>
  <c r="B160" i="27" s="1"/>
  <c r="J160" i="27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F160" i="27"/>
  <c r="G160" i="27" s="1"/>
  <c r="H160" i="27" s="1"/>
  <c r="I160" i="27" s="1"/>
  <c r="E160" i="27"/>
  <c r="D160" i="27"/>
  <c r="I159" i="27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D159" i="27"/>
  <c r="E159" i="27" s="1"/>
  <c r="F159" i="27" s="1"/>
  <c r="G159" i="27" s="1"/>
  <c r="H159" i="27" s="1"/>
  <c r="F158" i="27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E158" i="27"/>
  <c r="D158" i="27"/>
  <c r="D157" i="27"/>
  <c r="E157" i="27" s="1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E156" i="27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D156" i="27"/>
  <c r="AB155" i="27"/>
  <c r="AC155" i="27" s="1"/>
  <c r="AD155" i="27" s="1"/>
  <c r="AE155" i="27" s="1"/>
  <c r="AF155" i="27" s="1"/>
  <c r="B155" i="27" s="1"/>
  <c r="D155" i="27"/>
  <c r="E155" i="27" s="1"/>
  <c r="F155" i="27" s="1"/>
  <c r="G155" i="27" s="1"/>
  <c r="H155" i="27" s="1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Z153" i="27"/>
  <c r="AA153" i="27" s="1"/>
  <c r="AB153" i="27" s="1"/>
  <c r="AC153" i="27" s="1"/>
  <c r="AD153" i="27" s="1"/>
  <c r="AE153" i="27" s="1"/>
  <c r="AF153" i="27" s="1"/>
  <c r="B153" i="27" s="1"/>
  <c r="N153" i="27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F153" i="27"/>
  <c r="G153" i="27" s="1"/>
  <c r="H153" i="27" s="1"/>
  <c r="I153" i="27" s="1"/>
  <c r="J153" i="27" s="1"/>
  <c r="K153" i="27" s="1"/>
  <c r="L153" i="27" s="1"/>
  <c r="M153" i="27" s="1"/>
  <c r="D153" i="27"/>
  <c r="E153" i="27" s="1"/>
  <c r="D152" i="27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E151" i="27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D151" i="27"/>
  <c r="X150" i="27"/>
  <c r="Y150" i="27" s="1"/>
  <c r="Z150" i="27" s="1"/>
  <c r="AA150" i="27" s="1"/>
  <c r="AB150" i="27" s="1"/>
  <c r="AC150" i="27" s="1"/>
  <c r="AD150" i="27" s="1"/>
  <c r="AE150" i="27" s="1"/>
  <c r="AF150" i="27" s="1"/>
  <c r="B150" i="27" s="1"/>
  <c r="E150" i="27"/>
  <c r="F150" i="27" s="1"/>
  <c r="G150" i="27" s="1"/>
  <c r="H150" i="27" s="1"/>
  <c r="I150" i="27" s="1"/>
  <c r="J150" i="27" s="1"/>
  <c r="K150" i="27" s="1"/>
  <c r="L150" i="27" s="1"/>
  <c r="M150" i="27" s="1"/>
  <c r="N150" i="27" s="1"/>
  <c r="O150" i="27" s="1"/>
  <c r="P150" i="27" s="1"/>
  <c r="Q150" i="27" s="1"/>
  <c r="R150" i="27" s="1"/>
  <c r="S150" i="27" s="1"/>
  <c r="T150" i="27" s="1"/>
  <c r="U150" i="27" s="1"/>
  <c r="V150" i="27" s="1"/>
  <c r="W150" i="27" s="1"/>
  <c r="D150" i="27"/>
  <c r="Q148" i="27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D148" i="27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G147" i="27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B147" i="27" s="1"/>
  <c r="E147" i="27"/>
  <c r="F147" i="27" s="1"/>
  <c r="D147" i="27"/>
  <c r="E145" i="27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D145" i="27"/>
  <c r="AA144" i="27"/>
  <c r="AB144" i="27" s="1"/>
  <c r="AC144" i="27" s="1"/>
  <c r="AD144" i="27" s="1"/>
  <c r="AE144" i="27" s="1"/>
  <c r="AF144" i="27" s="1"/>
  <c r="B144" i="27" s="1"/>
  <c r="E144" i="27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D144" i="27"/>
  <c r="K143" i="27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B143" i="27" s="1"/>
  <c r="F143" i="27"/>
  <c r="G143" i="27" s="1"/>
  <c r="H143" i="27" s="1"/>
  <c r="I143" i="27" s="1"/>
  <c r="J143" i="27" s="1"/>
  <c r="D143" i="27"/>
  <c r="E143" i="27" s="1"/>
  <c r="AC142" i="27"/>
  <c r="AD142" i="27" s="1"/>
  <c r="AE142" i="27" s="1"/>
  <c r="AF142" i="27" s="1"/>
  <c r="B142" i="27" s="1"/>
  <c r="L142" i="27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E142" i="27"/>
  <c r="F142" i="27" s="1"/>
  <c r="G142" i="27" s="1"/>
  <c r="H142" i="27" s="1"/>
  <c r="I142" i="27" s="1"/>
  <c r="J142" i="27" s="1"/>
  <c r="K142" i="27" s="1"/>
  <c r="D142" i="27"/>
  <c r="E141" i="27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D141" i="27"/>
  <c r="E140" i="27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D140" i="27"/>
  <c r="I139" i="27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B139" i="27" s="1"/>
  <c r="D139" i="27"/>
  <c r="E139" i="27" s="1"/>
  <c r="F139" i="27" s="1"/>
  <c r="G139" i="27" s="1"/>
  <c r="H139" i="27" s="1"/>
  <c r="Y137" i="27"/>
  <c r="Z137" i="27" s="1"/>
  <c r="AA137" i="27" s="1"/>
  <c r="AB137" i="27" s="1"/>
  <c r="AC137" i="27" s="1"/>
  <c r="AD137" i="27" s="1"/>
  <c r="AE137" i="27" s="1"/>
  <c r="AF137" i="27" s="1"/>
  <c r="B137" i="27" s="1"/>
  <c r="D137" i="27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W136" i="27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J136" i="27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G136" i="27"/>
  <c r="H136" i="27" s="1"/>
  <c r="I136" i="27" s="1"/>
  <c r="E136" i="27"/>
  <c r="F136" i="27" s="1"/>
  <c r="D136" i="27"/>
  <c r="H135" i="27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E135" i="27"/>
  <c r="F135" i="27" s="1"/>
  <c r="G135" i="27" s="1"/>
  <c r="D135" i="27"/>
  <c r="Y134" i="27"/>
  <c r="Z134" i="27" s="1"/>
  <c r="AA134" i="27" s="1"/>
  <c r="AB134" i="27" s="1"/>
  <c r="AC134" i="27" s="1"/>
  <c r="AD134" i="27" s="1"/>
  <c r="AE134" i="27" s="1"/>
  <c r="AF134" i="27" s="1"/>
  <c r="B134" i="27" s="1"/>
  <c r="I134" i="27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D134" i="27"/>
  <c r="E134" i="27" s="1"/>
  <c r="F134" i="27" s="1"/>
  <c r="G134" i="27" s="1"/>
  <c r="H134" i="27" s="1"/>
  <c r="E133" i="27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D133" i="27"/>
  <c r="E132" i="27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D132" i="27"/>
  <c r="G131" i="27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D131" i="27"/>
  <c r="E131" i="27" s="1"/>
  <c r="F131" i="27" s="1"/>
  <c r="E130" i="27"/>
  <c r="F130" i="27" s="1"/>
  <c r="G130" i="27" s="1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B130" i="27" s="1"/>
  <c r="D130" i="27"/>
  <c r="W128" i="27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O128" i="27"/>
  <c r="P128" i="27" s="1"/>
  <c r="Q128" i="27" s="1"/>
  <c r="R128" i="27" s="1"/>
  <c r="S128" i="27" s="1"/>
  <c r="T128" i="27" s="1"/>
  <c r="U128" i="27" s="1"/>
  <c r="V128" i="27" s="1"/>
  <c r="G128" i="27"/>
  <c r="H128" i="27" s="1"/>
  <c r="I128" i="27" s="1"/>
  <c r="J128" i="27" s="1"/>
  <c r="K128" i="27" s="1"/>
  <c r="L128" i="27" s="1"/>
  <c r="M128" i="27" s="1"/>
  <c r="N128" i="27" s="1"/>
  <c r="E128" i="27"/>
  <c r="F128" i="27" s="1"/>
  <c r="D128" i="27"/>
  <c r="H127" i="27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E127" i="27"/>
  <c r="F127" i="27" s="1"/>
  <c r="G127" i="27" s="1"/>
  <c r="D127" i="27"/>
  <c r="F126" i="27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D126" i="27"/>
  <c r="E126" i="27" s="1"/>
  <c r="D125" i="27"/>
  <c r="E125" i="27" s="1"/>
  <c r="F125" i="27" s="1"/>
  <c r="G125" i="27" s="1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R124" i="27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J124" i="27"/>
  <c r="K124" i="27" s="1"/>
  <c r="L124" i="27" s="1"/>
  <c r="M124" i="27" s="1"/>
  <c r="N124" i="27" s="1"/>
  <c r="O124" i="27" s="1"/>
  <c r="P124" i="27" s="1"/>
  <c r="Q124" i="27" s="1"/>
  <c r="E124" i="27"/>
  <c r="F124" i="27" s="1"/>
  <c r="G124" i="27" s="1"/>
  <c r="H124" i="27" s="1"/>
  <c r="I124" i="27" s="1"/>
  <c r="D124" i="27"/>
  <c r="E123" i="27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D123" i="27"/>
  <c r="G122" i="27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F122" i="27"/>
  <c r="D122" i="27"/>
  <c r="E122" i="27" s="1"/>
  <c r="E121" i="27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B121" i="27" s="1"/>
  <c r="D121" i="27"/>
  <c r="G120" i="27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E120" i="27"/>
  <c r="F120" i="27" s="1"/>
  <c r="D120" i="27"/>
  <c r="H119" i="27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E119" i="27"/>
  <c r="F119" i="27" s="1"/>
  <c r="G119" i="27" s="1"/>
  <c r="D119" i="27"/>
  <c r="I118" i="27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F118" i="27"/>
  <c r="G118" i="27" s="1"/>
  <c r="H118" i="27" s="1"/>
  <c r="D118" i="27"/>
  <c r="E118" i="27" s="1"/>
  <c r="D117" i="27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F116" i="27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E116" i="27"/>
  <c r="D116" i="27"/>
  <c r="L115" i="27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B115" i="27" s="1"/>
  <c r="I115" i="27"/>
  <c r="J115" i="27" s="1"/>
  <c r="K115" i="27" s="1"/>
  <c r="E115" i="27"/>
  <c r="F115" i="27" s="1"/>
  <c r="G115" i="27" s="1"/>
  <c r="H115" i="27" s="1"/>
  <c r="D115" i="27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L113" i="27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K113" i="27"/>
  <c r="H113" i="27"/>
  <c r="I113" i="27" s="1"/>
  <c r="F113" i="27"/>
  <c r="G113" i="27" s="1"/>
  <c r="D113" i="27"/>
  <c r="E113" i="27" s="1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D111" i="27"/>
  <c r="E111" i="27" s="1"/>
  <c r="F111" i="27" s="1"/>
  <c r="G111" i="27" s="1"/>
  <c r="H111" i="27" s="1"/>
  <c r="I111" i="27" s="1"/>
  <c r="J111" i="27" s="1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B111" i="27" s="1"/>
  <c r="F109" i="27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E109" i="27"/>
  <c r="D109" i="27"/>
  <c r="F108" i="27"/>
  <c r="G108" i="27" s="1"/>
  <c r="H108" i="27" s="1"/>
  <c r="I108" i="27" s="1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B108" i="27" s="1"/>
  <c r="D108" i="27"/>
  <c r="E108" i="27" s="1"/>
  <c r="H106" i="27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F106" i="27"/>
  <c r="G106" i="27" s="1"/>
  <c r="D106" i="27"/>
  <c r="E106" i="27" s="1"/>
  <c r="D105" i="27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D104" i="27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I103" i="27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B103" i="27" s="1"/>
  <c r="G103" i="27"/>
  <c r="H103" i="27" s="1"/>
  <c r="D103" i="27"/>
  <c r="E103" i="27" s="1"/>
  <c r="F103" i="27" s="1"/>
  <c r="D102" i="27"/>
  <c r="F101" i="27"/>
  <c r="E101" i="27"/>
  <c r="D101" i="27"/>
  <c r="AH98" i="27"/>
  <c r="AI98" i="27" s="1"/>
  <c r="AH97" i="27"/>
  <c r="AI97" i="27" s="1"/>
  <c r="AH96" i="27"/>
  <c r="AI96" i="27" s="1"/>
  <c r="AH95" i="27"/>
  <c r="AI95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AI81" i="27"/>
  <c r="AH81" i="27"/>
  <c r="AF80" i="27"/>
  <c r="AE80" i="27"/>
  <c r="AD80" i="27"/>
  <c r="AC80" i="27"/>
  <c r="AB80" i="27"/>
  <c r="AA80" i="27"/>
  <c r="Z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B80" i="27"/>
  <c r="AF79" i="27"/>
  <c r="AE79" i="27"/>
  <c r="AD79" i="27"/>
  <c r="AC79" i="27"/>
  <c r="AB79" i="27"/>
  <c r="AA79" i="27"/>
  <c r="Z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AF78" i="27"/>
  <c r="AE78" i="27"/>
  <c r="AD78" i="27"/>
  <c r="AC78" i="27"/>
  <c r="AB78" i="27"/>
  <c r="AA78" i="27"/>
  <c r="Z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L82" i="27" s="1"/>
  <c r="K78" i="27"/>
  <c r="J78" i="27"/>
  <c r="I78" i="27"/>
  <c r="H78" i="27"/>
  <c r="G78" i="27"/>
  <c r="F78" i="27"/>
  <c r="E78" i="27"/>
  <c r="D78" i="27"/>
  <c r="C78" i="27"/>
  <c r="B78" i="27"/>
  <c r="AF77" i="27"/>
  <c r="AE77" i="27"/>
  <c r="AD77" i="27"/>
  <c r="AC77" i="27"/>
  <c r="AB77" i="27"/>
  <c r="AA77" i="27"/>
  <c r="Z77" i="27"/>
  <c r="X77" i="27"/>
  <c r="W77" i="27"/>
  <c r="V77" i="27"/>
  <c r="U77" i="27"/>
  <c r="T77" i="27"/>
  <c r="S77" i="27"/>
  <c r="R77" i="27"/>
  <c r="Q77" i="27"/>
  <c r="P77" i="27"/>
  <c r="O77" i="27"/>
  <c r="O82" i="27" s="1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AF76" i="27"/>
  <c r="AE76" i="27"/>
  <c r="AD76" i="27"/>
  <c r="AC76" i="27"/>
  <c r="AB76" i="27"/>
  <c r="AA76" i="27"/>
  <c r="Z76" i="27"/>
  <c r="X76" i="27"/>
  <c r="W76" i="27"/>
  <c r="V76" i="27"/>
  <c r="U76" i="27"/>
  <c r="T76" i="27"/>
  <c r="S76" i="27"/>
  <c r="R76" i="27"/>
  <c r="R82" i="27" s="1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AI74" i="27"/>
  <c r="AH74" i="27"/>
  <c r="AG72" i="27"/>
  <c r="AF72" i="27"/>
  <c r="AE72" i="27"/>
  <c r="AD72" i="27"/>
  <c r="AC72" i="27"/>
  <c r="AB72" i="27"/>
  <c r="AA72" i="27"/>
  <c r="Z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AI72" i="27" s="1"/>
  <c r="B72" i="27"/>
  <c r="AI71" i="27"/>
  <c r="AH71" i="27"/>
  <c r="AI70" i="27"/>
  <c r="AH70" i="27"/>
  <c r="AI69" i="27"/>
  <c r="AH69" i="27"/>
  <c r="AG68" i="27"/>
  <c r="AF68" i="27"/>
  <c r="AE5" i="27" s="1"/>
  <c r="AE68" i="27"/>
  <c r="AD5" i="27" s="1"/>
  <c r="AD68" i="27"/>
  <c r="AC5" i="27" s="1"/>
  <c r="AC68" i="27"/>
  <c r="AB5" i="27" s="1"/>
  <c r="AB68" i="27"/>
  <c r="AA5" i="27" s="1"/>
  <c r="AA68" i="27"/>
  <c r="Z68" i="27"/>
  <c r="X68" i="27"/>
  <c r="W5" i="27" s="1"/>
  <c r="W68" i="27"/>
  <c r="V5" i="27" s="1"/>
  <c r="V68" i="27"/>
  <c r="U5" i="27" s="1"/>
  <c r="U68" i="27"/>
  <c r="T5" i="27" s="1"/>
  <c r="T68" i="27"/>
  <c r="S5" i="27" s="1"/>
  <c r="S68" i="27"/>
  <c r="R5" i="27" s="1"/>
  <c r="R68" i="27"/>
  <c r="Q5" i="27" s="1"/>
  <c r="Q68" i="27"/>
  <c r="P5" i="27" s="1"/>
  <c r="P68" i="27"/>
  <c r="O5" i="27" s="1"/>
  <c r="O68" i="27"/>
  <c r="N68" i="27"/>
  <c r="N73" i="27" s="1"/>
  <c r="M68" i="27"/>
  <c r="L5" i="27" s="1"/>
  <c r="L68" i="27"/>
  <c r="K5" i="27" s="1"/>
  <c r="K68" i="27"/>
  <c r="J5" i="27" s="1"/>
  <c r="J68" i="27"/>
  <c r="I5" i="27" s="1"/>
  <c r="I68" i="27"/>
  <c r="H68" i="27"/>
  <c r="G5" i="27" s="1"/>
  <c r="G68" i="27"/>
  <c r="F68" i="27"/>
  <c r="E68" i="27"/>
  <c r="D68" i="27"/>
  <c r="C68" i="27"/>
  <c r="B5" i="27" s="1"/>
  <c r="B68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G73" i="27" s="1"/>
  <c r="AF56" i="27"/>
  <c r="AE56" i="27"/>
  <c r="AD56" i="27"/>
  <c r="AC56" i="27"/>
  <c r="AB56" i="27"/>
  <c r="AA56" i="27"/>
  <c r="Z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AI55" i="27"/>
  <c r="AH55" i="27"/>
  <c r="AI54" i="27"/>
  <c r="AH54" i="27"/>
  <c r="AI53" i="27"/>
  <c r="AH53" i="27"/>
  <c r="AG52" i="27"/>
  <c r="Z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G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F38" i="27"/>
  <c r="AE38" i="27"/>
  <c r="AD38" i="27"/>
  <c r="AC38" i="27"/>
  <c r="AB38" i="27"/>
  <c r="AA38" i="27"/>
  <c r="Z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G6" i="27"/>
  <c r="Y5" i="27"/>
  <c r="X5" i="27"/>
  <c r="N5" i="27"/>
  <c r="H5" i="27"/>
  <c r="F5" i="27"/>
  <c r="E5" i="27"/>
  <c r="D5" i="27"/>
  <c r="C5" i="27"/>
  <c r="AG4" i="27"/>
  <c r="K4" i="27"/>
  <c r="B4" i="27"/>
  <c r="AG3" i="27"/>
  <c r="AG2" i="27"/>
  <c r="AA95" i="26"/>
  <c r="AA37" i="26"/>
  <c r="Z95" i="26"/>
  <c r="Z37" i="26"/>
  <c r="Y95" i="26"/>
  <c r="Y37" i="26"/>
  <c r="W95" i="26"/>
  <c r="W37" i="26"/>
  <c r="V37" i="26"/>
  <c r="U37" i="26"/>
  <c r="T95" i="26"/>
  <c r="T37" i="26"/>
  <c r="S37" i="26"/>
  <c r="R37" i="26"/>
  <c r="Q37" i="26"/>
  <c r="E4" i="27"/>
  <c r="AE82" i="27" l="1"/>
  <c r="AD82" i="27"/>
  <c r="AC82" i="27"/>
  <c r="AB82" i="27"/>
  <c r="AA82" i="27"/>
  <c r="Z82" i="27"/>
  <c r="X82" i="27"/>
  <c r="W82" i="27"/>
  <c r="V82" i="27"/>
  <c r="U82" i="27"/>
  <c r="T82" i="27"/>
  <c r="T73" i="27"/>
  <c r="T75" i="27"/>
  <c r="AL213" i="27" s="1"/>
  <c r="S82" i="27"/>
  <c r="R75" i="27"/>
  <c r="Q82" i="27"/>
  <c r="Q73" i="27"/>
  <c r="P82" i="27"/>
  <c r="P75" i="27"/>
  <c r="AH213" i="27" s="1"/>
  <c r="P73" i="27"/>
  <c r="O73" i="27"/>
  <c r="N82" i="27"/>
  <c r="M5" i="27"/>
  <c r="M82" i="27"/>
  <c r="M75" i="27"/>
  <c r="AE213" i="27" s="1"/>
  <c r="M73" i="27"/>
  <c r="L75" i="27"/>
  <c r="AD213" i="27" s="1"/>
  <c r="K82" i="27"/>
  <c r="K75" i="27"/>
  <c r="AC213" i="27" s="1"/>
  <c r="J82" i="27"/>
  <c r="I82" i="27"/>
  <c r="I73" i="27"/>
  <c r="H82" i="27"/>
  <c r="H75" i="27"/>
  <c r="Z213" i="27" s="1"/>
  <c r="G82" i="27"/>
  <c r="AH56" i="27"/>
  <c r="AI56" i="27"/>
  <c r="G73" i="27"/>
  <c r="AI76" i="27"/>
  <c r="F82" i="27"/>
  <c r="F73" i="27"/>
  <c r="E82" i="27"/>
  <c r="E75" i="27"/>
  <c r="W213" i="27" s="1"/>
  <c r="E73" i="27"/>
  <c r="D73" i="27"/>
  <c r="D75" i="27"/>
  <c r="V213" i="27" s="1"/>
  <c r="AH78" i="27"/>
  <c r="AI77" i="27"/>
  <c r="AH77" i="27"/>
  <c r="AI68" i="27"/>
  <c r="C82" i="27"/>
  <c r="AI38" i="27"/>
  <c r="AI80" i="27"/>
  <c r="AF5" i="27"/>
  <c r="B82" i="27"/>
  <c r="H4" i="27"/>
  <c r="AJ213" i="27"/>
  <c r="R7" i="27"/>
  <c r="Z5" i="27"/>
  <c r="S75" i="27"/>
  <c r="D82" i="27"/>
  <c r="D83" i="27" s="1"/>
  <c r="AH38" i="27"/>
  <c r="C73" i="27"/>
  <c r="C75" i="27" s="1"/>
  <c r="S73" i="27"/>
  <c r="T83" i="27"/>
  <c r="D93" i="27"/>
  <c r="E102" i="27"/>
  <c r="E191" i="27" s="1"/>
  <c r="D7" i="27"/>
  <c r="F75" i="27"/>
  <c r="N75" i="27"/>
  <c r="AF82" i="27"/>
  <c r="E83" i="27"/>
  <c r="G75" i="27"/>
  <c r="O75" i="27"/>
  <c r="O83" i="27" s="1"/>
  <c r="H73" i="27"/>
  <c r="H83" i="27" s="1"/>
  <c r="J75" i="27"/>
  <c r="AH76" i="27"/>
  <c r="G101" i="27"/>
  <c r="P83" i="27"/>
  <c r="I75" i="27"/>
  <c r="Q75" i="27"/>
  <c r="Q83" i="27" s="1"/>
  <c r="AG75" i="27"/>
  <c r="AG83" i="27" s="1"/>
  <c r="L73" i="27"/>
  <c r="L83" i="27" s="1"/>
  <c r="Z75" i="27"/>
  <c r="AH80" i="27"/>
  <c r="K73" i="27"/>
  <c r="K83" i="27" s="1"/>
  <c r="S210" i="27"/>
  <c r="D210" i="27"/>
  <c r="P7" i="27"/>
  <c r="H7" i="27"/>
  <c r="T7" i="27"/>
  <c r="J73" i="27"/>
  <c r="J83" i="27" s="1"/>
  <c r="R73" i="27"/>
  <c r="R83" i="27" s="1"/>
  <c r="Z73" i="27"/>
  <c r="AH68" i="27"/>
  <c r="AH72" i="27"/>
  <c r="AI78" i="27"/>
  <c r="AI79" i="27"/>
  <c r="M83" i="27"/>
  <c r="D191" i="27"/>
  <c r="AH79" i="27"/>
  <c r="H198" i="27"/>
  <c r="E193" i="27"/>
  <c r="Z83" i="27" l="1"/>
  <c r="S83" i="27"/>
  <c r="M7" i="27"/>
  <c r="L7" i="27"/>
  <c r="K7" i="27"/>
  <c r="E7" i="27"/>
  <c r="AH82" i="27"/>
  <c r="AI82" i="27"/>
  <c r="AA213" i="27"/>
  <c r="I7" i="27"/>
  <c r="X213" i="27"/>
  <c r="F7" i="27"/>
  <c r="E199" i="27"/>
  <c r="F193" i="27"/>
  <c r="F83" i="27"/>
  <c r="C83" i="27"/>
  <c r="H101" i="27"/>
  <c r="AG213" i="27"/>
  <c r="O7" i="27"/>
  <c r="I83" i="27"/>
  <c r="Y213" i="27"/>
  <c r="C208" i="27"/>
  <c r="B208" i="27"/>
  <c r="G7" i="27"/>
  <c r="G234" i="27"/>
  <c r="I198" i="27"/>
  <c r="AF213" i="27"/>
  <c r="N7" i="27"/>
  <c r="AI213" i="27"/>
  <c r="Q7" i="27"/>
  <c r="N83" i="27"/>
  <c r="AK213" i="27"/>
  <c r="S7" i="27"/>
  <c r="G83" i="27"/>
  <c r="AR213" i="27"/>
  <c r="Z7" i="27"/>
  <c r="F102" i="27"/>
  <c r="E93" i="27"/>
  <c r="U213" i="27"/>
  <c r="C7" i="27"/>
  <c r="AB213" i="27"/>
  <c r="J7" i="27"/>
  <c r="F93" i="27" l="1"/>
  <c r="G102" i="27"/>
  <c r="F191" i="27"/>
  <c r="G193" i="27"/>
  <c r="F199" i="27"/>
  <c r="H234" i="27"/>
  <c r="J198" i="27"/>
  <c r="I101" i="27"/>
  <c r="K6" i="27"/>
  <c r="H193" i="27" l="1"/>
  <c r="G199" i="27"/>
  <c r="H102" i="27"/>
  <c r="G93" i="27"/>
  <c r="G191" i="27"/>
  <c r="J101" i="27"/>
  <c r="I234" i="27"/>
  <c r="K198" i="27"/>
  <c r="H93" i="27" l="1"/>
  <c r="I102" i="27"/>
  <c r="H191" i="27"/>
  <c r="K101" i="27"/>
  <c r="J234" i="27"/>
  <c r="L198" i="27"/>
  <c r="I193" i="27"/>
  <c r="H199" i="27"/>
  <c r="J193" i="27" l="1"/>
  <c r="I199" i="27"/>
  <c r="I93" i="27"/>
  <c r="J102" i="27"/>
  <c r="I191" i="27"/>
  <c r="K234" i="27"/>
  <c r="M198" i="27"/>
  <c r="L101" i="27"/>
  <c r="L234" i="27" l="1"/>
  <c r="N198" i="27"/>
  <c r="K102" i="27"/>
  <c r="J93" i="27"/>
  <c r="J191" i="27"/>
  <c r="M101" i="27"/>
  <c r="J199" i="27"/>
  <c r="K193" i="27"/>
  <c r="N101" i="27" l="1"/>
  <c r="K93" i="27"/>
  <c r="L102" i="27"/>
  <c r="K191" i="27"/>
  <c r="M234" i="27"/>
  <c r="O198" i="27"/>
  <c r="K199" i="27"/>
  <c r="L193" i="27"/>
  <c r="N234" i="27" l="1"/>
  <c r="P198" i="27"/>
  <c r="O101" i="27"/>
  <c r="L93" i="27"/>
  <c r="M102" i="27"/>
  <c r="L191" i="27"/>
  <c r="L199" i="27"/>
  <c r="M193" i="27"/>
  <c r="N102" i="27" l="1"/>
  <c r="M93" i="27"/>
  <c r="M191" i="27"/>
  <c r="P101" i="27"/>
  <c r="O234" i="27"/>
  <c r="Q198" i="27"/>
  <c r="M199" i="27"/>
  <c r="N193" i="27"/>
  <c r="P234" i="27" l="1"/>
  <c r="R198" i="27"/>
  <c r="Q101" i="27"/>
  <c r="O193" i="27"/>
  <c r="N199" i="27"/>
  <c r="O102" i="27"/>
  <c r="N93" i="27"/>
  <c r="N191" i="27"/>
  <c r="P102" i="27" l="1"/>
  <c r="O93" i="27"/>
  <c r="O191" i="27"/>
  <c r="Q234" i="27"/>
  <c r="S198" i="27"/>
  <c r="P193" i="27"/>
  <c r="O199" i="27"/>
  <c r="R101" i="27"/>
  <c r="P199" i="27" l="1"/>
  <c r="Q193" i="27"/>
  <c r="R234" i="27"/>
  <c r="T198" i="27"/>
  <c r="S101" i="27"/>
  <c r="Q102" i="27"/>
  <c r="P93" i="27"/>
  <c r="P191" i="27"/>
  <c r="Q93" i="27" l="1"/>
  <c r="R102" i="27"/>
  <c r="Q191" i="27"/>
  <c r="S234" i="27"/>
  <c r="U198" i="27"/>
  <c r="R193" i="27"/>
  <c r="Q199" i="27"/>
  <c r="T101" i="27"/>
  <c r="V198" i="27" l="1"/>
  <c r="T234" i="27"/>
  <c r="S102" i="27"/>
  <c r="R93" i="27"/>
  <c r="R191" i="27"/>
  <c r="R199" i="27"/>
  <c r="S193" i="27"/>
  <c r="U101" i="27"/>
  <c r="S199" i="27" l="1"/>
  <c r="T193" i="27"/>
  <c r="T102" i="27"/>
  <c r="S93" i="27"/>
  <c r="S191" i="27"/>
  <c r="V101" i="27"/>
  <c r="U234" i="27"/>
  <c r="W198" i="27"/>
  <c r="T199" i="27" l="1"/>
  <c r="U193" i="27"/>
  <c r="W101" i="27"/>
  <c r="T93" i="27"/>
  <c r="U102" i="27"/>
  <c r="T191" i="27"/>
  <c r="V234" i="27"/>
  <c r="X198" i="27"/>
  <c r="U93" i="27" l="1"/>
  <c r="V102" i="27"/>
  <c r="U191" i="27"/>
  <c r="X101" i="27"/>
  <c r="U199" i="27"/>
  <c r="U51" i="27" s="1"/>
  <c r="U52" i="27" s="1"/>
  <c r="V193" i="27"/>
  <c r="W234" i="27"/>
  <c r="Y198" i="27"/>
  <c r="U75" i="27" l="1"/>
  <c r="U73" i="27"/>
  <c r="Y101" i="27"/>
  <c r="W193" i="27"/>
  <c r="V199" i="27"/>
  <c r="V51" i="27" s="1"/>
  <c r="V52" i="27" s="1"/>
  <c r="W102" i="27"/>
  <c r="V93" i="27"/>
  <c r="V191" i="27"/>
  <c r="X234" i="27"/>
  <c r="Z198" i="27"/>
  <c r="U83" i="27" l="1"/>
  <c r="X102" i="27"/>
  <c r="W93" i="27"/>
  <c r="W191" i="27"/>
  <c r="V73" i="27"/>
  <c r="V75" i="27"/>
  <c r="Y234" i="27"/>
  <c r="AA198" i="27"/>
  <c r="X193" i="27"/>
  <c r="W199" i="27"/>
  <c r="W51" i="27" s="1"/>
  <c r="W52" i="27" s="1"/>
  <c r="Z101" i="27"/>
  <c r="AM213" i="27"/>
  <c r="U7" i="27"/>
  <c r="X199" i="27" l="1"/>
  <c r="X51" i="27" s="1"/>
  <c r="X52" i="27" s="1"/>
  <c r="Y193" i="27"/>
  <c r="Z234" i="27"/>
  <c r="AB198" i="27"/>
  <c r="AA101" i="27"/>
  <c r="AN213" i="27"/>
  <c r="V7" i="27"/>
  <c r="V83" i="27"/>
  <c r="W73" i="27"/>
  <c r="W75" i="27"/>
  <c r="X93" i="27"/>
  <c r="Y102" i="27"/>
  <c r="X191" i="27"/>
  <c r="Z102" i="27" l="1"/>
  <c r="Y191" i="27"/>
  <c r="AO213" i="27"/>
  <c r="W7" i="27"/>
  <c r="AB101" i="27"/>
  <c r="W83" i="27"/>
  <c r="Z193" i="27"/>
  <c r="Y199" i="27"/>
  <c r="AA234" i="27"/>
  <c r="AC198" i="27"/>
  <c r="X75" i="27"/>
  <c r="X73" i="27"/>
  <c r="X83" i="27" s="1"/>
  <c r="AC101" i="27" l="1"/>
  <c r="AP213" i="27"/>
  <c r="X7" i="27"/>
  <c r="AB234" i="27"/>
  <c r="AD198" i="27"/>
  <c r="Z199" i="27"/>
  <c r="AA193" i="27"/>
  <c r="AA102" i="27"/>
  <c r="Z93" i="27"/>
  <c r="Z191" i="27"/>
  <c r="AC234" i="27" l="1"/>
  <c r="AE198" i="27"/>
  <c r="AQ213" i="27"/>
  <c r="Y7" i="27"/>
  <c r="AA93" i="27"/>
  <c r="AB102" i="27"/>
  <c r="AA191" i="27"/>
  <c r="AA199" i="27"/>
  <c r="AA51" i="27" s="1"/>
  <c r="AA52" i="27" s="1"/>
  <c r="AB193" i="27"/>
  <c r="AD101" i="27"/>
  <c r="AD234" i="27" l="1"/>
  <c r="AF198" i="27"/>
  <c r="AB93" i="27"/>
  <c r="AC102" i="27"/>
  <c r="AB191" i="27"/>
  <c r="AE101" i="27"/>
  <c r="AB199" i="27"/>
  <c r="AB51" i="27" s="1"/>
  <c r="AB52" i="27" s="1"/>
  <c r="AC193" i="27"/>
  <c r="AA75" i="27"/>
  <c r="AA73" i="27"/>
  <c r="AA83" i="27" l="1"/>
  <c r="AD102" i="27"/>
  <c r="AC93" i="27"/>
  <c r="AC191" i="27"/>
  <c r="AB75" i="27"/>
  <c r="AB73" i="27"/>
  <c r="AF101" i="27"/>
  <c r="AS213" i="27"/>
  <c r="AA7" i="27"/>
  <c r="AE234" i="27"/>
  <c r="B198" i="27"/>
  <c r="AF234" i="27" s="1"/>
  <c r="AC199" i="27"/>
  <c r="AC51" i="27" s="1"/>
  <c r="AC52" i="27" s="1"/>
  <c r="AD193" i="27"/>
  <c r="AB83" i="27" l="1"/>
  <c r="B101" i="27"/>
  <c r="AE193" i="27"/>
  <c r="AD199" i="27"/>
  <c r="AD51" i="27" s="1"/>
  <c r="AD52" i="27" s="1"/>
  <c r="AC75" i="27"/>
  <c r="AC73" i="27"/>
  <c r="AC83" i="27" s="1"/>
  <c r="AT213" i="27"/>
  <c r="AB7" i="27"/>
  <c r="AD93" i="27"/>
  <c r="AE102" i="27"/>
  <c r="AD191" i="27"/>
  <c r="AF193" i="27" l="1"/>
  <c r="AE199" i="27"/>
  <c r="AE51" i="27" s="1"/>
  <c r="AE52" i="27" s="1"/>
  <c r="AU213" i="27"/>
  <c r="AC7" i="27"/>
  <c r="AF102" i="27"/>
  <c r="AE93" i="27"/>
  <c r="AE191" i="27"/>
  <c r="AD73" i="27"/>
  <c r="AD75" i="27"/>
  <c r="B102" i="27" l="1"/>
  <c r="AF191" i="27"/>
  <c r="AV213" i="27"/>
  <c r="AD7" i="27"/>
  <c r="AE73" i="27"/>
  <c r="AE75" i="27"/>
  <c r="AD83" i="27"/>
  <c r="B193" i="27"/>
  <c r="B199" i="27" s="1"/>
  <c r="AF199" i="27"/>
  <c r="AF51" i="27" s="1"/>
  <c r="AF52" i="27" s="1"/>
  <c r="AW213" i="27" l="1"/>
  <c r="AE7" i="27"/>
  <c r="AE83" i="27"/>
  <c r="AF73" i="27"/>
  <c r="AF75" i="27"/>
  <c r="AI93" i="27"/>
  <c r="AH93" i="27"/>
  <c r="B52" i="27"/>
  <c r="AI51" i="27"/>
  <c r="AH51" i="27"/>
  <c r="B93" i="27"/>
  <c r="B191" i="27"/>
  <c r="AH52" i="27" l="1"/>
  <c r="AI52" i="27"/>
  <c r="B75" i="27"/>
  <c r="B73" i="27"/>
  <c r="AX213" i="27"/>
  <c r="AF7" i="27"/>
  <c r="AF83" i="27"/>
  <c r="AI73" i="27" l="1"/>
  <c r="AH73" i="27"/>
  <c r="B83" i="27"/>
  <c r="T213" i="27"/>
  <c r="B7" i="27"/>
  <c r="A7" i="27" s="1"/>
  <c r="AI75" i="27"/>
  <c r="AH75" i="27"/>
  <c r="AI83" i="27" l="1"/>
  <c r="AH83" i="27"/>
  <c r="P37" i="26" l="1"/>
  <c r="O37" i="26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0" i="25"/>
  <c r="AH71" i="25"/>
  <c r="AH72" i="25"/>
  <c r="AH73" i="25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H90" i="25"/>
  <c r="AH91" i="25"/>
  <c r="AH93" i="25"/>
  <c r="AH94" i="25"/>
  <c r="AH95" i="25"/>
  <c r="AH96" i="25"/>
  <c r="AH97" i="25"/>
  <c r="AH98" i="25"/>
  <c r="AH99" i="25"/>
  <c r="N37" i="26" l="1"/>
  <c r="M37" i="26"/>
  <c r="D95" i="26"/>
  <c r="D37" i="26"/>
  <c r="AH99" i="26"/>
  <c r="AI99" i="26" s="1"/>
  <c r="C95" i="26"/>
  <c r="C37" i="26"/>
  <c r="B95" i="26"/>
  <c r="B37" i="26"/>
  <c r="B93" i="26"/>
  <c r="B80" i="26"/>
  <c r="B79" i="26"/>
  <c r="B78" i="26"/>
  <c r="B77" i="26"/>
  <c r="B76" i="26"/>
  <c r="B72" i="26"/>
  <c r="B68" i="26"/>
  <c r="B56" i="26"/>
  <c r="B52" i="26"/>
  <c r="B51" i="26"/>
  <c r="B38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B234" i="26"/>
  <c r="S209" i="26"/>
  <c r="AG199" i="26"/>
  <c r="D199" i="26"/>
  <c r="C199" i="26"/>
  <c r="D198" i="26"/>
  <c r="C234" i="26" s="1"/>
  <c r="L197" i="26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D197" i="26"/>
  <c r="E197" i="26" s="1"/>
  <c r="F197" i="26" s="1"/>
  <c r="G197" i="26" s="1"/>
  <c r="H197" i="26" s="1"/>
  <c r="I197" i="26" s="1"/>
  <c r="J197" i="26" s="1"/>
  <c r="K197" i="26" s="1"/>
  <c r="T196" i="26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J196" i="26"/>
  <c r="K196" i="26" s="1"/>
  <c r="L196" i="26" s="1"/>
  <c r="M196" i="26" s="1"/>
  <c r="N196" i="26" s="1"/>
  <c r="O196" i="26" s="1"/>
  <c r="P196" i="26" s="1"/>
  <c r="Q196" i="26" s="1"/>
  <c r="R196" i="26" s="1"/>
  <c r="S196" i="26" s="1"/>
  <c r="D196" i="26"/>
  <c r="E196" i="26" s="1"/>
  <c r="F196" i="26" s="1"/>
  <c r="G196" i="26" s="1"/>
  <c r="H196" i="26" s="1"/>
  <c r="I196" i="26" s="1"/>
  <c r="H195" i="26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E195" i="26"/>
  <c r="F195" i="26" s="1"/>
  <c r="G195" i="26" s="1"/>
  <c r="D195" i="26"/>
  <c r="AD194" i="26"/>
  <c r="AE194" i="26" s="1"/>
  <c r="AF194" i="26" s="1"/>
  <c r="B194" i="26" s="1"/>
  <c r="D194" i="26"/>
  <c r="E194" i="26" s="1"/>
  <c r="F194" i="26" s="1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E193" i="26"/>
  <c r="D193" i="26"/>
  <c r="AG191" i="26"/>
  <c r="C191" i="26"/>
  <c r="P190" i="26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H190" i="26"/>
  <c r="I190" i="26" s="1"/>
  <c r="J190" i="26" s="1"/>
  <c r="K190" i="26" s="1"/>
  <c r="L190" i="26" s="1"/>
  <c r="M190" i="26" s="1"/>
  <c r="N190" i="26" s="1"/>
  <c r="O190" i="26" s="1"/>
  <c r="D190" i="26"/>
  <c r="E190" i="26" s="1"/>
  <c r="F190" i="26" s="1"/>
  <c r="G190" i="26" s="1"/>
  <c r="P189" i="26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J189" i="26"/>
  <c r="K189" i="26" s="1"/>
  <c r="L189" i="26" s="1"/>
  <c r="M189" i="26" s="1"/>
  <c r="N189" i="26" s="1"/>
  <c r="O189" i="26" s="1"/>
  <c r="E189" i="26"/>
  <c r="F189" i="26" s="1"/>
  <c r="G189" i="26" s="1"/>
  <c r="H189" i="26" s="1"/>
  <c r="I189" i="26" s="1"/>
  <c r="D189" i="26"/>
  <c r="E188" i="26"/>
  <c r="F188" i="26" s="1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D188" i="26"/>
  <c r="M187" i="26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I187" i="26"/>
  <c r="J187" i="26" s="1"/>
  <c r="K187" i="26" s="1"/>
  <c r="L187" i="26" s="1"/>
  <c r="D187" i="26"/>
  <c r="E187" i="26" s="1"/>
  <c r="F187" i="26" s="1"/>
  <c r="G187" i="26" s="1"/>
  <c r="H187" i="26" s="1"/>
  <c r="Q186" i="26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I186" i="26"/>
  <c r="J186" i="26" s="1"/>
  <c r="K186" i="26" s="1"/>
  <c r="L186" i="26" s="1"/>
  <c r="M186" i="26" s="1"/>
  <c r="N186" i="26" s="1"/>
  <c r="O186" i="26" s="1"/>
  <c r="P186" i="26" s="1"/>
  <c r="G186" i="26"/>
  <c r="H186" i="26" s="1"/>
  <c r="D186" i="26"/>
  <c r="E186" i="26" s="1"/>
  <c r="F186" i="26" s="1"/>
  <c r="F185" i="26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E185" i="26"/>
  <c r="D185" i="26"/>
  <c r="AD184" i="26"/>
  <c r="AE184" i="26" s="1"/>
  <c r="AF184" i="26" s="1"/>
  <c r="B184" i="26" s="1"/>
  <c r="D184" i="26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D183" i="26"/>
  <c r="E183" i="26" s="1"/>
  <c r="F183" i="26" s="1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U181" i="26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B181" i="26" s="1"/>
  <c r="E181" i="26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D181" i="26"/>
  <c r="AF180" i="26"/>
  <c r="B180" i="26" s="1"/>
  <c r="N180" i="26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H180" i="26"/>
  <c r="I180" i="26" s="1"/>
  <c r="J180" i="26" s="1"/>
  <c r="K180" i="26" s="1"/>
  <c r="L180" i="26" s="1"/>
  <c r="M180" i="26" s="1"/>
  <c r="D180" i="26"/>
  <c r="E180" i="26" s="1"/>
  <c r="F180" i="26" s="1"/>
  <c r="G180" i="26" s="1"/>
  <c r="E179" i="26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D179" i="26"/>
  <c r="Q178" i="26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B178" i="26" s="1"/>
  <c r="E178" i="26"/>
  <c r="F178" i="26" s="1"/>
  <c r="G178" i="26" s="1"/>
  <c r="H178" i="26" s="1"/>
  <c r="I178" i="26" s="1"/>
  <c r="J178" i="26" s="1"/>
  <c r="K178" i="26" s="1"/>
  <c r="L178" i="26" s="1"/>
  <c r="M178" i="26" s="1"/>
  <c r="N178" i="26" s="1"/>
  <c r="O178" i="26" s="1"/>
  <c r="P178" i="26" s="1"/>
  <c r="D178" i="26"/>
  <c r="F176" i="26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D176" i="26"/>
  <c r="E176" i="26" s="1"/>
  <c r="Q175" i="26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D175" i="26"/>
  <c r="E175" i="26" s="1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K174" i="26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F174" i="26"/>
  <c r="G174" i="26" s="1"/>
  <c r="H174" i="26" s="1"/>
  <c r="I174" i="26" s="1"/>
  <c r="J174" i="26" s="1"/>
  <c r="D174" i="26"/>
  <c r="E174" i="26" s="1"/>
  <c r="F173" i="26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D173" i="26"/>
  <c r="E173" i="26" s="1"/>
  <c r="AA172" i="26"/>
  <c r="AB172" i="26" s="1"/>
  <c r="AC172" i="26" s="1"/>
  <c r="AD172" i="26" s="1"/>
  <c r="AE172" i="26" s="1"/>
  <c r="AF172" i="26" s="1"/>
  <c r="B172" i="26" s="1"/>
  <c r="T172" i="26"/>
  <c r="U172" i="26" s="1"/>
  <c r="V172" i="26" s="1"/>
  <c r="W172" i="26" s="1"/>
  <c r="X172" i="26" s="1"/>
  <c r="Y172" i="26" s="1"/>
  <c r="Z172" i="26" s="1"/>
  <c r="R172" i="26"/>
  <c r="S172" i="26" s="1"/>
  <c r="I172" i="26"/>
  <c r="J172" i="26" s="1"/>
  <c r="K172" i="26" s="1"/>
  <c r="L172" i="26" s="1"/>
  <c r="M172" i="26" s="1"/>
  <c r="N172" i="26" s="1"/>
  <c r="O172" i="26" s="1"/>
  <c r="P172" i="26" s="1"/>
  <c r="Q172" i="26" s="1"/>
  <c r="G172" i="26"/>
  <c r="H172" i="26" s="1"/>
  <c r="F172" i="26"/>
  <c r="D172" i="26"/>
  <c r="E172" i="26" s="1"/>
  <c r="X171" i="26"/>
  <c r="Y171" i="26" s="1"/>
  <c r="Z171" i="26" s="1"/>
  <c r="AA171" i="26" s="1"/>
  <c r="AB171" i="26" s="1"/>
  <c r="AC171" i="26" s="1"/>
  <c r="AD171" i="26" s="1"/>
  <c r="AE171" i="26" s="1"/>
  <c r="AF171" i="26" s="1"/>
  <c r="B171" i="26" s="1"/>
  <c r="R171" i="26"/>
  <c r="S171" i="26" s="1"/>
  <c r="T171" i="26" s="1"/>
  <c r="U171" i="26" s="1"/>
  <c r="V171" i="26" s="1"/>
  <c r="W171" i="26" s="1"/>
  <c r="O171" i="26"/>
  <c r="P171" i="26" s="1"/>
  <c r="Q171" i="26" s="1"/>
  <c r="G171" i="26"/>
  <c r="H171" i="26" s="1"/>
  <c r="I171" i="26" s="1"/>
  <c r="J171" i="26" s="1"/>
  <c r="K171" i="26" s="1"/>
  <c r="L171" i="26" s="1"/>
  <c r="M171" i="26" s="1"/>
  <c r="N171" i="26" s="1"/>
  <c r="F171" i="26"/>
  <c r="D171" i="26"/>
  <c r="E171" i="26" s="1"/>
  <c r="AF170" i="26"/>
  <c r="B170" i="26" s="1"/>
  <c r="U170" i="26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P170" i="26"/>
  <c r="Q170" i="26" s="1"/>
  <c r="R170" i="26" s="1"/>
  <c r="S170" i="26" s="1"/>
  <c r="T170" i="26" s="1"/>
  <c r="M170" i="26"/>
  <c r="N170" i="26" s="1"/>
  <c r="O170" i="26" s="1"/>
  <c r="E170" i="26"/>
  <c r="F170" i="26" s="1"/>
  <c r="G170" i="26" s="1"/>
  <c r="H170" i="26" s="1"/>
  <c r="I170" i="26" s="1"/>
  <c r="J170" i="26" s="1"/>
  <c r="K170" i="26" s="1"/>
  <c r="L170" i="26" s="1"/>
  <c r="D170" i="26"/>
  <c r="AD169" i="26"/>
  <c r="AE169" i="26" s="1"/>
  <c r="AF169" i="26" s="1"/>
  <c r="B169" i="26" s="1"/>
  <c r="R169" i="26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P169" i="26"/>
  <c r="Q169" i="26" s="1"/>
  <c r="J169" i="26"/>
  <c r="K169" i="26" s="1"/>
  <c r="L169" i="26" s="1"/>
  <c r="M169" i="26" s="1"/>
  <c r="N169" i="26" s="1"/>
  <c r="O169" i="26" s="1"/>
  <c r="F169" i="26"/>
  <c r="G169" i="26" s="1"/>
  <c r="H169" i="26" s="1"/>
  <c r="I169" i="26" s="1"/>
  <c r="E169" i="26"/>
  <c r="D169" i="26"/>
  <c r="X167" i="26"/>
  <c r="Y167" i="26" s="1"/>
  <c r="Z167" i="26" s="1"/>
  <c r="AA167" i="26" s="1"/>
  <c r="AB167" i="26" s="1"/>
  <c r="AC167" i="26" s="1"/>
  <c r="AD167" i="26" s="1"/>
  <c r="AE167" i="26" s="1"/>
  <c r="AF167" i="26" s="1"/>
  <c r="B167" i="26" s="1"/>
  <c r="Q167" i="26"/>
  <c r="R167" i="26" s="1"/>
  <c r="S167" i="26" s="1"/>
  <c r="T167" i="26" s="1"/>
  <c r="U167" i="26" s="1"/>
  <c r="V167" i="26" s="1"/>
  <c r="W167" i="26" s="1"/>
  <c r="M167" i="26"/>
  <c r="N167" i="26" s="1"/>
  <c r="O167" i="26" s="1"/>
  <c r="P167" i="26" s="1"/>
  <c r="L167" i="26"/>
  <c r="E167" i="26"/>
  <c r="F167" i="26" s="1"/>
  <c r="G167" i="26" s="1"/>
  <c r="H167" i="26" s="1"/>
  <c r="I167" i="26" s="1"/>
  <c r="J167" i="26" s="1"/>
  <c r="K167" i="26" s="1"/>
  <c r="D167" i="26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D165" i="26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F164" i="26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E164" i="26"/>
  <c r="D164" i="26"/>
  <c r="Q163" i="26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I163" i="26"/>
  <c r="J163" i="26" s="1"/>
  <c r="K163" i="26" s="1"/>
  <c r="L163" i="26" s="1"/>
  <c r="M163" i="26" s="1"/>
  <c r="N163" i="26" s="1"/>
  <c r="O163" i="26" s="1"/>
  <c r="P163" i="26" s="1"/>
  <c r="H163" i="26"/>
  <c r="D163" i="26"/>
  <c r="E163" i="26" s="1"/>
  <c r="F163" i="26" s="1"/>
  <c r="G163" i="26" s="1"/>
  <c r="U162" i="26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E162" i="26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D162" i="26"/>
  <c r="O161" i="26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K161" i="26"/>
  <c r="L161" i="26" s="1"/>
  <c r="M161" i="26" s="1"/>
  <c r="N161" i="26" s="1"/>
  <c r="G161" i="26"/>
  <c r="H161" i="26" s="1"/>
  <c r="I161" i="26" s="1"/>
  <c r="J161" i="26" s="1"/>
  <c r="D161" i="26"/>
  <c r="E161" i="26" s="1"/>
  <c r="F161" i="26" s="1"/>
  <c r="J160" i="26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G160" i="26"/>
  <c r="H160" i="26" s="1"/>
  <c r="I160" i="26" s="1"/>
  <c r="E160" i="26"/>
  <c r="F160" i="26" s="1"/>
  <c r="D160" i="26"/>
  <c r="K159" i="26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G159" i="26"/>
  <c r="H159" i="26" s="1"/>
  <c r="I159" i="26" s="1"/>
  <c r="J159" i="26" s="1"/>
  <c r="E159" i="26"/>
  <c r="F159" i="26" s="1"/>
  <c r="D159" i="26"/>
  <c r="AC158" i="26"/>
  <c r="AD158" i="26" s="1"/>
  <c r="AE158" i="26" s="1"/>
  <c r="AF158" i="26" s="1"/>
  <c r="B158" i="26" s="1"/>
  <c r="K158" i="26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H158" i="26"/>
  <c r="I158" i="26" s="1"/>
  <c r="J158" i="26" s="1"/>
  <c r="F158" i="26"/>
  <c r="G158" i="26" s="1"/>
  <c r="E158" i="26"/>
  <c r="D158" i="26"/>
  <c r="D157" i="26"/>
  <c r="E157" i="26" s="1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I156" i="26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E156" i="26"/>
  <c r="F156" i="26" s="1"/>
  <c r="G156" i="26" s="1"/>
  <c r="H156" i="26" s="1"/>
  <c r="D156" i="26"/>
  <c r="J155" i="26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B155" i="26" s="1"/>
  <c r="H155" i="26"/>
  <c r="I155" i="26" s="1"/>
  <c r="G155" i="26"/>
  <c r="E155" i="26"/>
  <c r="F155" i="26" s="1"/>
  <c r="D155" i="26"/>
  <c r="U153" i="26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P153" i="26"/>
  <c r="Q153" i="26" s="1"/>
  <c r="R153" i="26" s="1"/>
  <c r="S153" i="26" s="1"/>
  <c r="T153" i="26" s="1"/>
  <c r="F153" i="26"/>
  <c r="G153" i="26" s="1"/>
  <c r="H153" i="26" s="1"/>
  <c r="I153" i="26" s="1"/>
  <c r="J153" i="26" s="1"/>
  <c r="K153" i="26" s="1"/>
  <c r="L153" i="26" s="1"/>
  <c r="M153" i="26" s="1"/>
  <c r="N153" i="26" s="1"/>
  <c r="O153" i="26" s="1"/>
  <c r="E153" i="26"/>
  <c r="D153" i="26"/>
  <c r="I152" i="26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G152" i="26"/>
  <c r="H152" i="26" s="1"/>
  <c r="F152" i="26"/>
  <c r="D152" i="26"/>
  <c r="E152" i="26" s="1"/>
  <c r="Z151" i="26"/>
  <c r="AA151" i="26" s="1"/>
  <c r="AB151" i="26" s="1"/>
  <c r="AC151" i="26" s="1"/>
  <c r="AD151" i="26" s="1"/>
  <c r="AE151" i="26" s="1"/>
  <c r="AF151" i="26" s="1"/>
  <c r="B151" i="26" s="1"/>
  <c r="E151" i="26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D151" i="26"/>
  <c r="U150" i="26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B150" i="26" s="1"/>
  <c r="E150" i="26"/>
  <c r="F150" i="26" s="1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D150" i="26"/>
  <c r="X148" i="26"/>
  <c r="Y148" i="26" s="1"/>
  <c r="Z148" i="26" s="1"/>
  <c r="AA148" i="26" s="1"/>
  <c r="AB148" i="26" s="1"/>
  <c r="AC148" i="26" s="1"/>
  <c r="AD148" i="26" s="1"/>
  <c r="AE148" i="26" s="1"/>
  <c r="AF148" i="26" s="1"/>
  <c r="B148" i="26" s="1"/>
  <c r="E148" i="26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D148" i="26"/>
  <c r="V147" i="26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B147" i="26" s="1"/>
  <c r="G147" i="26"/>
  <c r="H147" i="26" s="1"/>
  <c r="I147" i="26" s="1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D147" i="26"/>
  <c r="E147" i="26" s="1"/>
  <c r="F147" i="26" s="1"/>
  <c r="X145" i="26"/>
  <c r="Y145" i="26" s="1"/>
  <c r="Z145" i="26" s="1"/>
  <c r="AA145" i="26" s="1"/>
  <c r="AB145" i="26" s="1"/>
  <c r="AC145" i="26" s="1"/>
  <c r="AD145" i="26" s="1"/>
  <c r="AE145" i="26" s="1"/>
  <c r="AF145" i="26" s="1"/>
  <c r="B145" i="26" s="1"/>
  <c r="H145" i="26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D145" i="26"/>
  <c r="E145" i="26" s="1"/>
  <c r="F145" i="26" s="1"/>
  <c r="G145" i="26" s="1"/>
  <c r="N144" i="26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D144" i="26"/>
  <c r="E144" i="26" s="1"/>
  <c r="F144" i="26" s="1"/>
  <c r="G144" i="26" s="1"/>
  <c r="H144" i="26" s="1"/>
  <c r="I144" i="26" s="1"/>
  <c r="J144" i="26" s="1"/>
  <c r="K144" i="26" s="1"/>
  <c r="L144" i="26" s="1"/>
  <c r="M144" i="26" s="1"/>
  <c r="W143" i="26"/>
  <c r="X143" i="26" s="1"/>
  <c r="Y143" i="26" s="1"/>
  <c r="Z143" i="26" s="1"/>
  <c r="AA143" i="26" s="1"/>
  <c r="AB143" i="26" s="1"/>
  <c r="AC143" i="26" s="1"/>
  <c r="AD143" i="26" s="1"/>
  <c r="AE143" i="26" s="1"/>
  <c r="AF143" i="26" s="1"/>
  <c r="B143" i="26" s="1"/>
  <c r="G143" i="26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D143" i="26"/>
  <c r="E143" i="26" s="1"/>
  <c r="F143" i="26" s="1"/>
  <c r="D142" i="26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F141" i="26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E141" i="26"/>
  <c r="D141" i="26"/>
  <c r="F140" i="26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D140" i="26"/>
  <c r="E140" i="26" s="1"/>
  <c r="D139" i="26"/>
  <c r="E139" i="26" s="1"/>
  <c r="F139" i="26" s="1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B139" i="26" s="1"/>
  <c r="D137" i="26"/>
  <c r="E137" i="26" s="1"/>
  <c r="F137" i="26" s="1"/>
  <c r="G137" i="26" s="1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AD136" i="26"/>
  <c r="AE136" i="26" s="1"/>
  <c r="AF136" i="26" s="1"/>
  <c r="B136" i="26" s="1"/>
  <c r="V136" i="26"/>
  <c r="W136" i="26" s="1"/>
  <c r="X136" i="26" s="1"/>
  <c r="Y136" i="26" s="1"/>
  <c r="Z136" i="26" s="1"/>
  <c r="AA136" i="26" s="1"/>
  <c r="AB136" i="26" s="1"/>
  <c r="AC136" i="26" s="1"/>
  <c r="F136" i="26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E136" i="26"/>
  <c r="D136" i="26"/>
  <c r="D135" i="26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B135" i="26" s="1"/>
  <c r="D134" i="26"/>
  <c r="E134" i="26" s="1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D133" i="26"/>
  <c r="E133" i="26" s="1"/>
  <c r="F133" i="26" s="1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F132" i="26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E132" i="26"/>
  <c r="D132" i="26"/>
  <c r="X131" i="26"/>
  <c r="Y131" i="26" s="1"/>
  <c r="Z131" i="26" s="1"/>
  <c r="AA131" i="26" s="1"/>
  <c r="AB131" i="26" s="1"/>
  <c r="AC131" i="26" s="1"/>
  <c r="AD131" i="26" s="1"/>
  <c r="AE131" i="26" s="1"/>
  <c r="AF131" i="26" s="1"/>
  <c r="B131" i="26" s="1"/>
  <c r="S131" i="26"/>
  <c r="T131" i="26" s="1"/>
  <c r="U131" i="26" s="1"/>
  <c r="V131" i="26" s="1"/>
  <c r="W131" i="26" s="1"/>
  <c r="K131" i="26"/>
  <c r="L131" i="26" s="1"/>
  <c r="M131" i="26" s="1"/>
  <c r="N131" i="26" s="1"/>
  <c r="O131" i="26" s="1"/>
  <c r="P131" i="26" s="1"/>
  <c r="Q131" i="26" s="1"/>
  <c r="R131" i="26" s="1"/>
  <c r="F131" i="26"/>
  <c r="G131" i="26" s="1"/>
  <c r="H131" i="26" s="1"/>
  <c r="I131" i="26" s="1"/>
  <c r="J131" i="26" s="1"/>
  <c r="D131" i="26"/>
  <c r="E131" i="26" s="1"/>
  <c r="J130" i="26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B130" i="26" s="1"/>
  <c r="D130" i="26"/>
  <c r="E130" i="26" s="1"/>
  <c r="F130" i="26" s="1"/>
  <c r="G130" i="26" s="1"/>
  <c r="H130" i="26" s="1"/>
  <c r="I130" i="26" s="1"/>
  <c r="I128" i="26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B128" i="26" s="1"/>
  <c r="E128" i="26"/>
  <c r="F128" i="26" s="1"/>
  <c r="G128" i="26" s="1"/>
  <c r="H128" i="26" s="1"/>
  <c r="D128" i="26"/>
  <c r="H127" i="26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E127" i="26"/>
  <c r="F127" i="26" s="1"/>
  <c r="G127" i="26" s="1"/>
  <c r="D127" i="26"/>
  <c r="J126" i="26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B126" i="26" s="1"/>
  <c r="H126" i="26"/>
  <c r="I126" i="26" s="1"/>
  <c r="E126" i="26"/>
  <c r="F126" i="26" s="1"/>
  <c r="G126" i="26" s="1"/>
  <c r="D126" i="26"/>
  <c r="H125" i="26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E125" i="26"/>
  <c r="F125" i="26" s="1"/>
  <c r="G125" i="26" s="1"/>
  <c r="D125" i="26"/>
  <c r="E124" i="26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D124" i="26"/>
  <c r="M123" i="26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J123" i="26"/>
  <c r="K123" i="26" s="1"/>
  <c r="L123" i="26" s="1"/>
  <c r="H123" i="26"/>
  <c r="I123" i="26" s="1"/>
  <c r="D123" i="26"/>
  <c r="E123" i="26" s="1"/>
  <c r="F123" i="26" s="1"/>
  <c r="G123" i="26" s="1"/>
  <c r="G122" i="26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E122" i="26"/>
  <c r="F122" i="26" s="1"/>
  <c r="D122" i="26"/>
  <c r="K121" i="26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H121" i="26"/>
  <c r="I121" i="26" s="1"/>
  <c r="J121" i="26" s="1"/>
  <c r="G121" i="26"/>
  <c r="E121" i="26"/>
  <c r="F121" i="26" s="1"/>
  <c r="D121" i="26"/>
  <c r="G120" i="26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D120" i="26"/>
  <c r="E120" i="26" s="1"/>
  <c r="F120" i="26" s="1"/>
  <c r="D119" i="26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M118" i="26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I118" i="26"/>
  <c r="J118" i="26" s="1"/>
  <c r="K118" i="26" s="1"/>
  <c r="L118" i="26" s="1"/>
  <c r="G118" i="26"/>
  <c r="H118" i="26" s="1"/>
  <c r="F118" i="26"/>
  <c r="E118" i="26"/>
  <c r="D118" i="26"/>
  <c r="I117" i="26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G117" i="26"/>
  <c r="H117" i="26" s="1"/>
  <c r="D117" i="26"/>
  <c r="E117" i="26" s="1"/>
  <c r="F117" i="26" s="1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E115" i="26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D115" i="26"/>
  <c r="F114" i="26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D114" i="26"/>
  <c r="E114" i="26" s="1"/>
  <c r="Q113" i="26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O113" i="26"/>
  <c r="P113" i="26" s="1"/>
  <c r="N113" i="26"/>
  <c r="L113" i="26"/>
  <c r="M113" i="26" s="1"/>
  <c r="K113" i="26"/>
  <c r="F113" i="26"/>
  <c r="G113" i="26" s="1"/>
  <c r="H113" i="26" s="1"/>
  <c r="I113" i="26" s="1"/>
  <c r="E113" i="26"/>
  <c r="D113" i="26"/>
  <c r="F112" i="26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D112" i="26"/>
  <c r="E112" i="26" s="1"/>
  <c r="D111" i="26"/>
  <c r="E111" i="26" s="1"/>
  <c r="F111" i="26" s="1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B111" i="26" s="1"/>
  <c r="G109" i="26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E109" i="26"/>
  <c r="F109" i="26" s="1"/>
  <c r="D109" i="26"/>
  <c r="F108" i="26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B108" i="26" s="1"/>
  <c r="E108" i="26"/>
  <c r="D108" i="26"/>
  <c r="D106" i="26"/>
  <c r="E106" i="26" s="1"/>
  <c r="F106" i="26" s="1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D105" i="26"/>
  <c r="E105" i="26" s="1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D104" i="26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H103" i="26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B103" i="26" s="1"/>
  <c r="F103" i="26"/>
  <c r="G103" i="26" s="1"/>
  <c r="E103" i="26"/>
  <c r="D103" i="26"/>
  <c r="G102" i="26"/>
  <c r="H102" i="26" s="1"/>
  <c r="F102" i="26"/>
  <c r="D102" i="26"/>
  <c r="E102" i="26" s="1"/>
  <c r="E101" i="26"/>
  <c r="D101" i="26"/>
  <c r="AH98" i="26"/>
  <c r="AI98" i="26" s="1"/>
  <c r="AH97" i="26"/>
  <c r="AI97" i="26" s="1"/>
  <c r="AH96" i="26"/>
  <c r="AI96" i="26" s="1"/>
  <c r="AH95" i="26"/>
  <c r="AI95" i="26" s="1"/>
  <c r="AH94" i="26"/>
  <c r="AI94" i="26" s="1"/>
  <c r="D93" i="26"/>
  <c r="C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G82" i="26"/>
  <c r="N82" i="26"/>
  <c r="AI81" i="26"/>
  <c r="AH81" i="26"/>
  <c r="AF80" i="26"/>
  <c r="AE80" i="26"/>
  <c r="AD80" i="26"/>
  <c r="AC80" i="26"/>
  <c r="AB80" i="26"/>
  <c r="AA80" i="26"/>
  <c r="Z80" i="26"/>
  <c r="Y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AF79" i="26"/>
  <c r="AE79" i="26"/>
  <c r="AD79" i="26"/>
  <c r="AC79" i="26"/>
  <c r="AB79" i="26"/>
  <c r="AA79" i="26"/>
  <c r="Z79" i="26"/>
  <c r="Y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AF78" i="26"/>
  <c r="AE78" i="26"/>
  <c r="AD78" i="26"/>
  <c r="AC78" i="26"/>
  <c r="AB78" i="26"/>
  <c r="AA78" i="26"/>
  <c r="Z78" i="26"/>
  <c r="Y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J82" i="26" s="1"/>
  <c r="I78" i="26"/>
  <c r="H78" i="26"/>
  <c r="G78" i="26"/>
  <c r="F78" i="26"/>
  <c r="E78" i="26"/>
  <c r="D78" i="26"/>
  <c r="C78" i="26"/>
  <c r="AF77" i="26"/>
  <c r="AE77" i="26"/>
  <c r="AD77" i="26"/>
  <c r="AC77" i="26"/>
  <c r="AB77" i="26"/>
  <c r="AA77" i="26"/>
  <c r="Z77" i="26"/>
  <c r="Y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AF76" i="26"/>
  <c r="AE76" i="26"/>
  <c r="AE82" i="26" s="1"/>
  <c r="AD76" i="26"/>
  <c r="AC76" i="26"/>
  <c r="AB76" i="26"/>
  <c r="AA76" i="26"/>
  <c r="Z76" i="26"/>
  <c r="Y76" i="26"/>
  <c r="Y82" i="26" s="1"/>
  <c r="W76" i="26"/>
  <c r="W82" i="26" s="1"/>
  <c r="V76" i="26"/>
  <c r="U76" i="26"/>
  <c r="T76" i="26"/>
  <c r="S76" i="26"/>
  <c r="S82" i="26" s="1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AI74" i="26"/>
  <c r="AH74" i="26"/>
  <c r="AG72" i="26"/>
  <c r="AF72" i="26"/>
  <c r="AE72" i="26"/>
  <c r="AD72" i="26"/>
  <c r="AC72" i="26"/>
  <c r="AB72" i="26"/>
  <c r="AA72" i="26"/>
  <c r="Z72" i="26"/>
  <c r="Y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AI72" i="26" s="1"/>
  <c r="AI71" i="26"/>
  <c r="AH71" i="26"/>
  <c r="AI70" i="26"/>
  <c r="AH70" i="26"/>
  <c r="AI69" i="26"/>
  <c r="AH69" i="26"/>
  <c r="AG68" i="26"/>
  <c r="AG73" i="26" s="1"/>
  <c r="AF68" i="26"/>
  <c r="AE5" i="26" s="1"/>
  <c r="AE68" i="26"/>
  <c r="AD68" i="26"/>
  <c r="AC5" i="26" s="1"/>
  <c r="AC68" i="26"/>
  <c r="AB68" i="26"/>
  <c r="AA5" i="26" s="1"/>
  <c r="AA68" i="26"/>
  <c r="Z68" i="26"/>
  <c r="Y5" i="26" s="1"/>
  <c r="Y68" i="26"/>
  <c r="W68" i="26"/>
  <c r="V5" i="26" s="1"/>
  <c r="V68" i="26"/>
  <c r="U5" i="26" s="1"/>
  <c r="U68" i="26"/>
  <c r="T68" i="26"/>
  <c r="S5" i="26" s="1"/>
  <c r="S68" i="26"/>
  <c r="R5" i="26" s="1"/>
  <c r="R68" i="26"/>
  <c r="Q5" i="26" s="1"/>
  <c r="Q68" i="26"/>
  <c r="P68" i="26"/>
  <c r="O68" i="26"/>
  <c r="N5" i="26" s="1"/>
  <c r="N68" i="26"/>
  <c r="M5" i="26" s="1"/>
  <c r="M68" i="26"/>
  <c r="L68" i="26"/>
  <c r="K68" i="26"/>
  <c r="J5" i="26" s="1"/>
  <c r="J68" i="26"/>
  <c r="I68" i="26"/>
  <c r="H68" i="26"/>
  <c r="G68" i="26"/>
  <c r="F68" i="26"/>
  <c r="E5" i="26" s="1"/>
  <c r="E68" i="26"/>
  <c r="D68" i="26"/>
  <c r="C5" i="26" s="1"/>
  <c r="C68" i="26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I55" i="26"/>
  <c r="AH55" i="26"/>
  <c r="AI54" i="26"/>
  <c r="AH54" i="26"/>
  <c r="AI53" i="26"/>
  <c r="AH53" i="26"/>
  <c r="AG52" i="26"/>
  <c r="Z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G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F38" i="26"/>
  <c r="AE38" i="26"/>
  <c r="AD38" i="26"/>
  <c r="AC38" i="26"/>
  <c r="AB38" i="26"/>
  <c r="AA38" i="26"/>
  <c r="Z38" i="26"/>
  <c r="Y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D5" i="26"/>
  <c r="Z5" i="26"/>
  <c r="W5" i="26"/>
  <c r="O5" i="26"/>
  <c r="K5" i="26"/>
  <c r="I5" i="26"/>
  <c r="G5" i="26"/>
  <c r="F5" i="26"/>
  <c r="B5" i="26"/>
  <c r="AG4" i="26"/>
  <c r="K4" i="26"/>
  <c r="B4" i="26"/>
  <c r="AG3" i="26"/>
  <c r="AG2" i="26"/>
  <c r="AG6" i="26" s="1"/>
  <c r="AF96" i="25"/>
  <c r="AF37" i="25"/>
  <c r="AE95" i="25"/>
  <c r="AE37" i="25"/>
  <c r="R95" i="25"/>
  <c r="R37" i="25"/>
  <c r="E4" i="26"/>
  <c r="AF82" i="26" l="1"/>
  <c r="AD82" i="26"/>
  <c r="AC82" i="26"/>
  <c r="AB82" i="26"/>
  <c r="AA82" i="26"/>
  <c r="Z82" i="26"/>
  <c r="Z73" i="26"/>
  <c r="AH78" i="26"/>
  <c r="V82" i="26"/>
  <c r="U82" i="26"/>
  <c r="T82" i="26"/>
  <c r="T73" i="26"/>
  <c r="S73" i="26"/>
  <c r="S75" i="26"/>
  <c r="AK213" i="26" s="1"/>
  <c r="R82" i="26"/>
  <c r="R73" i="26"/>
  <c r="AI76" i="26"/>
  <c r="Q82" i="26"/>
  <c r="Q73" i="26"/>
  <c r="P82" i="26"/>
  <c r="P75" i="26"/>
  <c r="P73" i="26"/>
  <c r="O82" i="26"/>
  <c r="O75" i="26"/>
  <c r="AG213" i="26" s="1"/>
  <c r="O73" i="26"/>
  <c r="N73" i="26"/>
  <c r="M82" i="26"/>
  <c r="M75" i="26"/>
  <c r="M73" i="26"/>
  <c r="J73" i="26"/>
  <c r="L82" i="26"/>
  <c r="AI77" i="26"/>
  <c r="L73" i="26"/>
  <c r="L75" i="26"/>
  <c r="AD213" i="26" s="1"/>
  <c r="K82" i="26"/>
  <c r="K75" i="26"/>
  <c r="K73" i="26"/>
  <c r="I82" i="26"/>
  <c r="AI80" i="26"/>
  <c r="I73" i="26"/>
  <c r="H82" i="26"/>
  <c r="H75" i="26"/>
  <c r="H73" i="26"/>
  <c r="G82" i="26"/>
  <c r="G73" i="26"/>
  <c r="G75" i="26"/>
  <c r="G83" i="26" s="1"/>
  <c r="AI79" i="26"/>
  <c r="E82" i="26"/>
  <c r="F82" i="26"/>
  <c r="AH56" i="26"/>
  <c r="E75" i="26"/>
  <c r="W213" i="26" s="1"/>
  <c r="E73" i="26"/>
  <c r="E83" i="26" s="1"/>
  <c r="F73" i="26"/>
  <c r="D82" i="26"/>
  <c r="AI68" i="26"/>
  <c r="AI56" i="26"/>
  <c r="D75" i="26"/>
  <c r="D73" i="26"/>
  <c r="C82" i="26"/>
  <c r="AH68" i="26"/>
  <c r="AH80" i="26"/>
  <c r="C73" i="26"/>
  <c r="C75" i="26" s="1"/>
  <c r="C7" i="26" s="1"/>
  <c r="AI38" i="26"/>
  <c r="B82" i="26"/>
  <c r="B73" i="26"/>
  <c r="B75" i="26"/>
  <c r="H4" i="26"/>
  <c r="P83" i="26"/>
  <c r="O83" i="26"/>
  <c r="AH213" i="26"/>
  <c r="P7" i="26"/>
  <c r="H83" i="26"/>
  <c r="I102" i="26"/>
  <c r="V213" i="26"/>
  <c r="D7" i="26"/>
  <c r="Z213" i="26"/>
  <c r="H7" i="26"/>
  <c r="AE213" i="26"/>
  <c r="M7" i="26"/>
  <c r="D5" i="26"/>
  <c r="L5" i="26"/>
  <c r="T5" i="26"/>
  <c r="AB5" i="26"/>
  <c r="F75" i="26"/>
  <c r="N75" i="26"/>
  <c r="AI78" i="26"/>
  <c r="AH79" i="26"/>
  <c r="D191" i="26"/>
  <c r="E191" i="26"/>
  <c r="F101" i="26"/>
  <c r="I75" i="26"/>
  <c r="Q75" i="26"/>
  <c r="AG75" i="26"/>
  <c r="AG83" i="26" s="1"/>
  <c r="H5" i="26"/>
  <c r="P5" i="26"/>
  <c r="X5" i="26"/>
  <c r="J75" i="26"/>
  <c r="R75" i="26"/>
  <c r="R83" i="26" s="1"/>
  <c r="Z75" i="26"/>
  <c r="Z83" i="26" s="1"/>
  <c r="S210" i="26"/>
  <c r="D210" i="26"/>
  <c r="AH76" i="26"/>
  <c r="AH38" i="26"/>
  <c r="AH72" i="26"/>
  <c r="T75" i="26"/>
  <c r="T83" i="26" s="1"/>
  <c r="AH77" i="26"/>
  <c r="O7" i="26"/>
  <c r="E93" i="26"/>
  <c r="E199" i="26"/>
  <c r="F193" i="26"/>
  <c r="E198" i="26"/>
  <c r="S7" i="26" l="1"/>
  <c r="S83" i="26"/>
  <c r="M83" i="26"/>
  <c r="L83" i="26"/>
  <c r="L7" i="26"/>
  <c r="K83" i="26"/>
  <c r="AC213" i="26"/>
  <c r="K7" i="26"/>
  <c r="Y213" i="26"/>
  <c r="G7" i="26"/>
  <c r="E7" i="26"/>
  <c r="D83" i="26"/>
  <c r="C83" i="26"/>
  <c r="U213" i="26"/>
  <c r="B83" i="26"/>
  <c r="AB213" i="26"/>
  <c r="J7" i="26"/>
  <c r="AA213" i="26"/>
  <c r="I7" i="26"/>
  <c r="B208" i="26"/>
  <c r="AF213" i="26"/>
  <c r="N7" i="26"/>
  <c r="N83" i="26"/>
  <c r="C208" i="26"/>
  <c r="X213" i="26"/>
  <c r="F7" i="26"/>
  <c r="F83" i="26"/>
  <c r="AJ213" i="26"/>
  <c r="R7" i="26"/>
  <c r="I83" i="26"/>
  <c r="F191" i="26"/>
  <c r="G101" i="26"/>
  <c r="J102" i="26"/>
  <c r="AI213" i="26"/>
  <c r="Q7" i="26"/>
  <c r="AI82" i="26"/>
  <c r="AH82" i="26"/>
  <c r="D234" i="26"/>
  <c r="F198" i="26"/>
  <c r="AL213" i="26"/>
  <c r="T7" i="26"/>
  <c r="AR213" i="26"/>
  <c r="Z7" i="26"/>
  <c r="J83" i="26"/>
  <c r="Q83" i="26"/>
  <c r="G193" i="26"/>
  <c r="F199" i="26"/>
  <c r="F93" i="26"/>
  <c r="K6" i="26" l="1"/>
  <c r="E234" i="26"/>
  <c r="G198" i="26"/>
  <c r="H193" i="26"/>
  <c r="G199" i="26"/>
  <c r="G93" i="26"/>
  <c r="K102" i="26"/>
  <c r="G191" i="26"/>
  <c r="H101" i="26"/>
  <c r="L102" i="26" l="1"/>
  <c r="I193" i="26"/>
  <c r="H93" i="26"/>
  <c r="F234" i="26"/>
  <c r="H198" i="26"/>
  <c r="H191" i="26"/>
  <c r="I101" i="26"/>
  <c r="Q37" i="25"/>
  <c r="P37" i="25"/>
  <c r="G234" i="26" l="1"/>
  <c r="I198" i="26"/>
  <c r="H199" i="26"/>
  <c r="I199" i="26"/>
  <c r="J193" i="26"/>
  <c r="I93" i="26"/>
  <c r="I191" i="26"/>
  <c r="J101" i="26"/>
  <c r="M102" i="26"/>
  <c r="K193" i="26" l="1"/>
  <c r="J93" i="26"/>
  <c r="J198" i="26"/>
  <c r="H234" i="26"/>
  <c r="J191" i="26"/>
  <c r="K101" i="26"/>
  <c r="N102" i="26"/>
  <c r="K191" i="26" l="1"/>
  <c r="L101" i="26"/>
  <c r="L193" i="26"/>
  <c r="K93" i="26"/>
  <c r="I234" i="26"/>
  <c r="K198" i="26"/>
  <c r="O102" i="26"/>
  <c r="J199" i="26"/>
  <c r="P102" i="26" l="1"/>
  <c r="L198" i="26"/>
  <c r="J234" i="26"/>
  <c r="L199" i="26"/>
  <c r="M193" i="26"/>
  <c r="L93" i="26"/>
  <c r="K199" i="26"/>
  <c r="L191" i="26"/>
  <c r="M101" i="26"/>
  <c r="N193" i="26" l="1"/>
  <c r="M93" i="26"/>
  <c r="M198" i="26"/>
  <c r="K234" i="26"/>
  <c r="M191" i="26"/>
  <c r="N101" i="26"/>
  <c r="Q102" i="26"/>
  <c r="L234" i="26" l="1"/>
  <c r="N198" i="26"/>
  <c r="O193" i="26"/>
  <c r="N199" i="26"/>
  <c r="N93" i="26"/>
  <c r="N191" i="26"/>
  <c r="O101" i="26"/>
  <c r="R102" i="26"/>
  <c r="M199" i="26"/>
  <c r="S102" i="26" l="1"/>
  <c r="O191" i="26"/>
  <c r="P101" i="26"/>
  <c r="P193" i="26"/>
  <c r="O199" i="26"/>
  <c r="O93" i="26"/>
  <c r="M234" i="26"/>
  <c r="O198" i="26"/>
  <c r="Q193" i="26" l="1"/>
  <c r="P93" i="26"/>
  <c r="P191" i="26"/>
  <c r="Q101" i="26"/>
  <c r="T102" i="26"/>
  <c r="N234" i="26"/>
  <c r="P198" i="26"/>
  <c r="U102" i="26" l="1"/>
  <c r="Q191" i="26"/>
  <c r="R101" i="26"/>
  <c r="Q199" i="26"/>
  <c r="R193" i="26"/>
  <c r="Q93" i="26"/>
  <c r="O234" i="26"/>
  <c r="Q198" i="26"/>
  <c r="P199" i="26"/>
  <c r="S193" i="26" l="1"/>
  <c r="R191" i="26"/>
  <c r="S101" i="26"/>
  <c r="R198" i="26"/>
  <c r="P234" i="26"/>
  <c r="V102" i="26"/>
  <c r="Q234" i="26" l="1"/>
  <c r="S198" i="26"/>
  <c r="S191" i="26"/>
  <c r="T101" i="26"/>
  <c r="R93" i="26"/>
  <c r="S199" i="26"/>
  <c r="T193" i="26"/>
  <c r="S93" i="26"/>
  <c r="W102" i="26"/>
  <c r="R199" i="26"/>
  <c r="T191" i="26" l="1"/>
  <c r="U101" i="26"/>
  <c r="R234" i="26"/>
  <c r="T198" i="26"/>
  <c r="T199" i="26"/>
  <c r="U193" i="26"/>
  <c r="T93" i="26"/>
  <c r="X102" i="26"/>
  <c r="Y102" i="26" l="1"/>
  <c r="V193" i="26"/>
  <c r="U93" i="26"/>
  <c r="S234" i="26"/>
  <c r="U198" i="26"/>
  <c r="U191" i="26"/>
  <c r="V101" i="26"/>
  <c r="V198" i="26" l="1"/>
  <c r="T234" i="26"/>
  <c r="W193" i="26"/>
  <c r="V199" i="26"/>
  <c r="V51" i="26" s="1"/>
  <c r="V52" i="26" s="1"/>
  <c r="V93" i="26"/>
  <c r="U199" i="26"/>
  <c r="U51" i="26" s="1"/>
  <c r="U52" i="26" s="1"/>
  <c r="V191" i="26"/>
  <c r="W101" i="26"/>
  <c r="Z102" i="26"/>
  <c r="W191" i="26" l="1"/>
  <c r="X101" i="26"/>
  <c r="U73" i="26"/>
  <c r="U75" i="26"/>
  <c r="V73" i="26"/>
  <c r="V75" i="26"/>
  <c r="X193" i="26"/>
  <c r="W199" i="26"/>
  <c r="W51" i="26" s="1"/>
  <c r="W52" i="26" s="1"/>
  <c r="W93" i="26"/>
  <c r="AA102" i="26"/>
  <c r="W198" i="26"/>
  <c r="U234" i="26"/>
  <c r="V83" i="26" l="1"/>
  <c r="AM213" i="26"/>
  <c r="U7" i="26"/>
  <c r="U83" i="26"/>
  <c r="AN213" i="26"/>
  <c r="V7" i="26"/>
  <c r="V234" i="26"/>
  <c r="X198" i="26"/>
  <c r="AB102" i="26"/>
  <c r="X191" i="26"/>
  <c r="Y101" i="26"/>
  <c r="W73" i="26"/>
  <c r="W75" i="26"/>
  <c r="Y193" i="26"/>
  <c r="X199" i="26"/>
  <c r="W234" i="26" l="1"/>
  <c r="Y198" i="26"/>
  <c r="AO213" i="26"/>
  <c r="W7" i="26"/>
  <c r="Z193" i="26"/>
  <c r="Y199" i="26"/>
  <c r="Y51" i="26" s="1"/>
  <c r="Y52" i="26" s="1"/>
  <c r="Y93" i="26"/>
  <c r="Y191" i="26"/>
  <c r="Z101" i="26"/>
  <c r="W83" i="26"/>
  <c r="X93" i="26"/>
  <c r="AC102" i="26"/>
  <c r="Y75" i="26" l="1"/>
  <c r="Y73" i="26"/>
  <c r="AA193" i="26"/>
  <c r="Z93" i="26"/>
  <c r="AD102" i="26"/>
  <c r="AP213" i="26"/>
  <c r="X7" i="26"/>
  <c r="Z191" i="26"/>
  <c r="AA101" i="26"/>
  <c r="Z198" i="26"/>
  <c r="X234" i="26"/>
  <c r="Y83" i="26" l="1"/>
  <c r="Y234" i="26"/>
  <c r="AA198" i="26"/>
  <c r="AA199" i="26"/>
  <c r="AA51" i="26" s="1"/>
  <c r="AA52" i="26" s="1"/>
  <c r="AB193" i="26"/>
  <c r="AA93" i="26"/>
  <c r="AA191" i="26"/>
  <c r="AB101" i="26"/>
  <c r="Z199" i="26"/>
  <c r="AE102" i="26"/>
  <c r="AQ213" i="26"/>
  <c r="Y7" i="26"/>
  <c r="AB191" i="26" l="1"/>
  <c r="AC101" i="26"/>
  <c r="AC193" i="26"/>
  <c r="AB93" i="26"/>
  <c r="AA75" i="26"/>
  <c r="AA73" i="26"/>
  <c r="AA83" i="26" s="1"/>
  <c r="Z234" i="26"/>
  <c r="AB198" i="26"/>
  <c r="AB199" i="26" s="1"/>
  <c r="AB51" i="26" s="1"/>
  <c r="AB52" i="26" s="1"/>
  <c r="AF102" i="26"/>
  <c r="AB75" i="26" l="1"/>
  <c r="AB73" i="26"/>
  <c r="AD193" i="26"/>
  <c r="AS213" i="26"/>
  <c r="AA7" i="26"/>
  <c r="B102" i="26"/>
  <c r="AC191" i="26"/>
  <c r="AD101" i="26"/>
  <c r="AA234" i="26"/>
  <c r="AC198" i="26"/>
  <c r="AB83" i="26" l="1"/>
  <c r="AB234" i="26"/>
  <c r="AD198" i="26"/>
  <c r="AC93" i="26"/>
  <c r="AE193" i="26"/>
  <c r="AD199" i="26"/>
  <c r="AD51" i="26" s="1"/>
  <c r="AD52" i="26" s="1"/>
  <c r="AD93" i="26"/>
  <c r="AD191" i="26"/>
  <c r="AE101" i="26"/>
  <c r="AC199" i="26"/>
  <c r="AC51" i="26" s="1"/>
  <c r="AC52" i="26" s="1"/>
  <c r="AT213" i="26"/>
  <c r="AB7" i="26"/>
  <c r="AD75" i="26" l="1"/>
  <c r="AD73" i="26"/>
  <c r="AF193" i="26"/>
  <c r="AE199" i="26"/>
  <c r="AE51" i="26" s="1"/>
  <c r="AE52" i="26" s="1"/>
  <c r="AE93" i="26"/>
  <c r="AC73" i="26"/>
  <c r="AC75" i="26"/>
  <c r="AC234" i="26"/>
  <c r="AE198" i="26"/>
  <c r="AE191" i="26"/>
  <c r="AF101" i="26"/>
  <c r="AD83" i="26" l="1"/>
  <c r="AC83" i="26"/>
  <c r="AU213" i="26"/>
  <c r="AC7" i="26"/>
  <c r="AE73" i="26"/>
  <c r="AE75" i="26"/>
  <c r="AF191" i="26"/>
  <c r="B191" i="26"/>
  <c r="AF199" i="26"/>
  <c r="AF51" i="26" s="1"/>
  <c r="AF52" i="26" s="1"/>
  <c r="B193" i="26"/>
  <c r="AD234" i="26"/>
  <c r="AF198" i="26"/>
  <c r="AV213" i="26"/>
  <c r="AD7" i="26"/>
  <c r="AE83" i="26" l="1"/>
  <c r="AE234" i="26"/>
  <c r="B198" i="26"/>
  <c r="AF234" i="26" s="1"/>
  <c r="AF75" i="26"/>
  <c r="AF73" i="26"/>
  <c r="AF93" i="26"/>
  <c r="AW213" i="26"/>
  <c r="AE7" i="26"/>
  <c r="AF83" i="26" l="1"/>
  <c r="AI93" i="26"/>
  <c r="AH93" i="26"/>
  <c r="AX213" i="26"/>
  <c r="AF7" i="26"/>
  <c r="B199" i="26"/>
  <c r="AI51" i="26" l="1"/>
  <c r="AH51" i="26"/>
  <c r="AI52" i="26" l="1"/>
  <c r="AH52" i="26"/>
  <c r="T213" i="26" l="1"/>
  <c r="AI75" i="26"/>
  <c r="AH75" i="26"/>
  <c r="B7" i="26"/>
  <c r="A7" i="26" s="1"/>
  <c r="AI73" i="26"/>
  <c r="AH73" i="26"/>
  <c r="AI83" i="26" l="1"/>
  <c r="AH83" i="26"/>
  <c r="P38" i="25" l="1"/>
  <c r="O95" i="25" l="1"/>
  <c r="O37" i="25"/>
  <c r="L37" i="25"/>
  <c r="AI99" i="25"/>
  <c r="AF51" i="24"/>
  <c r="AF52" i="24"/>
  <c r="AF56" i="24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B234" i="25"/>
  <c r="S209" i="25"/>
  <c r="AG199" i="25"/>
  <c r="D199" i="25"/>
  <c r="C199" i="25"/>
  <c r="E198" i="25"/>
  <c r="D198" i="25"/>
  <c r="C234" i="25" s="1"/>
  <c r="E197" i="25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D197" i="25"/>
  <c r="D196" i="25"/>
  <c r="E196" i="25" s="1"/>
  <c r="F196" i="25" s="1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AC195" i="25"/>
  <c r="AD195" i="25" s="1"/>
  <c r="AE195" i="25" s="1"/>
  <c r="AF195" i="25" s="1"/>
  <c r="B195" i="25" s="1"/>
  <c r="E195" i="25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D195" i="25"/>
  <c r="E194" i="25"/>
  <c r="F194" i="25" s="1"/>
  <c r="G194" i="25" s="1"/>
  <c r="H194" i="25" s="1"/>
  <c r="I194" i="25" s="1"/>
  <c r="J194" i="25" s="1"/>
  <c r="K194" i="25" s="1"/>
  <c r="L194" i="25" s="1"/>
  <c r="M194" i="25" s="1"/>
  <c r="N194" i="25" s="1"/>
  <c r="O194" i="25" s="1"/>
  <c r="P194" i="25" s="1"/>
  <c r="Q194" i="25" s="1"/>
  <c r="R194" i="25" s="1"/>
  <c r="S194" i="25" s="1"/>
  <c r="T194" i="25" s="1"/>
  <c r="U194" i="25" s="1"/>
  <c r="V194" i="25" s="1"/>
  <c r="W194" i="25" s="1"/>
  <c r="X194" i="25" s="1"/>
  <c r="Y194" i="25" s="1"/>
  <c r="Z194" i="25" s="1"/>
  <c r="AA194" i="25" s="1"/>
  <c r="AB194" i="25" s="1"/>
  <c r="AC194" i="25" s="1"/>
  <c r="AD194" i="25" s="1"/>
  <c r="AE194" i="25" s="1"/>
  <c r="AF194" i="25" s="1"/>
  <c r="B194" i="25" s="1"/>
  <c r="D194" i="25"/>
  <c r="E193" i="25"/>
  <c r="D193" i="25"/>
  <c r="AG191" i="25"/>
  <c r="C191" i="25"/>
  <c r="D190" i="25"/>
  <c r="E190" i="25" s="1"/>
  <c r="F190" i="25" s="1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E189" i="25"/>
  <c r="F189" i="25" s="1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D189" i="25"/>
  <c r="G188" i="25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D188" i="25"/>
  <c r="E188" i="25" s="1"/>
  <c r="F188" i="25" s="1"/>
  <c r="E187" i="25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D187" i="25"/>
  <c r="G186" i="25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D186" i="25"/>
  <c r="E186" i="25" s="1"/>
  <c r="F186" i="25" s="1"/>
  <c r="E185" i="25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D185" i="25"/>
  <c r="V184" i="25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L184" i="25"/>
  <c r="M184" i="25" s="1"/>
  <c r="N184" i="25" s="1"/>
  <c r="O184" i="25" s="1"/>
  <c r="P184" i="25" s="1"/>
  <c r="Q184" i="25" s="1"/>
  <c r="R184" i="25" s="1"/>
  <c r="S184" i="25" s="1"/>
  <c r="T184" i="25" s="1"/>
  <c r="U184" i="25" s="1"/>
  <c r="D184" i="25"/>
  <c r="E184" i="25" s="1"/>
  <c r="F184" i="25" s="1"/>
  <c r="G184" i="25" s="1"/>
  <c r="H184" i="25" s="1"/>
  <c r="I184" i="25" s="1"/>
  <c r="J184" i="25" s="1"/>
  <c r="K184" i="25" s="1"/>
  <c r="J183" i="25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D183" i="25"/>
  <c r="E183" i="25" s="1"/>
  <c r="F183" i="25" s="1"/>
  <c r="G183" i="25" s="1"/>
  <c r="H183" i="25" s="1"/>
  <c r="I183" i="25" s="1"/>
  <c r="R182" i="25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H182" i="25"/>
  <c r="I182" i="25" s="1"/>
  <c r="J182" i="25" s="1"/>
  <c r="K182" i="25" s="1"/>
  <c r="L182" i="25" s="1"/>
  <c r="M182" i="25" s="1"/>
  <c r="N182" i="25" s="1"/>
  <c r="O182" i="25" s="1"/>
  <c r="P182" i="25" s="1"/>
  <c r="Q182" i="25" s="1"/>
  <c r="G182" i="25"/>
  <c r="D182" i="25"/>
  <c r="E182" i="25" s="1"/>
  <c r="F182" i="25" s="1"/>
  <c r="P181" i="25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F181" i="25"/>
  <c r="G181" i="25" s="1"/>
  <c r="H181" i="25" s="1"/>
  <c r="I181" i="25" s="1"/>
  <c r="J181" i="25" s="1"/>
  <c r="K181" i="25" s="1"/>
  <c r="L181" i="25" s="1"/>
  <c r="M181" i="25" s="1"/>
  <c r="N181" i="25" s="1"/>
  <c r="O181" i="25" s="1"/>
  <c r="E181" i="25"/>
  <c r="D181" i="25"/>
  <c r="E180" i="25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D180" i="25"/>
  <c r="Y179" i="25"/>
  <c r="Z179" i="25" s="1"/>
  <c r="AA179" i="25" s="1"/>
  <c r="AB179" i="25" s="1"/>
  <c r="AC179" i="25" s="1"/>
  <c r="AD179" i="25" s="1"/>
  <c r="AE179" i="25" s="1"/>
  <c r="AF179" i="25" s="1"/>
  <c r="B179" i="25" s="1"/>
  <c r="M179" i="25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E179" i="25"/>
  <c r="F179" i="25" s="1"/>
  <c r="G179" i="25" s="1"/>
  <c r="H179" i="25" s="1"/>
  <c r="I179" i="25" s="1"/>
  <c r="J179" i="25" s="1"/>
  <c r="K179" i="25" s="1"/>
  <c r="L179" i="25" s="1"/>
  <c r="D179" i="25"/>
  <c r="D178" i="25"/>
  <c r="E178" i="25" s="1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B178" i="25" s="1"/>
  <c r="H176" i="25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D176" i="25"/>
  <c r="E176" i="25" s="1"/>
  <c r="F176" i="25" s="1"/>
  <c r="G176" i="25" s="1"/>
  <c r="Q175" i="25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F175" i="25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E175" i="25"/>
  <c r="D175" i="25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T173" i="25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B173" i="25" s="1"/>
  <c r="E173" i="25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D173" i="25"/>
  <c r="P172" i="25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H172" i="25"/>
  <c r="I172" i="25" s="1"/>
  <c r="J172" i="25" s="1"/>
  <c r="K172" i="25" s="1"/>
  <c r="L172" i="25" s="1"/>
  <c r="M172" i="25" s="1"/>
  <c r="N172" i="25" s="1"/>
  <c r="O172" i="25" s="1"/>
  <c r="D172" i="25"/>
  <c r="E172" i="25" s="1"/>
  <c r="F172" i="25" s="1"/>
  <c r="G172" i="25" s="1"/>
  <c r="Q171" i="25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F171" i="25"/>
  <c r="G171" i="25" s="1"/>
  <c r="H171" i="25" s="1"/>
  <c r="I171" i="25" s="1"/>
  <c r="J171" i="25" s="1"/>
  <c r="K171" i="25" s="1"/>
  <c r="L171" i="25" s="1"/>
  <c r="M171" i="25" s="1"/>
  <c r="N171" i="25" s="1"/>
  <c r="O171" i="25" s="1"/>
  <c r="P171" i="25" s="1"/>
  <c r="E171" i="25"/>
  <c r="D171" i="25"/>
  <c r="F170" i="25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70" i="25"/>
  <c r="E170" i="25" s="1"/>
  <c r="J169" i="25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B169" i="25" s="1"/>
  <c r="E169" i="25"/>
  <c r="F169" i="25" s="1"/>
  <c r="G169" i="25" s="1"/>
  <c r="H169" i="25" s="1"/>
  <c r="I169" i="25" s="1"/>
  <c r="D169" i="25"/>
  <c r="E167" i="25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D167" i="25"/>
  <c r="N166" i="25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K166" i="25"/>
  <c r="L166" i="25" s="1"/>
  <c r="M166" i="25" s="1"/>
  <c r="E166" i="25"/>
  <c r="F166" i="25" s="1"/>
  <c r="G166" i="25" s="1"/>
  <c r="H166" i="25" s="1"/>
  <c r="I166" i="25" s="1"/>
  <c r="J166" i="25" s="1"/>
  <c r="D166" i="25"/>
  <c r="AF165" i="25"/>
  <c r="B165" i="25" s="1"/>
  <c r="N165" i="25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H165" i="25"/>
  <c r="I165" i="25" s="1"/>
  <c r="J165" i="25" s="1"/>
  <c r="K165" i="25" s="1"/>
  <c r="L165" i="25" s="1"/>
  <c r="M165" i="25" s="1"/>
  <c r="D165" i="25"/>
  <c r="E165" i="25" s="1"/>
  <c r="F165" i="25" s="1"/>
  <c r="G165" i="25" s="1"/>
  <c r="R164" i="25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E164" i="25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D164" i="25"/>
  <c r="Z163" i="25"/>
  <c r="AA163" i="25" s="1"/>
  <c r="AB163" i="25" s="1"/>
  <c r="AC163" i="25" s="1"/>
  <c r="AD163" i="25" s="1"/>
  <c r="AE163" i="25" s="1"/>
  <c r="AF163" i="25" s="1"/>
  <c r="B163" i="25" s="1"/>
  <c r="P163" i="25"/>
  <c r="Q163" i="25" s="1"/>
  <c r="R163" i="25" s="1"/>
  <c r="S163" i="25" s="1"/>
  <c r="T163" i="25" s="1"/>
  <c r="U163" i="25" s="1"/>
  <c r="V163" i="25" s="1"/>
  <c r="W163" i="25" s="1"/>
  <c r="X163" i="25" s="1"/>
  <c r="Y163" i="25" s="1"/>
  <c r="D163" i="25"/>
  <c r="E163" i="25" s="1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F162" i="25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E162" i="25"/>
  <c r="D162" i="25"/>
  <c r="AD161" i="25"/>
  <c r="AE161" i="25" s="1"/>
  <c r="AF161" i="25" s="1"/>
  <c r="B161" i="25" s="1"/>
  <c r="V161" i="25"/>
  <c r="W161" i="25" s="1"/>
  <c r="X161" i="25" s="1"/>
  <c r="Y161" i="25" s="1"/>
  <c r="Z161" i="25" s="1"/>
  <c r="AA161" i="25" s="1"/>
  <c r="AB161" i="25" s="1"/>
  <c r="AC161" i="25" s="1"/>
  <c r="N161" i="25"/>
  <c r="O161" i="25" s="1"/>
  <c r="P161" i="25" s="1"/>
  <c r="Q161" i="25" s="1"/>
  <c r="R161" i="25" s="1"/>
  <c r="S161" i="25" s="1"/>
  <c r="T161" i="25" s="1"/>
  <c r="U161" i="25" s="1"/>
  <c r="F161" i="25"/>
  <c r="G161" i="25" s="1"/>
  <c r="H161" i="25" s="1"/>
  <c r="I161" i="25" s="1"/>
  <c r="J161" i="25" s="1"/>
  <c r="K161" i="25" s="1"/>
  <c r="L161" i="25" s="1"/>
  <c r="M161" i="25" s="1"/>
  <c r="D161" i="25"/>
  <c r="E161" i="25" s="1"/>
  <c r="L160" i="25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D160" i="25"/>
  <c r="E160" i="25" s="1"/>
  <c r="F160" i="25" s="1"/>
  <c r="G160" i="25" s="1"/>
  <c r="H160" i="25" s="1"/>
  <c r="I160" i="25" s="1"/>
  <c r="J160" i="25" s="1"/>
  <c r="K160" i="25" s="1"/>
  <c r="R159" i="25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J159" i="25"/>
  <c r="K159" i="25" s="1"/>
  <c r="L159" i="25" s="1"/>
  <c r="M159" i="25" s="1"/>
  <c r="N159" i="25" s="1"/>
  <c r="O159" i="25" s="1"/>
  <c r="P159" i="25" s="1"/>
  <c r="Q159" i="25" s="1"/>
  <c r="H159" i="25"/>
  <c r="I159" i="25" s="1"/>
  <c r="D159" i="25"/>
  <c r="E159" i="25" s="1"/>
  <c r="F159" i="25" s="1"/>
  <c r="G159" i="25" s="1"/>
  <c r="X158" i="25"/>
  <c r="Y158" i="25" s="1"/>
  <c r="Z158" i="25" s="1"/>
  <c r="AA158" i="25" s="1"/>
  <c r="AB158" i="25" s="1"/>
  <c r="AC158" i="25" s="1"/>
  <c r="AD158" i="25" s="1"/>
  <c r="AE158" i="25" s="1"/>
  <c r="AF158" i="25" s="1"/>
  <c r="B158" i="25" s="1"/>
  <c r="P158" i="25"/>
  <c r="Q158" i="25" s="1"/>
  <c r="R158" i="25" s="1"/>
  <c r="S158" i="25" s="1"/>
  <c r="T158" i="25" s="1"/>
  <c r="U158" i="25" s="1"/>
  <c r="V158" i="25" s="1"/>
  <c r="W158" i="25" s="1"/>
  <c r="H158" i="25"/>
  <c r="I158" i="25" s="1"/>
  <c r="J158" i="25" s="1"/>
  <c r="K158" i="25" s="1"/>
  <c r="L158" i="25" s="1"/>
  <c r="M158" i="25" s="1"/>
  <c r="N158" i="25" s="1"/>
  <c r="O158" i="25" s="1"/>
  <c r="F158" i="25"/>
  <c r="G158" i="25" s="1"/>
  <c r="E158" i="25"/>
  <c r="D158" i="25"/>
  <c r="P157" i="25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H157" i="25"/>
  <c r="I157" i="25" s="1"/>
  <c r="J157" i="25" s="1"/>
  <c r="K157" i="25" s="1"/>
  <c r="L157" i="25" s="1"/>
  <c r="M157" i="25" s="1"/>
  <c r="N157" i="25" s="1"/>
  <c r="O157" i="25" s="1"/>
  <c r="D157" i="25"/>
  <c r="E157" i="25" s="1"/>
  <c r="F157" i="25" s="1"/>
  <c r="G157" i="25" s="1"/>
  <c r="D156" i="25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D155" i="25"/>
  <c r="E155" i="25" s="1"/>
  <c r="F155" i="25" s="1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B155" i="25" s="1"/>
  <c r="P153" i="25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I153" i="25"/>
  <c r="J153" i="25" s="1"/>
  <c r="K153" i="25" s="1"/>
  <c r="L153" i="25" s="1"/>
  <c r="M153" i="25" s="1"/>
  <c r="N153" i="25" s="1"/>
  <c r="O153" i="25" s="1"/>
  <c r="E153" i="25"/>
  <c r="F153" i="25" s="1"/>
  <c r="G153" i="25" s="1"/>
  <c r="H153" i="25" s="1"/>
  <c r="D153" i="25"/>
  <c r="D152" i="25"/>
  <c r="E152" i="25" s="1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B152" i="25" s="1"/>
  <c r="F151" i="25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E151" i="25"/>
  <c r="D151" i="25"/>
  <c r="D150" i="25"/>
  <c r="E150" i="25" s="1"/>
  <c r="F150" i="25" s="1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B150" i="25" s="1"/>
  <c r="J148" i="25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B148" i="25" s="1"/>
  <c r="F148" i="25"/>
  <c r="G148" i="25" s="1"/>
  <c r="H148" i="25" s="1"/>
  <c r="I148" i="25" s="1"/>
  <c r="E148" i="25"/>
  <c r="D148" i="25"/>
  <c r="K147" i="25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B147" i="25" s="1"/>
  <c r="E147" i="25"/>
  <c r="F147" i="25" s="1"/>
  <c r="G147" i="25" s="1"/>
  <c r="H147" i="25" s="1"/>
  <c r="I147" i="25" s="1"/>
  <c r="J147" i="25" s="1"/>
  <c r="D147" i="25"/>
  <c r="E145" i="25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D145" i="25"/>
  <c r="H144" i="25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G144" i="25"/>
  <c r="D144" i="25"/>
  <c r="E144" i="25" s="1"/>
  <c r="F144" i="25" s="1"/>
  <c r="U143" i="25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F143" i="25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E143" i="25"/>
  <c r="D143" i="25"/>
  <c r="L142" i="25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D142" i="25"/>
  <c r="E142" i="25" s="1"/>
  <c r="F142" i="25" s="1"/>
  <c r="G142" i="25" s="1"/>
  <c r="H142" i="25" s="1"/>
  <c r="I142" i="25" s="1"/>
  <c r="J142" i="25" s="1"/>
  <c r="K142" i="25" s="1"/>
  <c r="Z141" i="25"/>
  <c r="AA141" i="25" s="1"/>
  <c r="AB141" i="25" s="1"/>
  <c r="AC141" i="25" s="1"/>
  <c r="AD141" i="25" s="1"/>
  <c r="AE141" i="25" s="1"/>
  <c r="AF141" i="25" s="1"/>
  <c r="B141" i="25" s="1"/>
  <c r="J141" i="25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D141" i="25"/>
  <c r="E141" i="25" s="1"/>
  <c r="F141" i="25" s="1"/>
  <c r="G141" i="25" s="1"/>
  <c r="H141" i="25" s="1"/>
  <c r="I141" i="25" s="1"/>
  <c r="H140" i="25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G140" i="25"/>
  <c r="D140" i="25"/>
  <c r="E140" i="25" s="1"/>
  <c r="F140" i="25" s="1"/>
  <c r="H139" i="25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B139" i="25" s="1"/>
  <c r="F139" i="25"/>
  <c r="G139" i="25" s="1"/>
  <c r="E139" i="25"/>
  <c r="D139" i="25"/>
  <c r="G137" i="25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F137" i="25"/>
  <c r="D137" i="25"/>
  <c r="E137" i="25" s="1"/>
  <c r="U136" i="25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E136" i="25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D136" i="25"/>
  <c r="D135" i="25"/>
  <c r="E135" i="25" s="1"/>
  <c r="F135" i="25" s="1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E134" i="25"/>
  <c r="F134" i="25" s="1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D134" i="25"/>
  <c r="T133" i="25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B133" i="25" s="1"/>
  <c r="D133" i="25"/>
  <c r="E133" i="25" s="1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R132" i="25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I132" i="25"/>
  <c r="J132" i="25" s="1"/>
  <c r="K132" i="25" s="1"/>
  <c r="L132" i="25" s="1"/>
  <c r="M132" i="25" s="1"/>
  <c r="N132" i="25" s="1"/>
  <c r="O132" i="25" s="1"/>
  <c r="P132" i="25" s="1"/>
  <c r="Q132" i="25" s="1"/>
  <c r="E132" i="25"/>
  <c r="F132" i="25" s="1"/>
  <c r="G132" i="25" s="1"/>
  <c r="H132" i="25" s="1"/>
  <c r="D132" i="25"/>
  <c r="G131" i="25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D131" i="25"/>
  <c r="E131" i="25" s="1"/>
  <c r="F131" i="25" s="1"/>
  <c r="F130" i="25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B130" i="25" s="1"/>
  <c r="E130" i="25"/>
  <c r="D130" i="25"/>
  <c r="O128" i="25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D128" i="25"/>
  <c r="E128" i="25" s="1"/>
  <c r="F128" i="25" s="1"/>
  <c r="G128" i="25" s="1"/>
  <c r="H128" i="25" s="1"/>
  <c r="I128" i="25" s="1"/>
  <c r="J128" i="25" s="1"/>
  <c r="K128" i="25" s="1"/>
  <c r="L128" i="25" s="1"/>
  <c r="M128" i="25" s="1"/>
  <c r="N128" i="25" s="1"/>
  <c r="F127" i="25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E127" i="25"/>
  <c r="D127" i="25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M125" i="25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I125" i="25"/>
  <c r="J125" i="25" s="1"/>
  <c r="K125" i="25" s="1"/>
  <c r="L125" i="25" s="1"/>
  <c r="D125" i="25"/>
  <c r="E125" i="25" s="1"/>
  <c r="F125" i="25" s="1"/>
  <c r="G125" i="25" s="1"/>
  <c r="H125" i="25" s="1"/>
  <c r="G124" i="25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F124" i="25"/>
  <c r="D124" i="25"/>
  <c r="E124" i="25" s="1"/>
  <c r="H123" i="25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D123" i="25"/>
  <c r="E123" i="25" s="1"/>
  <c r="F123" i="25" s="1"/>
  <c r="G123" i="25" s="1"/>
  <c r="I122" i="25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F122" i="25"/>
  <c r="G122" i="25" s="1"/>
  <c r="H122" i="25" s="1"/>
  <c r="E122" i="25"/>
  <c r="D122" i="25"/>
  <c r="O121" i="25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L121" i="25"/>
  <c r="M121" i="25" s="1"/>
  <c r="N121" i="25" s="1"/>
  <c r="G121" i="25"/>
  <c r="H121" i="25" s="1"/>
  <c r="I121" i="25" s="1"/>
  <c r="J121" i="25" s="1"/>
  <c r="K121" i="25" s="1"/>
  <c r="D121" i="25"/>
  <c r="E121" i="25" s="1"/>
  <c r="F121" i="25" s="1"/>
  <c r="M120" i="25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J120" i="25"/>
  <c r="K120" i="25" s="1"/>
  <c r="L120" i="25" s="1"/>
  <c r="E120" i="25"/>
  <c r="F120" i="25" s="1"/>
  <c r="G120" i="25" s="1"/>
  <c r="H120" i="25" s="1"/>
  <c r="I120" i="25" s="1"/>
  <c r="D120" i="25"/>
  <c r="D119" i="25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F118" i="25"/>
  <c r="G118" i="25" s="1"/>
  <c r="H118" i="25" s="1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E118" i="25"/>
  <c r="D118" i="25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E116" i="25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D116" i="25"/>
  <c r="D115" i="25"/>
  <c r="E115" i="25" s="1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F114" i="25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E114" i="25"/>
  <c r="D114" i="25"/>
  <c r="T113" i="25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O113" i="25"/>
  <c r="P113" i="25" s="1"/>
  <c r="Q113" i="25" s="1"/>
  <c r="R113" i="25" s="1"/>
  <c r="S113" i="25" s="1"/>
  <c r="N113" i="25"/>
  <c r="L113" i="25"/>
  <c r="M113" i="25" s="1"/>
  <c r="K113" i="25"/>
  <c r="E113" i="25"/>
  <c r="F113" i="25" s="1"/>
  <c r="G113" i="25" s="1"/>
  <c r="H113" i="25" s="1"/>
  <c r="I113" i="25" s="1"/>
  <c r="D113" i="25"/>
  <c r="K112" i="25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I112" i="25"/>
  <c r="J112" i="25" s="1"/>
  <c r="D112" i="25"/>
  <c r="E112" i="25" s="1"/>
  <c r="F112" i="25" s="1"/>
  <c r="G112" i="25" s="1"/>
  <c r="H112" i="25" s="1"/>
  <c r="D111" i="25"/>
  <c r="E111" i="25" s="1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B111" i="25" s="1"/>
  <c r="H109" i="25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B109" i="25" s="1"/>
  <c r="G109" i="25"/>
  <c r="E109" i="25"/>
  <c r="F109" i="25" s="1"/>
  <c r="D109" i="25"/>
  <c r="E108" i="25"/>
  <c r="F108" i="25" s="1"/>
  <c r="G108" i="25" s="1"/>
  <c r="H108" i="25" s="1"/>
  <c r="I108" i="25" s="1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B108" i="25" s="1"/>
  <c r="D108" i="25"/>
  <c r="D106" i="25"/>
  <c r="E106" i="25" s="1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5" i="25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D104" i="25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E103" i="25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B103" i="25" s="1"/>
  <c r="D103" i="25"/>
  <c r="E102" i="25"/>
  <c r="F102" i="25" s="1"/>
  <c r="G102" i="25" s="1"/>
  <c r="D102" i="25"/>
  <c r="D101" i="25"/>
  <c r="AI98" i="25"/>
  <c r="AI97" i="25"/>
  <c r="AI96" i="25"/>
  <c r="AI95" i="25"/>
  <c r="AI94" i="25"/>
  <c r="D93" i="25"/>
  <c r="C93" i="25"/>
  <c r="AI91" i="25"/>
  <c r="AI90" i="25"/>
  <c r="AI89" i="25"/>
  <c r="AI88" i="25"/>
  <c r="AI87" i="25"/>
  <c r="AI86" i="25"/>
  <c r="AI85" i="25"/>
  <c r="AI84" i="25"/>
  <c r="AG82" i="25"/>
  <c r="AI81" i="25"/>
  <c r="AF80" i="25"/>
  <c r="AE80" i="25"/>
  <c r="AD80" i="25"/>
  <c r="AC80" i="25"/>
  <c r="AB80" i="25"/>
  <c r="AA80" i="25"/>
  <c r="Z80" i="25"/>
  <c r="Z82" i="25" s="1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X82" i="25" s="1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E76" i="25"/>
  <c r="AD76" i="25"/>
  <c r="AC76" i="25"/>
  <c r="AC82" i="25" s="1"/>
  <c r="AB76" i="25"/>
  <c r="AA76" i="25"/>
  <c r="Z76" i="25"/>
  <c r="Y76" i="25"/>
  <c r="X76" i="25"/>
  <c r="W76" i="25"/>
  <c r="V76" i="25"/>
  <c r="V82" i="25" s="1"/>
  <c r="U76" i="25"/>
  <c r="T76" i="25"/>
  <c r="S76" i="25"/>
  <c r="R76" i="25"/>
  <c r="Q76" i="25"/>
  <c r="Q82" i="25" s="1"/>
  <c r="P76" i="25"/>
  <c r="O76" i="25"/>
  <c r="N76" i="25"/>
  <c r="M76" i="25"/>
  <c r="L76" i="25"/>
  <c r="K76" i="25"/>
  <c r="J76" i="25"/>
  <c r="J82" i="25" s="1"/>
  <c r="I76" i="25"/>
  <c r="I82" i="25" s="1"/>
  <c r="H76" i="25"/>
  <c r="G76" i="25"/>
  <c r="F76" i="25"/>
  <c r="E76" i="25"/>
  <c r="D76" i="25"/>
  <c r="C76" i="25"/>
  <c r="C82" i="25" s="1"/>
  <c r="B76" i="25"/>
  <c r="AI74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I71" i="25"/>
  <c r="AI70" i="25"/>
  <c r="AI69" i="25"/>
  <c r="AG68" i="25"/>
  <c r="AF68" i="25"/>
  <c r="AE68" i="25"/>
  <c r="AD68" i="25"/>
  <c r="AC5" i="25" s="1"/>
  <c r="AC68" i="25"/>
  <c r="AB5" i="25" s="1"/>
  <c r="AB68" i="25"/>
  <c r="AA68" i="25"/>
  <c r="Z68" i="25"/>
  <c r="Y68" i="25"/>
  <c r="X68" i="25"/>
  <c r="W68" i="25"/>
  <c r="V68" i="25"/>
  <c r="U68" i="25"/>
  <c r="T68" i="25"/>
  <c r="S68" i="25"/>
  <c r="R68" i="25"/>
  <c r="Q68" i="25"/>
  <c r="P68" i="25"/>
  <c r="O5" i="25" s="1"/>
  <c r="O68" i="25"/>
  <c r="N68" i="25"/>
  <c r="M68" i="25"/>
  <c r="L68" i="25"/>
  <c r="K5" i="25" s="1"/>
  <c r="K68" i="25"/>
  <c r="J68" i="25"/>
  <c r="I5" i="25" s="1"/>
  <c r="I68" i="25"/>
  <c r="H68" i="25"/>
  <c r="G5" i="25" s="1"/>
  <c r="G68" i="25"/>
  <c r="F68" i="25"/>
  <c r="E5" i="25" s="1"/>
  <c r="E68" i="25"/>
  <c r="D68" i="25"/>
  <c r="C68" i="25"/>
  <c r="B68" i="25"/>
  <c r="AI67" i="25"/>
  <c r="AI66" i="25"/>
  <c r="AI65" i="25"/>
  <c r="AI64" i="25"/>
  <c r="AI63" i="25"/>
  <c r="AI62" i="25"/>
  <c r="AI61" i="25"/>
  <c r="AI60" i="25"/>
  <c r="AI59" i="25"/>
  <c r="AI58" i="25"/>
  <c r="AI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I54" i="25"/>
  <c r="AI53" i="25"/>
  <c r="Z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AG51" i="25"/>
  <c r="AG52" i="25" s="1"/>
  <c r="AI50" i="25"/>
  <c r="AI49" i="25"/>
  <c r="AI48" i="25"/>
  <c r="AI47" i="25"/>
  <c r="AI46" i="25"/>
  <c r="AI45" i="25"/>
  <c r="AI44" i="25"/>
  <c r="AI43" i="25"/>
  <c r="AI42" i="25"/>
  <c r="AI41" i="25"/>
  <c r="AI40" i="25"/>
  <c r="AI39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S75" i="25" s="1"/>
  <c r="R38" i="25"/>
  <c r="Q38" i="25"/>
  <c r="O38" i="25"/>
  <c r="N38" i="25"/>
  <c r="M38" i="25"/>
  <c r="L38" i="25"/>
  <c r="K38" i="25"/>
  <c r="J38" i="25"/>
  <c r="I38" i="25"/>
  <c r="I75" i="25" s="1"/>
  <c r="AA213" i="25" s="1"/>
  <c r="H38" i="25"/>
  <c r="G38" i="25"/>
  <c r="F38" i="25"/>
  <c r="E38" i="25"/>
  <c r="D38" i="25"/>
  <c r="D75" i="25" s="1"/>
  <c r="C38" i="25"/>
  <c r="B38" i="25"/>
  <c r="AI37" i="25"/>
  <c r="AI36" i="25"/>
  <c r="AI35" i="25"/>
  <c r="AI34" i="25"/>
  <c r="AI33" i="25"/>
  <c r="AI32" i="25"/>
  <c r="AI31" i="25"/>
  <c r="AI30" i="25"/>
  <c r="AI29" i="25"/>
  <c r="AI28" i="25"/>
  <c r="AI27" i="25"/>
  <c r="AI26" i="25"/>
  <c r="AI25" i="25"/>
  <c r="AI24" i="25"/>
  <c r="AI23" i="25"/>
  <c r="AI22" i="25"/>
  <c r="AI21" i="25"/>
  <c r="AI20" i="25"/>
  <c r="AI19" i="25"/>
  <c r="AI18" i="25"/>
  <c r="AI17" i="25"/>
  <c r="AI16" i="25"/>
  <c r="AI15" i="25"/>
  <c r="AI14" i="25"/>
  <c r="AI13" i="25"/>
  <c r="AI12" i="25"/>
  <c r="AI11" i="25"/>
  <c r="AE5" i="25"/>
  <c r="AA5" i="25"/>
  <c r="Z5" i="25"/>
  <c r="Y5" i="25"/>
  <c r="W5" i="25"/>
  <c r="U5" i="25"/>
  <c r="T5" i="25"/>
  <c r="S5" i="25"/>
  <c r="R5" i="25"/>
  <c r="Q5" i="25"/>
  <c r="M5" i="25"/>
  <c r="L5" i="25"/>
  <c r="J5" i="25"/>
  <c r="D5" i="25"/>
  <c r="C5" i="25"/>
  <c r="B5" i="25"/>
  <c r="AG4" i="25"/>
  <c r="K4" i="25"/>
  <c r="B4" i="25"/>
  <c r="AG2" i="25"/>
  <c r="E4" i="25"/>
  <c r="AF82" i="25" l="1"/>
  <c r="AE82" i="25"/>
  <c r="AD82" i="25"/>
  <c r="AB82" i="25"/>
  <c r="AA82" i="25"/>
  <c r="Z73" i="25"/>
  <c r="Y82" i="25"/>
  <c r="W82" i="25"/>
  <c r="U82" i="25"/>
  <c r="T82" i="25"/>
  <c r="T75" i="25"/>
  <c r="S82" i="25"/>
  <c r="S73" i="25"/>
  <c r="R82" i="25"/>
  <c r="R73" i="25"/>
  <c r="Q75" i="25"/>
  <c r="AI213" i="25" s="1"/>
  <c r="Q73" i="25"/>
  <c r="P73" i="25"/>
  <c r="P82" i="25"/>
  <c r="O82" i="25"/>
  <c r="O73" i="25"/>
  <c r="O75" i="25"/>
  <c r="N82" i="25"/>
  <c r="N75" i="25"/>
  <c r="N73" i="25"/>
  <c r="M82" i="25"/>
  <c r="M75" i="25"/>
  <c r="M7" i="25" s="1"/>
  <c r="M73" i="25"/>
  <c r="L82" i="25"/>
  <c r="L75" i="25"/>
  <c r="AD213" i="25" s="1"/>
  <c r="AI77" i="25"/>
  <c r="K82" i="25"/>
  <c r="K75" i="25"/>
  <c r="AC213" i="25" s="1"/>
  <c r="K73" i="25"/>
  <c r="J73" i="25"/>
  <c r="I73" i="25"/>
  <c r="I83" i="25" s="1"/>
  <c r="H82" i="25"/>
  <c r="H73" i="25"/>
  <c r="G75" i="25"/>
  <c r="Y213" i="25" s="1"/>
  <c r="G73" i="25"/>
  <c r="F82" i="25"/>
  <c r="AI79" i="25"/>
  <c r="F73" i="25"/>
  <c r="F75" i="25"/>
  <c r="F7" i="25" s="1"/>
  <c r="E82" i="25"/>
  <c r="AI78" i="25"/>
  <c r="E73" i="25"/>
  <c r="E75" i="25"/>
  <c r="E7" i="25" s="1"/>
  <c r="D82" i="25"/>
  <c r="AI76" i="25"/>
  <c r="AI56" i="25"/>
  <c r="AI38" i="25"/>
  <c r="C73" i="25"/>
  <c r="C75" i="25" s="1"/>
  <c r="B82" i="25"/>
  <c r="H4" i="25"/>
  <c r="Q83" i="25"/>
  <c r="AG213" i="25"/>
  <c r="O7" i="25"/>
  <c r="AG73" i="25"/>
  <c r="AG83" i="25" s="1"/>
  <c r="C83" i="25"/>
  <c r="S83" i="25"/>
  <c r="AG3" i="25"/>
  <c r="AG6" i="25" s="1"/>
  <c r="AG75" i="25"/>
  <c r="AK213" i="25"/>
  <c r="S7" i="25"/>
  <c r="U213" i="25"/>
  <c r="C7" i="25"/>
  <c r="W213" i="25"/>
  <c r="AE213" i="25"/>
  <c r="V213" i="25"/>
  <c r="D7" i="25"/>
  <c r="AL213" i="25"/>
  <c r="T7" i="25"/>
  <c r="AF213" i="25"/>
  <c r="N7" i="25"/>
  <c r="F5" i="25"/>
  <c r="N5" i="25"/>
  <c r="V5" i="25"/>
  <c r="AD5" i="25"/>
  <c r="D73" i="25"/>
  <c r="D83" i="25" s="1"/>
  <c r="L73" i="25"/>
  <c r="T73" i="25"/>
  <c r="T83" i="25" s="1"/>
  <c r="H75" i="25"/>
  <c r="P75" i="25"/>
  <c r="P83" i="25" s="1"/>
  <c r="AI80" i="25"/>
  <c r="G82" i="25"/>
  <c r="H5" i="25"/>
  <c r="P5" i="25"/>
  <c r="X5" i="25"/>
  <c r="AF5" i="25"/>
  <c r="J75" i="25"/>
  <c r="R75" i="25"/>
  <c r="Z75" i="25"/>
  <c r="O83" i="25"/>
  <c r="E93" i="25"/>
  <c r="H102" i="25"/>
  <c r="F93" i="25"/>
  <c r="Q7" i="25"/>
  <c r="AI68" i="25"/>
  <c r="AI72" i="25"/>
  <c r="I7" i="25"/>
  <c r="D210" i="25"/>
  <c r="S210" i="25"/>
  <c r="D191" i="25"/>
  <c r="E101" i="25"/>
  <c r="F193" i="25"/>
  <c r="E199" i="25"/>
  <c r="D234" i="25"/>
  <c r="F198" i="25"/>
  <c r="N83" i="25" l="1"/>
  <c r="M83" i="25"/>
  <c r="L7" i="25"/>
  <c r="L83" i="25"/>
  <c r="K7" i="25"/>
  <c r="K83" i="25"/>
  <c r="AI82" i="25"/>
  <c r="C208" i="25"/>
  <c r="G7" i="25"/>
  <c r="G83" i="25"/>
  <c r="X213" i="25"/>
  <c r="F83" i="25"/>
  <c r="E83" i="25"/>
  <c r="AR213" i="25"/>
  <c r="Z7" i="25"/>
  <c r="B208" i="25"/>
  <c r="G193" i="25"/>
  <c r="F199" i="25"/>
  <c r="AJ213" i="25"/>
  <c r="R7" i="25"/>
  <c r="Z83" i="25"/>
  <c r="Z213" i="25"/>
  <c r="H7" i="25"/>
  <c r="I102" i="25"/>
  <c r="AB213" i="25"/>
  <c r="J7" i="25"/>
  <c r="E234" i="25"/>
  <c r="G198" i="25"/>
  <c r="R83" i="25"/>
  <c r="AH213" i="25"/>
  <c r="P7" i="25"/>
  <c r="E191" i="25"/>
  <c r="F101" i="25"/>
  <c r="J83" i="25"/>
  <c r="H83" i="25"/>
  <c r="K6" i="25" l="1"/>
  <c r="F191" i="25"/>
  <c r="G101" i="25"/>
  <c r="H193" i="25"/>
  <c r="G199" i="25"/>
  <c r="G93" i="25"/>
  <c r="J102" i="25"/>
  <c r="F234" i="25"/>
  <c r="H198" i="25"/>
  <c r="K102" i="25" l="1"/>
  <c r="H199" i="25"/>
  <c r="I193" i="25"/>
  <c r="H93" i="25"/>
  <c r="G191" i="25"/>
  <c r="H101" i="25"/>
  <c r="G234" i="25"/>
  <c r="I198" i="25"/>
  <c r="I199" i="25" l="1"/>
  <c r="J193" i="25"/>
  <c r="I93" i="25"/>
  <c r="H234" i="25"/>
  <c r="J198" i="25"/>
  <c r="L102" i="25"/>
  <c r="H191" i="25"/>
  <c r="I101" i="25"/>
  <c r="M102" i="25" l="1"/>
  <c r="I234" i="25"/>
  <c r="K198" i="25"/>
  <c r="I191" i="25"/>
  <c r="J101" i="25"/>
  <c r="J199" i="25"/>
  <c r="K193" i="25"/>
  <c r="J93" i="25"/>
  <c r="R37" i="24"/>
  <c r="K199" i="25" l="1"/>
  <c r="L193" i="25"/>
  <c r="K93" i="25"/>
  <c r="J191" i="25"/>
  <c r="K101" i="25"/>
  <c r="L198" i="25"/>
  <c r="J234" i="25"/>
  <c r="N102" i="25"/>
  <c r="K234" i="25" l="1"/>
  <c r="M198" i="25"/>
  <c r="K191" i="25"/>
  <c r="L101" i="25"/>
  <c r="O102" i="25"/>
  <c r="M193" i="25"/>
  <c r="L199" i="25"/>
  <c r="L93" i="25"/>
  <c r="N193" i="25" l="1"/>
  <c r="M199" i="25"/>
  <c r="M93" i="25"/>
  <c r="L234" i="25"/>
  <c r="N198" i="25"/>
  <c r="P102" i="25"/>
  <c r="L191" i="25"/>
  <c r="M101" i="25"/>
  <c r="Q102" i="25" l="1"/>
  <c r="M234" i="25"/>
  <c r="O198" i="25"/>
  <c r="M191" i="25"/>
  <c r="N101" i="25"/>
  <c r="O193" i="25"/>
  <c r="N199" i="25"/>
  <c r="N93" i="25"/>
  <c r="N191" i="25" l="1"/>
  <c r="O101" i="25"/>
  <c r="N234" i="25"/>
  <c r="P198" i="25"/>
  <c r="R102" i="25"/>
  <c r="P193" i="25"/>
  <c r="O199" i="25"/>
  <c r="O93" i="25"/>
  <c r="P199" i="25" l="1"/>
  <c r="Q193" i="25"/>
  <c r="P93" i="25"/>
  <c r="S102" i="25"/>
  <c r="O234" i="25"/>
  <c r="Q198" i="25"/>
  <c r="O191" i="25"/>
  <c r="P101" i="25"/>
  <c r="P234" i="25" l="1"/>
  <c r="R198" i="25"/>
  <c r="T102" i="25"/>
  <c r="Q199" i="25"/>
  <c r="R193" i="25"/>
  <c r="Q93" i="25"/>
  <c r="P191" i="25"/>
  <c r="Q101" i="25"/>
  <c r="R199" i="25" l="1"/>
  <c r="S193" i="25"/>
  <c r="R93" i="25"/>
  <c r="U102" i="25"/>
  <c r="Q234" i="25"/>
  <c r="S198" i="25"/>
  <c r="Q191" i="25"/>
  <c r="R101" i="25"/>
  <c r="T198" i="25" l="1"/>
  <c r="R234" i="25"/>
  <c r="V102" i="25"/>
  <c r="S199" i="25"/>
  <c r="T193" i="25"/>
  <c r="S93" i="25"/>
  <c r="R191" i="25"/>
  <c r="S101" i="25"/>
  <c r="Q37" i="24"/>
  <c r="P37" i="24"/>
  <c r="O37" i="24"/>
  <c r="T199" i="25" l="1"/>
  <c r="U193" i="25"/>
  <c r="T93" i="25"/>
  <c r="W102" i="25"/>
  <c r="S191" i="25"/>
  <c r="T101" i="25"/>
  <c r="S234" i="25"/>
  <c r="U198" i="25"/>
  <c r="N37" i="24"/>
  <c r="M37" i="24"/>
  <c r="L37" i="24"/>
  <c r="I52" i="24"/>
  <c r="H38" i="24"/>
  <c r="E37" i="24"/>
  <c r="D37" i="24"/>
  <c r="T191" i="25" l="1"/>
  <c r="U101" i="25"/>
  <c r="X102" i="25"/>
  <c r="V193" i="25"/>
  <c r="U199" i="25"/>
  <c r="U51" i="25" s="1"/>
  <c r="U52" i="25" s="1"/>
  <c r="U93" i="25"/>
  <c r="T234" i="25"/>
  <c r="V198" i="25"/>
  <c r="AH99" i="24"/>
  <c r="AI99" i="24" s="1"/>
  <c r="C37" i="24"/>
  <c r="B37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C234" i="24"/>
  <c r="B234" i="24"/>
  <c r="S209" i="24"/>
  <c r="AG199" i="24"/>
  <c r="C199" i="24"/>
  <c r="E198" i="24"/>
  <c r="D198" i="24"/>
  <c r="D197" i="24"/>
  <c r="E197" i="24" s="1"/>
  <c r="F197" i="24" s="1"/>
  <c r="G197" i="24" s="1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J196" i="24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E196" i="24"/>
  <c r="F196" i="24" s="1"/>
  <c r="G196" i="24" s="1"/>
  <c r="H196" i="24" s="1"/>
  <c r="I196" i="24" s="1"/>
  <c r="D196" i="24"/>
  <c r="H195" i="24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E195" i="24"/>
  <c r="F195" i="24" s="1"/>
  <c r="G195" i="24" s="1"/>
  <c r="D195" i="24"/>
  <c r="E194" i="24"/>
  <c r="F194" i="24" s="1"/>
  <c r="G194" i="24" s="1"/>
  <c r="H194" i="24" s="1"/>
  <c r="I194" i="24" s="1"/>
  <c r="J194" i="24" s="1"/>
  <c r="K194" i="24" s="1"/>
  <c r="L194" i="24" s="1"/>
  <c r="M194" i="24" s="1"/>
  <c r="N194" i="24" s="1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B194" i="24" s="1"/>
  <c r="D194" i="24"/>
  <c r="D193" i="24"/>
  <c r="D199" i="24" s="1"/>
  <c r="AG191" i="24"/>
  <c r="C191" i="24"/>
  <c r="I190" i="24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H190" i="24"/>
  <c r="G190" i="24"/>
  <c r="E190" i="24"/>
  <c r="F190" i="24" s="1"/>
  <c r="D190" i="24"/>
  <c r="J189" i="24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F189" i="24"/>
  <c r="G189" i="24" s="1"/>
  <c r="H189" i="24" s="1"/>
  <c r="I189" i="24" s="1"/>
  <c r="E189" i="24"/>
  <c r="D189" i="24"/>
  <c r="I188" i="24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E188" i="24"/>
  <c r="F188" i="24" s="1"/>
  <c r="G188" i="24" s="1"/>
  <c r="H188" i="24" s="1"/>
  <c r="D188" i="24"/>
  <c r="G187" i="24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F187" i="24"/>
  <c r="E187" i="24"/>
  <c r="D187" i="24"/>
  <c r="D186" i="24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F185" i="24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B185" i="24" s="1"/>
  <c r="E185" i="24"/>
  <c r="D185" i="24"/>
  <c r="U184" i="24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H184" i="24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G184" i="24"/>
  <c r="F184" i="24"/>
  <c r="E184" i="24"/>
  <c r="D184" i="24"/>
  <c r="E183" i="24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D183" i="24"/>
  <c r="D182" i="24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F181" i="24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E181" i="24"/>
  <c r="D181" i="24"/>
  <c r="E180" i="24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D180" i="24"/>
  <c r="V179" i="24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F179" i="24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E179" i="24"/>
  <c r="D179" i="24"/>
  <c r="D178" i="24"/>
  <c r="E178" i="24" s="1"/>
  <c r="F178" i="24" s="1"/>
  <c r="G178" i="24" s="1"/>
  <c r="H178" i="24" s="1"/>
  <c r="I178" i="24" s="1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B178" i="24" s="1"/>
  <c r="P176" i="24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D176" i="24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N175" i="24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F175" i="24"/>
  <c r="G175" i="24" s="1"/>
  <c r="H175" i="24" s="1"/>
  <c r="I175" i="24" s="1"/>
  <c r="J175" i="24" s="1"/>
  <c r="K175" i="24" s="1"/>
  <c r="L175" i="24" s="1"/>
  <c r="M175" i="24" s="1"/>
  <c r="E175" i="24"/>
  <c r="D175" i="24"/>
  <c r="N174" i="24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D174" i="24"/>
  <c r="E174" i="24" s="1"/>
  <c r="F174" i="24" s="1"/>
  <c r="G174" i="24" s="1"/>
  <c r="H174" i="24" s="1"/>
  <c r="I174" i="24" s="1"/>
  <c r="J174" i="24" s="1"/>
  <c r="K174" i="24" s="1"/>
  <c r="L174" i="24" s="1"/>
  <c r="M174" i="24" s="1"/>
  <c r="N173" i="24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E173" i="24"/>
  <c r="F173" i="24" s="1"/>
  <c r="G173" i="24" s="1"/>
  <c r="H173" i="24" s="1"/>
  <c r="I173" i="24" s="1"/>
  <c r="J173" i="24" s="1"/>
  <c r="K173" i="24" s="1"/>
  <c r="L173" i="24" s="1"/>
  <c r="M173" i="24" s="1"/>
  <c r="D173" i="24"/>
  <c r="N172" i="24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D172" i="24"/>
  <c r="E172" i="24" s="1"/>
  <c r="F172" i="24" s="1"/>
  <c r="G172" i="24" s="1"/>
  <c r="H172" i="24" s="1"/>
  <c r="I172" i="24" s="1"/>
  <c r="J172" i="24" s="1"/>
  <c r="K172" i="24" s="1"/>
  <c r="L172" i="24" s="1"/>
  <c r="M172" i="24" s="1"/>
  <c r="D171" i="24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N170" i="24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J170" i="24"/>
  <c r="K170" i="24" s="1"/>
  <c r="L170" i="24" s="1"/>
  <c r="M170" i="24" s="1"/>
  <c r="F170" i="24"/>
  <c r="G170" i="24" s="1"/>
  <c r="H170" i="24" s="1"/>
  <c r="I170" i="24" s="1"/>
  <c r="E170" i="24"/>
  <c r="D170" i="24"/>
  <c r="T169" i="24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B169" i="24" s="1"/>
  <c r="H169" i="24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D169" i="24"/>
  <c r="E169" i="24" s="1"/>
  <c r="F169" i="24" s="1"/>
  <c r="G169" i="24" s="1"/>
  <c r="F167" i="24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B167" i="24" s="1"/>
  <c r="E167" i="24"/>
  <c r="D167" i="24"/>
  <c r="X166" i="24"/>
  <c r="Y166" i="24" s="1"/>
  <c r="Z166" i="24" s="1"/>
  <c r="AA166" i="24" s="1"/>
  <c r="AB166" i="24" s="1"/>
  <c r="AC166" i="24" s="1"/>
  <c r="AD166" i="24" s="1"/>
  <c r="AE166" i="24" s="1"/>
  <c r="AF166" i="24" s="1"/>
  <c r="B166" i="24" s="1"/>
  <c r="L166" i="24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H166" i="24"/>
  <c r="I166" i="24" s="1"/>
  <c r="J166" i="24" s="1"/>
  <c r="K166" i="24" s="1"/>
  <c r="D166" i="24"/>
  <c r="E166" i="24" s="1"/>
  <c r="F166" i="24" s="1"/>
  <c r="G166" i="24" s="1"/>
  <c r="J165" i="24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F165" i="24"/>
  <c r="G165" i="24" s="1"/>
  <c r="H165" i="24" s="1"/>
  <c r="I165" i="24" s="1"/>
  <c r="E165" i="24"/>
  <c r="D165" i="24"/>
  <c r="H164" i="24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G164" i="24"/>
  <c r="D164" i="24"/>
  <c r="E164" i="24" s="1"/>
  <c r="F164" i="24" s="1"/>
  <c r="J163" i="24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F163" i="24"/>
  <c r="G163" i="24" s="1"/>
  <c r="H163" i="24" s="1"/>
  <c r="I163" i="24" s="1"/>
  <c r="E163" i="24"/>
  <c r="D163" i="24"/>
  <c r="K162" i="24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D162" i="24"/>
  <c r="E162" i="24" s="1"/>
  <c r="F162" i="24" s="1"/>
  <c r="G162" i="24" s="1"/>
  <c r="H162" i="24" s="1"/>
  <c r="I162" i="24" s="1"/>
  <c r="J162" i="24" s="1"/>
  <c r="H161" i="24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G161" i="24"/>
  <c r="F161" i="24"/>
  <c r="E161" i="24"/>
  <c r="D161" i="24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N159" i="24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K159" i="24"/>
  <c r="L159" i="24" s="1"/>
  <c r="M159" i="24" s="1"/>
  <c r="D159" i="24"/>
  <c r="E159" i="24" s="1"/>
  <c r="F159" i="24" s="1"/>
  <c r="G159" i="24" s="1"/>
  <c r="H159" i="24" s="1"/>
  <c r="I159" i="24" s="1"/>
  <c r="J159" i="24" s="1"/>
  <c r="G158" i="24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E158" i="24"/>
  <c r="F158" i="24" s="1"/>
  <c r="D158" i="24"/>
  <c r="I157" i="24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F157" i="24"/>
  <c r="G157" i="24" s="1"/>
  <c r="H157" i="24" s="1"/>
  <c r="E157" i="24"/>
  <c r="D157" i="24"/>
  <c r="M156" i="24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I156" i="24"/>
  <c r="J156" i="24" s="1"/>
  <c r="K156" i="24" s="1"/>
  <c r="L156" i="24" s="1"/>
  <c r="D156" i="24"/>
  <c r="E156" i="24" s="1"/>
  <c r="F156" i="24" s="1"/>
  <c r="G156" i="24" s="1"/>
  <c r="H156" i="24" s="1"/>
  <c r="F155" i="24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B155" i="24" s="1"/>
  <c r="E155" i="24"/>
  <c r="D155" i="24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D152" i="24"/>
  <c r="E152" i="24" s="1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E151" i="24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D151" i="24"/>
  <c r="N150" i="24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B150" i="24" s="1"/>
  <c r="F150" i="24"/>
  <c r="G150" i="24" s="1"/>
  <c r="H150" i="24" s="1"/>
  <c r="I150" i="24" s="1"/>
  <c r="J150" i="24" s="1"/>
  <c r="K150" i="24" s="1"/>
  <c r="L150" i="24" s="1"/>
  <c r="M150" i="24" s="1"/>
  <c r="E150" i="24"/>
  <c r="D150" i="24"/>
  <c r="Y148" i="24"/>
  <c r="Z148" i="24" s="1"/>
  <c r="AA148" i="24" s="1"/>
  <c r="AB148" i="24" s="1"/>
  <c r="AC148" i="24" s="1"/>
  <c r="AD148" i="24" s="1"/>
  <c r="AE148" i="24" s="1"/>
  <c r="AF148" i="24" s="1"/>
  <c r="B148" i="24" s="1"/>
  <c r="I148" i="24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D148" i="24"/>
  <c r="E148" i="24" s="1"/>
  <c r="F148" i="24" s="1"/>
  <c r="G148" i="24" s="1"/>
  <c r="H148" i="24" s="1"/>
  <c r="J147" i="24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B147" i="24" s="1"/>
  <c r="G147" i="24"/>
  <c r="H147" i="24" s="1"/>
  <c r="I147" i="24" s="1"/>
  <c r="F147" i="24"/>
  <c r="E147" i="24"/>
  <c r="D147" i="24"/>
  <c r="G145" i="24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E145" i="24"/>
  <c r="F145" i="24" s="1"/>
  <c r="D145" i="24"/>
  <c r="E144" i="24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B144" i="24" s="1"/>
  <c r="D144" i="24"/>
  <c r="AF143" i="24"/>
  <c r="B143" i="24" s="1"/>
  <c r="D143" i="24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G142" i="24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B142" i="24" s="1"/>
  <c r="F142" i="24"/>
  <c r="E142" i="24"/>
  <c r="D142" i="24"/>
  <c r="T141" i="24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E141" i="24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D141" i="24"/>
  <c r="F140" i="24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B140" i="24" s="1"/>
  <c r="E140" i="24"/>
  <c r="D140" i="24"/>
  <c r="G139" i="24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B139" i="24" s="1"/>
  <c r="E139" i="24"/>
  <c r="F139" i="24" s="1"/>
  <c r="D139" i="24"/>
  <c r="E137" i="24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D137" i="24"/>
  <c r="K136" i="24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E136" i="24"/>
  <c r="F136" i="24" s="1"/>
  <c r="G136" i="24" s="1"/>
  <c r="H136" i="24" s="1"/>
  <c r="I136" i="24" s="1"/>
  <c r="J136" i="24" s="1"/>
  <c r="D136" i="24"/>
  <c r="F135" i="24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D135" i="24"/>
  <c r="E135" i="24" s="1"/>
  <c r="O134" i="24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F134" i="24"/>
  <c r="G134" i="24" s="1"/>
  <c r="H134" i="24" s="1"/>
  <c r="I134" i="24" s="1"/>
  <c r="J134" i="24" s="1"/>
  <c r="K134" i="24" s="1"/>
  <c r="L134" i="24" s="1"/>
  <c r="M134" i="24" s="1"/>
  <c r="N134" i="24" s="1"/>
  <c r="D134" i="24"/>
  <c r="E134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B133" i="24" s="1"/>
  <c r="E132" i="24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D132" i="24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O130" i="24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B130" i="24" s="1"/>
  <c r="I130" i="24"/>
  <c r="J130" i="24" s="1"/>
  <c r="K130" i="24" s="1"/>
  <c r="L130" i="24" s="1"/>
  <c r="M130" i="24" s="1"/>
  <c r="N130" i="24" s="1"/>
  <c r="F130" i="24"/>
  <c r="G130" i="24" s="1"/>
  <c r="H130" i="24" s="1"/>
  <c r="D130" i="24"/>
  <c r="E130" i="24" s="1"/>
  <c r="G128" i="24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D128" i="24"/>
  <c r="E128" i="24" s="1"/>
  <c r="F128" i="24" s="1"/>
  <c r="E127" i="24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I126" i="24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B126" i="24" s="1"/>
  <c r="D126" i="24"/>
  <c r="E126" i="24" s="1"/>
  <c r="F126" i="24" s="1"/>
  <c r="G126" i="24" s="1"/>
  <c r="H126" i="24" s="1"/>
  <c r="E125" i="24"/>
  <c r="F125" i="24" s="1"/>
  <c r="G125" i="24" s="1"/>
  <c r="H125" i="24" s="1"/>
  <c r="I125" i="24" s="1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D125" i="24"/>
  <c r="U124" i="24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P124" i="24"/>
  <c r="Q124" i="24" s="1"/>
  <c r="R124" i="24" s="1"/>
  <c r="S124" i="24" s="1"/>
  <c r="T124" i="24" s="1"/>
  <c r="K124" i="24"/>
  <c r="L124" i="24" s="1"/>
  <c r="M124" i="24" s="1"/>
  <c r="N124" i="24" s="1"/>
  <c r="O124" i="24" s="1"/>
  <c r="E124" i="24"/>
  <c r="F124" i="24" s="1"/>
  <c r="G124" i="24" s="1"/>
  <c r="H124" i="24" s="1"/>
  <c r="I124" i="24" s="1"/>
  <c r="J124" i="24" s="1"/>
  <c r="D124" i="24"/>
  <c r="N123" i="24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I123" i="24"/>
  <c r="J123" i="24" s="1"/>
  <c r="K123" i="24" s="1"/>
  <c r="L123" i="24" s="1"/>
  <c r="M123" i="24" s="1"/>
  <c r="E123" i="24"/>
  <c r="F123" i="24" s="1"/>
  <c r="G123" i="24" s="1"/>
  <c r="H123" i="24" s="1"/>
  <c r="D123" i="24"/>
  <c r="H122" i="24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D122" i="24"/>
  <c r="E122" i="24" s="1"/>
  <c r="F122" i="24" s="1"/>
  <c r="G122" i="24" s="1"/>
  <c r="D121" i="24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E120" i="24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B120" i="24" s="1"/>
  <c r="D120" i="24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E118" i="24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D117" i="24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B117" i="24" s="1"/>
  <c r="D116" i="24"/>
  <c r="E116" i="24" s="1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D114" i="24"/>
  <c r="D93" i="24" s="1"/>
  <c r="K113" i="24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I113" i="24"/>
  <c r="E113" i="24"/>
  <c r="F113" i="24" s="1"/>
  <c r="G113" i="24" s="1"/>
  <c r="H113" i="24" s="1"/>
  <c r="D113" i="24"/>
  <c r="E112" i="24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D112" i="24"/>
  <c r="F111" i="24"/>
  <c r="G111" i="24" s="1"/>
  <c r="H111" i="24" s="1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B111" i="24" s="1"/>
  <c r="E111" i="24"/>
  <c r="D111" i="24"/>
  <c r="E109" i="24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D109" i="24"/>
  <c r="J108" i="24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B108" i="24" s="1"/>
  <c r="I108" i="24"/>
  <c r="E108" i="24"/>
  <c r="F108" i="24" s="1"/>
  <c r="G108" i="24" s="1"/>
  <c r="H108" i="24" s="1"/>
  <c r="D108" i="24"/>
  <c r="I106" i="24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H106" i="24"/>
  <c r="G106" i="24"/>
  <c r="F106" i="24"/>
  <c r="E106" i="24"/>
  <c r="D106" i="24"/>
  <c r="E105" i="24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D105" i="24"/>
  <c r="E104" i="24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4" i="24"/>
  <c r="E103" i="24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B103" i="24" s="1"/>
  <c r="D103" i="24"/>
  <c r="H102" i="24"/>
  <c r="I102" i="24" s="1"/>
  <c r="G102" i="24"/>
  <c r="F102" i="24"/>
  <c r="E102" i="24"/>
  <c r="D102" i="24"/>
  <c r="F101" i="24"/>
  <c r="G101" i="24" s="1"/>
  <c r="E101" i="24"/>
  <c r="D101" i="24"/>
  <c r="AH98" i="24"/>
  <c r="AI98" i="24" s="1"/>
  <c r="AH97" i="24"/>
  <c r="AI97" i="24" s="1"/>
  <c r="AH96" i="24"/>
  <c r="AI96" i="24" s="1"/>
  <c r="AH95" i="24"/>
  <c r="AI95" i="24" s="1"/>
  <c r="AH94" i="24"/>
  <c r="AI94" i="24" s="1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B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N82" i="24" s="1"/>
  <c r="M76" i="24"/>
  <c r="L76" i="24"/>
  <c r="K76" i="24"/>
  <c r="K82" i="24" s="1"/>
  <c r="J76" i="24"/>
  <c r="I76" i="24"/>
  <c r="H76" i="24"/>
  <c r="G76" i="24"/>
  <c r="F76" i="24"/>
  <c r="E76" i="24"/>
  <c r="E82" i="24" s="1"/>
  <c r="D76" i="24"/>
  <c r="C76" i="24"/>
  <c r="B76" i="24"/>
  <c r="AI74" i="24"/>
  <c r="AH74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AI71" i="24"/>
  <c r="AH71" i="24"/>
  <c r="AI70" i="24"/>
  <c r="AH70" i="24"/>
  <c r="AI69" i="24"/>
  <c r="AH69" i="24"/>
  <c r="AG68" i="24"/>
  <c r="AF68" i="24"/>
  <c r="AE5" i="24" s="1"/>
  <c r="AE68" i="24"/>
  <c r="AD5" i="24" s="1"/>
  <c r="AD68" i="24"/>
  <c r="AC68" i="24"/>
  <c r="AB5" i="24" s="1"/>
  <c r="AB68" i="24"/>
  <c r="AA5" i="24" s="1"/>
  <c r="AA68" i="24"/>
  <c r="Z68" i="24"/>
  <c r="Y68" i="24"/>
  <c r="X5" i="24" s="1"/>
  <c r="X68" i="24"/>
  <c r="W68" i="24"/>
  <c r="V5" i="24" s="1"/>
  <c r="V68" i="24"/>
  <c r="U68" i="24"/>
  <c r="T5" i="24" s="1"/>
  <c r="T68" i="24"/>
  <c r="S5" i="24" s="1"/>
  <c r="S68" i="24"/>
  <c r="R68" i="24"/>
  <c r="Q5" i="24" s="1"/>
  <c r="Q68" i="24"/>
  <c r="P5" i="24" s="1"/>
  <c r="P68" i="24"/>
  <c r="O5" i="24" s="1"/>
  <c r="O68" i="24"/>
  <c r="N5" i="24" s="1"/>
  <c r="N68" i="24"/>
  <c r="M68" i="24"/>
  <c r="L5" i="24" s="1"/>
  <c r="L68" i="24"/>
  <c r="K5" i="24" s="1"/>
  <c r="K68" i="24"/>
  <c r="J68" i="24"/>
  <c r="I5" i="24" s="1"/>
  <c r="I68" i="24"/>
  <c r="H5" i="24" s="1"/>
  <c r="H68" i="24"/>
  <c r="G5" i="24" s="1"/>
  <c r="G68" i="24"/>
  <c r="F5" i="24" s="1"/>
  <c r="F68" i="24"/>
  <c r="E68" i="24"/>
  <c r="D5" i="24" s="1"/>
  <c r="D68" i="24"/>
  <c r="C5" i="24" s="1"/>
  <c r="C68" i="24"/>
  <c r="B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AI55" i="24"/>
  <c r="AH55" i="24"/>
  <c r="AI54" i="24"/>
  <c r="AH54" i="24"/>
  <c r="AI53" i="24"/>
  <c r="AH53" i="24"/>
  <c r="Z52" i="24"/>
  <c r="T52" i="24"/>
  <c r="S52" i="24"/>
  <c r="R52" i="24"/>
  <c r="Q52" i="24"/>
  <c r="P52" i="24"/>
  <c r="O52" i="24"/>
  <c r="N52" i="24"/>
  <c r="M52" i="24"/>
  <c r="L52" i="24"/>
  <c r="K52" i="24"/>
  <c r="J52" i="24"/>
  <c r="H52" i="24"/>
  <c r="G52" i="24"/>
  <c r="F52" i="24"/>
  <c r="E52" i="24"/>
  <c r="D52" i="24"/>
  <c r="C52" i="24"/>
  <c r="AG51" i="24"/>
  <c r="AG52" i="24" s="1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G38" i="24"/>
  <c r="F38" i="24"/>
  <c r="E38" i="24"/>
  <c r="D38" i="24"/>
  <c r="C38" i="24"/>
  <c r="B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Y5" i="24"/>
  <c r="W5" i="24"/>
  <c r="AG4" i="24"/>
  <c r="K4" i="24"/>
  <c r="B4" i="24"/>
  <c r="AG2" i="24"/>
  <c r="AF37" i="23"/>
  <c r="AE68" i="23"/>
  <c r="AE37" i="23"/>
  <c r="AD37" i="23"/>
  <c r="AC37" i="23"/>
  <c r="AB37" i="23"/>
  <c r="AA95" i="23"/>
  <c r="Z95" i="23"/>
  <c r="W95" i="23"/>
  <c r="W37" i="23"/>
  <c r="V37" i="23"/>
  <c r="U95" i="23"/>
  <c r="U37" i="23"/>
  <c r="T37" i="23"/>
  <c r="S37" i="23"/>
  <c r="R37" i="23"/>
  <c r="Q37" i="23"/>
  <c r="P37" i="23"/>
  <c r="E4" i="24"/>
  <c r="U73" i="25" l="1"/>
  <c r="U75" i="25"/>
  <c r="W193" i="25"/>
  <c r="V199" i="25"/>
  <c r="V51" i="25" s="1"/>
  <c r="V52" i="25" s="1"/>
  <c r="V93" i="25"/>
  <c r="Y102" i="25"/>
  <c r="U191" i="25"/>
  <c r="V101" i="25"/>
  <c r="U234" i="25"/>
  <c r="W198" i="25"/>
  <c r="AF82" i="24"/>
  <c r="AE82" i="24"/>
  <c r="AD82" i="24"/>
  <c r="AC82" i="24"/>
  <c r="AB82" i="24"/>
  <c r="AA82" i="24"/>
  <c r="Z82" i="24"/>
  <c r="Z73" i="24"/>
  <c r="Z75" i="24"/>
  <c r="AR213" i="24" s="1"/>
  <c r="Y82" i="24"/>
  <c r="X82" i="24"/>
  <c r="W82" i="24"/>
  <c r="V82" i="24"/>
  <c r="U82" i="24"/>
  <c r="T82" i="24"/>
  <c r="T73" i="24"/>
  <c r="S82" i="24"/>
  <c r="S75" i="24"/>
  <c r="AK213" i="24" s="1"/>
  <c r="S73" i="24"/>
  <c r="R73" i="24"/>
  <c r="R82" i="24"/>
  <c r="R75" i="24"/>
  <c r="Q82" i="24"/>
  <c r="Q73" i="24"/>
  <c r="Q75" i="24"/>
  <c r="AI213" i="24" s="1"/>
  <c r="P82" i="24"/>
  <c r="P75" i="24"/>
  <c r="AH213" i="24" s="1"/>
  <c r="P73" i="24"/>
  <c r="P83" i="24" s="1"/>
  <c r="O82" i="24"/>
  <c r="O73" i="24"/>
  <c r="N73" i="24"/>
  <c r="M82" i="24"/>
  <c r="M75" i="24"/>
  <c r="AE213" i="24" s="1"/>
  <c r="M73" i="24"/>
  <c r="L82" i="24"/>
  <c r="L73" i="24"/>
  <c r="K75" i="24"/>
  <c r="K73" i="24"/>
  <c r="J82" i="24"/>
  <c r="J73" i="24"/>
  <c r="J75" i="24"/>
  <c r="AB213" i="24" s="1"/>
  <c r="AI79" i="24"/>
  <c r="I82" i="24"/>
  <c r="H75" i="24"/>
  <c r="Z213" i="24" s="1"/>
  <c r="I73" i="24"/>
  <c r="I75" i="24"/>
  <c r="AA213" i="24" s="1"/>
  <c r="H82" i="24"/>
  <c r="H73" i="24"/>
  <c r="G82" i="24"/>
  <c r="G73" i="24"/>
  <c r="F82" i="24"/>
  <c r="AI77" i="24"/>
  <c r="F73" i="24"/>
  <c r="E75" i="24"/>
  <c r="W213" i="24" s="1"/>
  <c r="E73" i="24"/>
  <c r="D82" i="24"/>
  <c r="D73" i="24"/>
  <c r="AH78" i="24"/>
  <c r="AI78" i="24"/>
  <c r="AI80" i="24"/>
  <c r="AH68" i="24"/>
  <c r="AH56" i="24"/>
  <c r="AH38" i="24"/>
  <c r="B82" i="24"/>
  <c r="AF5" i="24"/>
  <c r="AH76" i="24"/>
  <c r="AI68" i="24"/>
  <c r="AI56" i="24"/>
  <c r="H4" i="24"/>
  <c r="H101" i="24"/>
  <c r="AG75" i="24"/>
  <c r="AG73" i="24"/>
  <c r="AG83" i="24" s="1"/>
  <c r="AG3" i="24"/>
  <c r="AG6" i="24" s="1"/>
  <c r="AJ213" i="24"/>
  <c r="R7" i="24"/>
  <c r="AC213" i="24"/>
  <c r="K7" i="24"/>
  <c r="J102" i="24"/>
  <c r="B5" i="24"/>
  <c r="J5" i="24"/>
  <c r="R5" i="24"/>
  <c r="Z5" i="24"/>
  <c r="H7" i="24"/>
  <c r="P7" i="24"/>
  <c r="AI38" i="24"/>
  <c r="AH72" i="24"/>
  <c r="D75" i="24"/>
  <c r="L75" i="24"/>
  <c r="L83" i="24" s="1"/>
  <c r="T75" i="24"/>
  <c r="AI76" i="24"/>
  <c r="AH77" i="24"/>
  <c r="C82" i="24"/>
  <c r="AH82" i="24" s="1"/>
  <c r="Q83" i="24"/>
  <c r="AI72" i="24"/>
  <c r="F75" i="24"/>
  <c r="N75" i="24"/>
  <c r="N83" i="24" s="1"/>
  <c r="AH79" i="24"/>
  <c r="K83" i="24"/>
  <c r="S83" i="24"/>
  <c r="E114" i="24"/>
  <c r="S210" i="24"/>
  <c r="D210" i="24"/>
  <c r="E5" i="24"/>
  <c r="M5" i="24"/>
  <c r="U5" i="24"/>
  <c r="AC5" i="24"/>
  <c r="C73" i="24"/>
  <c r="C75" i="24" s="1"/>
  <c r="G75" i="24"/>
  <c r="O75" i="24"/>
  <c r="AH80" i="24"/>
  <c r="E7" i="24"/>
  <c r="M7" i="24"/>
  <c r="D191" i="24"/>
  <c r="E193" i="24"/>
  <c r="D234" i="24"/>
  <c r="F198" i="24"/>
  <c r="O37" i="23"/>
  <c r="Z102" i="25" l="1"/>
  <c r="V73" i="25"/>
  <c r="V75" i="25"/>
  <c r="V234" i="25"/>
  <c r="X198" i="25"/>
  <c r="X193" i="25"/>
  <c r="W199" i="25"/>
  <c r="W51" i="25" s="1"/>
  <c r="W52" i="25" s="1"/>
  <c r="W93" i="25"/>
  <c r="AM213" i="25"/>
  <c r="U7" i="25"/>
  <c r="V191" i="25"/>
  <c r="W101" i="25"/>
  <c r="U83" i="25"/>
  <c r="Z83" i="24"/>
  <c r="Z7" i="24"/>
  <c r="S7" i="24"/>
  <c r="R83" i="24"/>
  <c r="Q7" i="24"/>
  <c r="M83" i="24"/>
  <c r="G83" i="24"/>
  <c r="H83" i="24"/>
  <c r="J83" i="24"/>
  <c r="J7" i="24"/>
  <c r="I83" i="24"/>
  <c r="I7" i="24"/>
  <c r="E83" i="24"/>
  <c r="C83" i="24"/>
  <c r="V213" i="24"/>
  <c r="D7" i="24"/>
  <c r="AG213" i="24"/>
  <c r="O7" i="24"/>
  <c r="D83" i="24"/>
  <c r="AI82" i="24"/>
  <c r="AF213" i="24"/>
  <c r="N7" i="24"/>
  <c r="U213" i="24"/>
  <c r="C7" i="24"/>
  <c r="X213" i="24"/>
  <c r="F7" i="24"/>
  <c r="F83" i="24"/>
  <c r="F193" i="24"/>
  <c r="E199" i="24"/>
  <c r="F114" i="24"/>
  <c r="E93" i="24"/>
  <c r="E191" i="24"/>
  <c r="O83" i="24"/>
  <c r="Y213" i="24"/>
  <c r="C208" i="24"/>
  <c r="B208" i="24"/>
  <c r="G7" i="24"/>
  <c r="K102" i="24"/>
  <c r="AL213" i="24"/>
  <c r="T7" i="24"/>
  <c r="I101" i="24"/>
  <c r="T83" i="24"/>
  <c r="E234" i="24"/>
  <c r="G198" i="24"/>
  <c r="AD213" i="24"/>
  <c r="L7" i="24"/>
  <c r="N37" i="23"/>
  <c r="I37" i="23"/>
  <c r="J37" i="23"/>
  <c r="K37" i="23"/>
  <c r="L37" i="23"/>
  <c r="H37" i="23"/>
  <c r="G37" i="23"/>
  <c r="F37" i="23"/>
  <c r="D37" i="23"/>
  <c r="E37" i="23"/>
  <c r="AH99" i="23"/>
  <c r="AI99" i="23" s="1"/>
  <c r="C95" i="23"/>
  <c r="C37" i="23"/>
  <c r="B95" i="23"/>
  <c r="B37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B234" i="23"/>
  <c r="S209" i="23"/>
  <c r="AG199" i="23"/>
  <c r="D199" i="23"/>
  <c r="C199" i="23"/>
  <c r="E198" i="23"/>
  <c r="D198" i="23"/>
  <c r="C234" i="23" s="1"/>
  <c r="D197" i="23"/>
  <c r="E197" i="23" s="1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D196" i="23"/>
  <c r="E196" i="23" s="1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E195" i="23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D195" i="23"/>
  <c r="E194" i="23"/>
  <c r="F194" i="23" s="1"/>
  <c r="G194" i="23" s="1"/>
  <c r="H194" i="23" s="1"/>
  <c r="I194" i="23" s="1"/>
  <c r="J194" i="23" s="1"/>
  <c r="K194" i="23" s="1"/>
  <c r="L194" i="23" s="1"/>
  <c r="M194" i="23" s="1"/>
  <c r="N194" i="23" s="1"/>
  <c r="O194" i="23" s="1"/>
  <c r="P194" i="23" s="1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B194" i="23" s="1"/>
  <c r="D194" i="23"/>
  <c r="F193" i="23"/>
  <c r="G193" i="23" s="1"/>
  <c r="E193" i="23"/>
  <c r="D193" i="23"/>
  <c r="AG191" i="23"/>
  <c r="C191" i="23"/>
  <c r="D190" i="23"/>
  <c r="E190" i="23" s="1"/>
  <c r="F190" i="23" s="1"/>
  <c r="G190" i="23" s="1"/>
  <c r="H190" i="23" s="1"/>
  <c r="I190" i="23" s="1"/>
  <c r="J190" i="23" s="1"/>
  <c r="K190" i="23" s="1"/>
  <c r="L190" i="23" s="1"/>
  <c r="M190" i="23" s="1"/>
  <c r="N190" i="23" s="1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E189" i="23"/>
  <c r="F189" i="23" s="1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D189" i="23"/>
  <c r="G188" i="23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E188" i="23"/>
  <c r="F188" i="23" s="1"/>
  <c r="D188" i="23"/>
  <c r="K187" i="23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I187" i="23"/>
  <c r="J187" i="23" s="1"/>
  <c r="E187" i="23"/>
  <c r="F187" i="23" s="1"/>
  <c r="G187" i="23" s="1"/>
  <c r="H187" i="23" s="1"/>
  <c r="D187" i="23"/>
  <c r="G186" i="23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D186" i="23"/>
  <c r="E186" i="23" s="1"/>
  <c r="F186" i="23" s="1"/>
  <c r="E185" i="23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D185" i="23"/>
  <c r="L184" i="23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K184" i="23"/>
  <c r="D184" i="23"/>
  <c r="E184" i="23" s="1"/>
  <c r="F184" i="23" s="1"/>
  <c r="G184" i="23" s="1"/>
  <c r="H184" i="23" s="1"/>
  <c r="I184" i="23" s="1"/>
  <c r="J184" i="23" s="1"/>
  <c r="E183" i="23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D183" i="23"/>
  <c r="H182" i="23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D182" i="23"/>
  <c r="E182" i="23" s="1"/>
  <c r="F182" i="23" s="1"/>
  <c r="G182" i="23" s="1"/>
  <c r="Z181" i="23"/>
  <c r="AA181" i="23" s="1"/>
  <c r="AB181" i="23" s="1"/>
  <c r="AC181" i="23" s="1"/>
  <c r="AD181" i="23" s="1"/>
  <c r="AE181" i="23" s="1"/>
  <c r="AF181" i="23" s="1"/>
  <c r="B181" i="23" s="1"/>
  <c r="E181" i="23"/>
  <c r="F181" i="23" s="1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D181" i="23"/>
  <c r="E180" i="23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D180" i="23"/>
  <c r="Y179" i="23"/>
  <c r="Z179" i="23" s="1"/>
  <c r="AA179" i="23" s="1"/>
  <c r="AB179" i="23" s="1"/>
  <c r="AC179" i="23" s="1"/>
  <c r="AD179" i="23" s="1"/>
  <c r="AE179" i="23" s="1"/>
  <c r="AF179" i="23" s="1"/>
  <c r="B179" i="23" s="1"/>
  <c r="G179" i="23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E179" i="23"/>
  <c r="F179" i="23" s="1"/>
  <c r="D179" i="23"/>
  <c r="D178" i="23"/>
  <c r="E178" i="23" s="1"/>
  <c r="F178" i="23" s="1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B178" i="23" s="1"/>
  <c r="G176" i="23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D176" i="23"/>
  <c r="E176" i="23" s="1"/>
  <c r="F176" i="23" s="1"/>
  <c r="E175" i="23"/>
  <c r="F175" i="23" s="1"/>
  <c r="G175" i="23" s="1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D175" i="23"/>
  <c r="H174" i="23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G174" i="23"/>
  <c r="E174" i="23"/>
  <c r="F174" i="23" s="1"/>
  <c r="D174" i="23"/>
  <c r="E173" i="23"/>
  <c r="F173" i="23" s="1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B173" i="23" s="1"/>
  <c r="D173" i="23"/>
  <c r="K172" i="23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D172" i="23"/>
  <c r="E172" i="23" s="1"/>
  <c r="F172" i="23" s="1"/>
  <c r="G172" i="23" s="1"/>
  <c r="H172" i="23" s="1"/>
  <c r="I172" i="23" s="1"/>
  <c r="J172" i="23" s="1"/>
  <c r="R171" i="23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I171" i="23"/>
  <c r="J171" i="23" s="1"/>
  <c r="K171" i="23" s="1"/>
  <c r="L171" i="23" s="1"/>
  <c r="M171" i="23" s="1"/>
  <c r="N171" i="23" s="1"/>
  <c r="O171" i="23" s="1"/>
  <c r="P171" i="23" s="1"/>
  <c r="Q171" i="23" s="1"/>
  <c r="E171" i="23"/>
  <c r="F171" i="23" s="1"/>
  <c r="G171" i="23" s="1"/>
  <c r="H171" i="23" s="1"/>
  <c r="D171" i="23"/>
  <c r="E170" i="23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B170" i="23" s="1"/>
  <c r="D170" i="23"/>
  <c r="V169" i="23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B169" i="23" s="1"/>
  <c r="E169" i="23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D169" i="23"/>
  <c r="G167" i="23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7" i="23"/>
  <c r="E167" i="23" s="1"/>
  <c r="F167" i="23" s="1"/>
  <c r="E166" i="23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D166" i="23"/>
  <c r="D165" i="23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X164" i="23"/>
  <c r="Y164" i="23" s="1"/>
  <c r="Z164" i="23" s="1"/>
  <c r="AA164" i="23" s="1"/>
  <c r="AB164" i="23" s="1"/>
  <c r="AC164" i="23" s="1"/>
  <c r="AD164" i="23" s="1"/>
  <c r="AE164" i="23" s="1"/>
  <c r="AF164" i="23" s="1"/>
  <c r="B164" i="23" s="1"/>
  <c r="V164" i="23"/>
  <c r="W164" i="23" s="1"/>
  <c r="F164" i="23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E164" i="23"/>
  <c r="D164" i="23"/>
  <c r="F163" i="23"/>
  <c r="G163" i="23" s="1"/>
  <c r="H163" i="23" s="1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D163" i="23"/>
  <c r="E163" i="23" s="1"/>
  <c r="D162" i="23"/>
  <c r="E162" i="23" s="1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R161" i="23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B161" i="23" s="1"/>
  <c r="I161" i="23"/>
  <c r="J161" i="23" s="1"/>
  <c r="K161" i="23" s="1"/>
  <c r="L161" i="23" s="1"/>
  <c r="M161" i="23" s="1"/>
  <c r="N161" i="23" s="1"/>
  <c r="O161" i="23" s="1"/>
  <c r="P161" i="23" s="1"/>
  <c r="Q161" i="23" s="1"/>
  <c r="E161" i="23"/>
  <c r="F161" i="23" s="1"/>
  <c r="G161" i="23" s="1"/>
  <c r="H161" i="23" s="1"/>
  <c r="D161" i="23"/>
  <c r="E160" i="23"/>
  <c r="F160" i="23" s="1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D160" i="23"/>
  <c r="V159" i="23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E159" i="23"/>
  <c r="F159" i="23" s="1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D159" i="23"/>
  <c r="G158" i="23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D158" i="23"/>
  <c r="E158" i="23" s="1"/>
  <c r="F158" i="23" s="1"/>
  <c r="Y157" i="23"/>
  <c r="Z157" i="23" s="1"/>
  <c r="AA157" i="23" s="1"/>
  <c r="AB157" i="23" s="1"/>
  <c r="AC157" i="23" s="1"/>
  <c r="AD157" i="23" s="1"/>
  <c r="AE157" i="23" s="1"/>
  <c r="AF157" i="23" s="1"/>
  <c r="B157" i="23" s="1"/>
  <c r="U157" i="23"/>
  <c r="V157" i="23" s="1"/>
  <c r="W157" i="23" s="1"/>
  <c r="X157" i="23" s="1"/>
  <c r="E157" i="23"/>
  <c r="F157" i="23" s="1"/>
  <c r="G157" i="23" s="1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D157" i="23"/>
  <c r="M156" i="23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E156" i="23"/>
  <c r="F156" i="23" s="1"/>
  <c r="G156" i="23" s="1"/>
  <c r="H156" i="23" s="1"/>
  <c r="I156" i="23" s="1"/>
  <c r="J156" i="23" s="1"/>
  <c r="K156" i="23" s="1"/>
  <c r="L156" i="23" s="1"/>
  <c r="D156" i="23"/>
  <c r="AD155" i="23"/>
  <c r="AE155" i="23" s="1"/>
  <c r="AF155" i="23" s="1"/>
  <c r="B155" i="23" s="1"/>
  <c r="M155" i="23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E155" i="23"/>
  <c r="F155" i="23" s="1"/>
  <c r="G155" i="23" s="1"/>
  <c r="H155" i="23" s="1"/>
  <c r="I155" i="23" s="1"/>
  <c r="J155" i="23" s="1"/>
  <c r="K155" i="23" s="1"/>
  <c r="L155" i="23" s="1"/>
  <c r="D155" i="23"/>
  <c r="O153" i="23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L153" i="23"/>
  <c r="M153" i="23" s="1"/>
  <c r="N153" i="23" s="1"/>
  <c r="F153" i="23"/>
  <c r="G153" i="23" s="1"/>
  <c r="H153" i="23" s="1"/>
  <c r="I153" i="23" s="1"/>
  <c r="J153" i="23" s="1"/>
  <c r="K153" i="23" s="1"/>
  <c r="D153" i="23"/>
  <c r="E153" i="23" s="1"/>
  <c r="Q152" i="23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E152" i="23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D152" i="23"/>
  <c r="H151" i="23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E151" i="23"/>
  <c r="F151" i="23" s="1"/>
  <c r="G151" i="23" s="1"/>
  <c r="D151" i="23"/>
  <c r="F150" i="23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B150" i="23" s="1"/>
  <c r="E150" i="23"/>
  <c r="D150" i="23"/>
  <c r="F148" i="23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D148" i="23"/>
  <c r="E148" i="23" s="1"/>
  <c r="D147" i="23"/>
  <c r="E147" i="23" s="1"/>
  <c r="F147" i="23" s="1"/>
  <c r="G147" i="23" s="1"/>
  <c r="H147" i="23" s="1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B147" i="23" s="1"/>
  <c r="N145" i="23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M145" i="23"/>
  <c r="E145" i="23"/>
  <c r="F145" i="23" s="1"/>
  <c r="G145" i="23" s="1"/>
  <c r="H145" i="23" s="1"/>
  <c r="I145" i="23" s="1"/>
  <c r="J145" i="23" s="1"/>
  <c r="K145" i="23" s="1"/>
  <c r="L145" i="23" s="1"/>
  <c r="D145" i="23"/>
  <c r="K144" i="23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J144" i="23"/>
  <c r="F144" i="23"/>
  <c r="G144" i="23" s="1"/>
  <c r="H144" i="23" s="1"/>
  <c r="I144" i="23" s="1"/>
  <c r="E144" i="23"/>
  <c r="D144" i="23"/>
  <c r="D143" i="23"/>
  <c r="E143" i="23" s="1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L142" i="23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D142" i="23"/>
  <c r="E142" i="23" s="1"/>
  <c r="F142" i="23" s="1"/>
  <c r="G142" i="23" s="1"/>
  <c r="H142" i="23" s="1"/>
  <c r="I142" i="23" s="1"/>
  <c r="J142" i="23" s="1"/>
  <c r="K142" i="23" s="1"/>
  <c r="J141" i="23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E141" i="23"/>
  <c r="F141" i="23" s="1"/>
  <c r="G141" i="23" s="1"/>
  <c r="H141" i="23" s="1"/>
  <c r="I141" i="23" s="1"/>
  <c r="D141" i="23"/>
  <c r="AA140" i="23"/>
  <c r="AB140" i="23" s="1"/>
  <c r="AC140" i="23" s="1"/>
  <c r="AD140" i="23" s="1"/>
  <c r="AE140" i="23" s="1"/>
  <c r="AF140" i="23" s="1"/>
  <c r="B140" i="23" s="1"/>
  <c r="S140" i="23"/>
  <c r="T140" i="23" s="1"/>
  <c r="U140" i="23" s="1"/>
  <c r="V140" i="23" s="1"/>
  <c r="W140" i="23" s="1"/>
  <c r="X140" i="23" s="1"/>
  <c r="Y140" i="23" s="1"/>
  <c r="Z140" i="23" s="1"/>
  <c r="R140" i="23"/>
  <c r="H140" i="23"/>
  <c r="I140" i="23" s="1"/>
  <c r="J140" i="23" s="1"/>
  <c r="K140" i="23" s="1"/>
  <c r="L140" i="23" s="1"/>
  <c r="M140" i="23" s="1"/>
  <c r="N140" i="23" s="1"/>
  <c r="O140" i="23" s="1"/>
  <c r="P140" i="23" s="1"/>
  <c r="Q140" i="23" s="1"/>
  <c r="F140" i="23"/>
  <c r="G140" i="23" s="1"/>
  <c r="E140" i="23"/>
  <c r="D140" i="23"/>
  <c r="D139" i="23"/>
  <c r="E139" i="23" s="1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B139" i="23" s="1"/>
  <c r="F137" i="23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D137" i="23"/>
  <c r="E137" i="23" s="1"/>
  <c r="D136" i="23"/>
  <c r="E136" i="23" s="1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J135" i="23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H135" i="23"/>
  <c r="I135" i="23" s="1"/>
  <c r="F135" i="23"/>
  <c r="G135" i="23" s="1"/>
  <c r="E135" i="23"/>
  <c r="D135" i="23"/>
  <c r="D134" i="23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J133" i="23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D133" i="23"/>
  <c r="E133" i="23" s="1"/>
  <c r="F133" i="23" s="1"/>
  <c r="G133" i="23" s="1"/>
  <c r="H133" i="23" s="1"/>
  <c r="I133" i="23" s="1"/>
  <c r="H132" i="23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E132" i="23"/>
  <c r="F132" i="23" s="1"/>
  <c r="G132" i="23" s="1"/>
  <c r="D132" i="23"/>
  <c r="F131" i="23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E131" i="23"/>
  <c r="D131" i="23"/>
  <c r="E130" i="23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B130" i="23" s="1"/>
  <c r="D130" i="23"/>
  <c r="I128" i="23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D128" i="23"/>
  <c r="E128" i="23" s="1"/>
  <c r="F128" i="23" s="1"/>
  <c r="G128" i="23" s="1"/>
  <c r="H128" i="23" s="1"/>
  <c r="L127" i="23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G127" i="23"/>
  <c r="H127" i="23" s="1"/>
  <c r="I127" i="23" s="1"/>
  <c r="J127" i="23" s="1"/>
  <c r="K127" i="23" s="1"/>
  <c r="E127" i="23"/>
  <c r="F127" i="23" s="1"/>
  <c r="D127" i="23"/>
  <c r="E126" i="23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D126" i="23"/>
  <c r="D125" i="23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G124" i="23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F124" i="23"/>
  <c r="D124" i="23"/>
  <c r="E124" i="23" s="1"/>
  <c r="J123" i="23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G123" i="23"/>
  <c r="H123" i="23" s="1"/>
  <c r="I123" i="23" s="1"/>
  <c r="E123" i="23"/>
  <c r="F123" i="23" s="1"/>
  <c r="D123" i="23"/>
  <c r="E122" i="23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D122" i="23"/>
  <c r="D121" i="23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D120" i="23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J119" i="23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G119" i="23"/>
  <c r="H119" i="23" s="1"/>
  <c r="I119" i="23" s="1"/>
  <c r="F119" i="23"/>
  <c r="E119" i="23"/>
  <c r="D119" i="23"/>
  <c r="U118" i="23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D118" i="23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J117" i="23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F117" i="23"/>
  <c r="G117" i="23" s="1"/>
  <c r="H117" i="23" s="1"/>
  <c r="I117" i="23" s="1"/>
  <c r="E117" i="23"/>
  <c r="D117" i="23"/>
  <c r="D116" i="23"/>
  <c r="E116" i="23" s="1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N115" i="23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J115" i="23"/>
  <c r="K115" i="23" s="1"/>
  <c r="L115" i="23" s="1"/>
  <c r="M115" i="23" s="1"/>
  <c r="F115" i="23"/>
  <c r="G115" i="23" s="1"/>
  <c r="H115" i="23" s="1"/>
  <c r="I115" i="23" s="1"/>
  <c r="E115" i="23"/>
  <c r="D115" i="23"/>
  <c r="D114" i="23"/>
  <c r="D93" i="23" s="1"/>
  <c r="N113" i="23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K113" i="23"/>
  <c r="L113" i="23" s="1"/>
  <c r="M113" i="23" s="1"/>
  <c r="E113" i="23"/>
  <c r="F113" i="23" s="1"/>
  <c r="G113" i="23" s="1"/>
  <c r="H113" i="23" s="1"/>
  <c r="I113" i="23" s="1"/>
  <c r="D113" i="23"/>
  <c r="W112" i="23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D112" i="23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E111" i="23"/>
  <c r="F111" i="23" s="1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B111" i="23" s="1"/>
  <c r="D111" i="23"/>
  <c r="W109" i="23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D109" i="23"/>
  <c r="E109" i="23" s="1"/>
  <c r="F109" i="23" s="1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D108" i="23"/>
  <c r="E108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L105" i="23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D105" i="23"/>
  <c r="E105" i="23" s="1"/>
  <c r="F105" i="23" s="1"/>
  <c r="G105" i="23" s="1"/>
  <c r="H105" i="23" s="1"/>
  <c r="I105" i="23" s="1"/>
  <c r="J105" i="23" s="1"/>
  <c r="K105" i="23" s="1"/>
  <c r="F104" i="23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D104" i="23"/>
  <c r="E104" i="23" s="1"/>
  <c r="H103" i="23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B103" i="23" s="1"/>
  <c r="D103" i="23"/>
  <c r="E103" i="23" s="1"/>
  <c r="F103" i="23" s="1"/>
  <c r="G103" i="23" s="1"/>
  <c r="H102" i="23"/>
  <c r="I102" i="23" s="1"/>
  <c r="G102" i="23"/>
  <c r="F102" i="23"/>
  <c r="D102" i="23"/>
  <c r="E102" i="23" s="1"/>
  <c r="E101" i="23"/>
  <c r="D101" i="23"/>
  <c r="AH98" i="23"/>
  <c r="AI98" i="23" s="1"/>
  <c r="AH97" i="23"/>
  <c r="AI97" i="23" s="1"/>
  <c r="AH96" i="23"/>
  <c r="AI96" i="23" s="1"/>
  <c r="AH95" i="23"/>
  <c r="AI95" i="23" s="1"/>
  <c r="AH94" i="23"/>
  <c r="AI94" i="23" s="1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W82" i="23" s="1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J82" i="23" s="1"/>
  <c r="I77" i="23"/>
  <c r="H77" i="23"/>
  <c r="G77" i="23"/>
  <c r="F77" i="23"/>
  <c r="E77" i="23"/>
  <c r="D77" i="23"/>
  <c r="C77" i="23"/>
  <c r="B77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I82" i="23" s="1"/>
  <c r="H76" i="23"/>
  <c r="G76" i="23"/>
  <c r="F76" i="23"/>
  <c r="E76" i="23"/>
  <c r="D76" i="23"/>
  <c r="C76" i="23"/>
  <c r="B76" i="23"/>
  <c r="AI74" i="23"/>
  <c r="AH74" i="23"/>
  <c r="AG73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AI71" i="23"/>
  <c r="AH71" i="23"/>
  <c r="AI70" i="23"/>
  <c r="AH70" i="23"/>
  <c r="AI69" i="23"/>
  <c r="AH69" i="23"/>
  <c r="AG68" i="23"/>
  <c r="AF68" i="23"/>
  <c r="AE5" i="23" s="1"/>
  <c r="AD5" i="23"/>
  <c r="AD68" i="23"/>
  <c r="AC68" i="23"/>
  <c r="AB68" i="23"/>
  <c r="AA68" i="23"/>
  <c r="Z68" i="23"/>
  <c r="Y5" i="23" s="1"/>
  <c r="Y68" i="23"/>
  <c r="X5" i="23" s="1"/>
  <c r="W68" i="23"/>
  <c r="V5" i="23" s="1"/>
  <c r="V68" i="23"/>
  <c r="U68" i="23"/>
  <c r="T5" i="23" s="1"/>
  <c r="T68" i="23"/>
  <c r="S5" i="23" s="1"/>
  <c r="S68" i="23"/>
  <c r="R68" i="23"/>
  <c r="Q68" i="23"/>
  <c r="P5" i="23" s="1"/>
  <c r="P68" i="23"/>
  <c r="O5" i="23" s="1"/>
  <c r="O68" i="23"/>
  <c r="N5" i="23" s="1"/>
  <c r="N68" i="23"/>
  <c r="M68" i="23"/>
  <c r="L5" i="23" s="1"/>
  <c r="L68" i="23"/>
  <c r="K5" i="23" s="1"/>
  <c r="K68" i="23"/>
  <c r="J68" i="23"/>
  <c r="I5" i="23" s="1"/>
  <c r="I68" i="23"/>
  <c r="H5" i="23" s="1"/>
  <c r="H68" i="23"/>
  <c r="G5" i="23" s="1"/>
  <c r="G68" i="23"/>
  <c r="F5" i="23" s="1"/>
  <c r="F68" i="23"/>
  <c r="E68" i="23"/>
  <c r="D5" i="23" s="1"/>
  <c r="D68" i="23"/>
  <c r="C5" i="23" s="1"/>
  <c r="C68" i="23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D56" i="23"/>
  <c r="AC56" i="23"/>
  <c r="AB56" i="23"/>
  <c r="AA56" i="23"/>
  <c r="Z56" i="23"/>
  <c r="Y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AG52" i="23"/>
  <c r="AG3" i="23" s="1"/>
  <c r="Z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AG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B5" i="23"/>
  <c r="AA5" i="23"/>
  <c r="W5" i="23"/>
  <c r="Q5" i="23"/>
  <c r="AG4" i="23"/>
  <c r="K4" i="23"/>
  <c r="B4" i="23"/>
  <c r="AG2" i="23"/>
  <c r="AG6" i="23" s="1"/>
  <c r="AF95" i="22"/>
  <c r="AF37" i="22"/>
  <c r="AE95" i="22"/>
  <c r="AE37" i="22"/>
  <c r="AD95" i="22"/>
  <c r="AD51" i="22"/>
  <c r="AD37" i="22"/>
  <c r="AC95" i="22"/>
  <c r="AC37" i="22"/>
  <c r="AB95" i="22"/>
  <c r="AB37" i="22"/>
  <c r="AA95" i="22"/>
  <c r="Z95" i="22"/>
  <c r="Y95" i="22"/>
  <c r="E4" i="23"/>
  <c r="X199" i="25" l="1"/>
  <c r="X52" i="25" s="1"/>
  <c r="Y193" i="25"/>
  <c r="X93" i="25"/>
  <c r="W73" i="25"/>
  <c r="W75" i="25"/>
  <c r="W234" i="25"/>
  <c r="Y198" i="25"/>
  <c r="W191" i="25"/>
  <c r="X101" i="25"/>
  <c r="AN213" i="25"/>
  <c r="V7" i="25"/>
  <c r="V83" i="25"/>
  <c r="AA102" i="25"/>
  <c r="K6" i="24"/>
  <c r="F234" i="24"/>
  <c r="H198" i="24"/>
  <c r="L102" i="24"/>
  <c r="G114" i="24"/>
  <c r="F93" i="24"/>
  <c r="F191" i="24"/>
  <c r="G193" i="24"/>
  <c r="F199" i="24"/>
  <c r="J101" i="24"/>
  <c r="AF82" i="23"/>
  <c r="AE82" i="23"/>
  <c r="AB82" i="23"/>
  <c r="AA82" i="23"/>
  <c r="Z82" i="23"/>
  <c r="Y82" i="23"/>
  <c r="X82" i="23"/>
  <c r="T82" i="23"/>
  <c r="T75" i="23"/>
  <c r="S82" i="23"/>
  <c r="R82" i="23"/>
  <c r="Q82" i="23"/>
  <c r="Q73" i="23"/>
  <c r="P82" i="23"/>
  <c r="P75" i="23"/>
  <c r="AH213" i="23" s="1"/>
  <c r="P73" i="23"/>
  <c r="O82" i="23"/>
  <c r="O73" i="23"/>
  <c r="M73" i="23"/>
  <c r="M75" i="23"/>
  <c r="AE213" i="23" s="1"/>
  <c r="L82" i="23"/>
  <c r="L73" i="23"/>
  <c r="K82" i="23"/>
  <c r="K75" i="23"/>
  <c r="AC213" i="23" s="1"/>
  <c r="L75" i="23"/>
  <c r="AD213" i="23" s="1"/>
  <c r="I73" i="23"/>
  <c r="H75" i="23"/>
  <c r="Z213" i="23" s="1"/>
  <c r="H82" i="23"/>
  <c r="H73" i="23"/>
  <c r="G82" i="23"/>
  <c r="AI56" i="23"/>
  <c r="G73" i="23"/>
  <c r="AI76" i="23"/>
  <c r="AI78" i="23"/>
  <c r="E75" i="23"/>
  <c r="W213" i="23" s="1"/>
  <c r="AI77" i="23"/>
  <c r="D75" i="23"/>
  <c r="V213" i="23" s="1"/>
  <c r="D73" i="23"/>
  <c r="E73" i="23"/>
  <c r="C82" i="23"/>
  <c r="AI79" i="23"/>
  <c r="AI80" i="23"/>
  <c r="AH56" i="23"/>
  <c r="AI38" i="23"/>
  <c r="AI68" i="23"/>
  <c r="AH78" i="23"/>
  <c r="AH76" i="23"/>
  <c r="H4" i="23"/>
  <c r="AL213" i="23"/>
  <c r="T7" i="23"/>
  <c r="K73" i="23"/>
  <c r="AI72" i="23"/>
  <c r="J102" i="23"/>
  <c r="R5" i="23"/>
  <c r="H7" i="23"/>
  <c r="E82" i="23"/>
  <c r="M82" i="23"/>
  <c r="M83" i="23" s="1"/>
  <c r="U82" i="23"/>
  <c r="AC82" i="23"/>
  <c r="AH79" i="23"/>
  <c r="B82" i="23"/>
  <c r="D191" i="23"/>
  <c r="E114" i="23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C73" i="23"/>
  <c r="C75" i="23" s="1"/>
  <c r="F82" i="23"/>
  <c r="N82" i="23"/>
  <c r="V82" i="23"/>
  <c r="AD82" i="23"/>
  <c r="P83" i="23"/>
  <c r="E191" i="23"/>
  <c r="J5" i="23"/>
  <c r="F73" i="23"/>
  <c r="E5" i="23"/>
  <c r="N73" i="23"/>
  <c r="M5" i="23"/>
  <c r="U5" i="23"/>
  <c r="AC5" i="23"/>
  <c r="F75" i="23"/>
  <c r="N75" i="23"/>
  <c r="T73" i="23"/>
  <c r="T83" i="23" s="1"/>
  <c r="D82" i="23"/>
  <c r="F101" i="23"/>
  <c r="F108" i="23"/>
  <c r="E93" i="23"/>
  <c r="AH38" i="23"/>
  <c r="B5" i="23"/>
  <c r="P7" i="23"/>
  <c r="S75" i="23"/>
  <c r="S73" i="23"/>
  <c r="I75" i="23"/>
  <c r="I83" i="23" s="1"/>
  <c r="Q75" i="23"/>
  <c r="AG75" i="23"/>
  <c r="AG83" i="23" s="1"/>
  <c r="AH77" i="23"/>
  <c r="Z5" i="23"/>
  <c r="AF5" i="23"/>
  <c r="J73" i="23"/>
  <c r="R73" i="23"/>
  <c r="Z73" i="23"/>
  <c r="AH68" i="23"/>
  <c r="J75" i="23"/>
  <c r="R75" i="23"/>
  <c r="Z75" i="23"/>
  <c r="AH72" i="23"/>
  <c r="AH80" i="23"/>
  <c r="D210" i="23"/>
  <c r="S210" i="23"/>
  <c r="G75" i="23"/>
  <c r="G83" i="23" s="1"/>
  <c r="O75" i="23"/>
  <c r="E199" i="23"/>
  <c r="H193" i="23"/>
  <c r="D234" i="23"/>
  <c r="F198" i="23"/>
  <c r="F199" i="23"/>
  <c r="X234" i="25" l="1"/>
  <c r="Z198" i="25"/>
  <c r="AB102" i="25"/>
  <c r="AO213" i="25"/>
  <c r="W7" i="25"/>
  <c r="W83" i="25"/>
  <c r="Y199" i="25"/>
  <c r="Y52" i="25" s="1"/>
  <c r="Z193" i="25"/>
  <c r="Y93" i="25"/>
  <c r="X191" i="25"/>
  <c r="Y101" i="25"/>
  <c r="X73" i="25"/>
  <c r="X75" i="25"/>
  <c r="H193" i="24"/>
  <c r="G199" i="24"/>
  <c r="H114" i="24"/>
  <c r="G93" i="24"/>
  <c r="G191" i="24"/>
  <c r="K101" i="24"/>
  <c r="M102" i="24"/>
  <c r="G234" i="24"/>
  <c r="I198" i="24"/>
  <c r="S83" i="23"/>
  <c r="N83" i="23"/>
  <c r="M7" i="23"/>
  <c r="L83" i="23"/>
  <c r="L7" i="23"/>
  <c r="K83" i="23"/>
  <c r="K7" i="23"/>
  <c r="J83" i="23"/>
  <c r="H83" i="23"/>
  <c r="D7" i="23"/>
  <c r="D83" i="23"/>
  <c r="E83" i="23"/>
  <c r="E7" i="23"/>
  <c r="C83" i="23"/>
  <c r="AG213" i="23"/>
  <c r="O7" i="23"/>
  <c r="AK213" i="23"/>
  <c r="S7" i="23"/>
  <c r="AI82" i="23"/>
  <c r="AH82" i="23"/>
  <c r="E234" i="23"/>
  <c r="G198" i="23"/>
  <c r="Y213" i="23"/>
  <c r="C208" i="23"/>
  <c r="B208" i="23"/>
  <c r="G7" i="23"/>
  <c r="AJ213" i="23"/>
  <c r="R7" i="23"/>
  <c r="X213" i="23"/>
  <c r="F7" i="23"/>
  <c r="AR213" i="23"/>
  <c r="Z7" i="23"/>
  <c r="AB213" i="23"/>
  <c r="J7" i="23"/>
  <c r="AI213" i="23"/>
  <c r="Q7" i="23"/>
  <c r="F83" i="23"/>
  <c r="Q83" i="23"/>
  <c r="AA213" i="23"/>
  <c r="I7" i="23"/>
  <c r="Z83" i="23"/>
  <c r="O83" i="23"/>
  <c r="G108" i="23"/>
  <c r="F93" i="23"/>
  <c r="U213" i="23"/>
  <c r="C7" i="23"/>
  <c r="K102" i="23"/>
  <c r="I193" i="23"/>
  <c r="R83" i="23"/>
  <c r="F191" i="23"/>
  <c r="G101" i="23"/>
  <c r="AF213" i="23"/>
  <c r="N7" i="23"/>
  <c r="Y75" i="25" l="1"/>
  <c r="Y73" i="25"/>
  <c r="Y83" i="25" s="1"/>
  <c r="AP213" i="25"/>
  <c r="X7" i="25"/>
  <c r="X83" i="25"/>
  <c r="Y191" i="25"/>
  <c r="Z101" i="25"/>
  <c r="AC102" i="25"/>
  <c r="Y234" i="25"/>
  <c r="AA198" i="25"/>
  <c r="Z199" i="25"/>
  <c r="AA193" i="25"/>
  <c r="Z93" i="25"/>
  <c r="H234" i="24"/>
  <c r="J198" i="24"/>
  <c r="I114" i="24"/>
  <c r="H93" i="24"/>
  <c r="H191" i="24"/>
  <c r="N102" i="24"/>
  <c r="H199" i="24"/>
  <c r="I193" i="24"/>
  <c r="L101" i="24"/>
  <c r="G191" i="23"/>
  <c r="H101" i="23"/>
  <c r="F234" i="23"/>
  <c r="H198" i="23"/>
  <c r="G199" i="23"/>
  <c r="J193" i="23"/>
  <c r="H108" i="23"/>
  <c r="G93" i="23"/>
  <c r="K6" i="23"/>
  <c r="L102" i="23"/>
  <c r="Z191" i="25" l="1"/>
  <c r="AA101" i="25"/>
  <c r="AA199" i="25"/>
  <c r="AA51" i="25" s="1"/>
  <c r="AA52" i="25" s="1"/>
  <c r="AB193" i="25"/>
  <c r="AA93" i="25"/>
  <c r="AB198" i="25"/>
  <c r="Z234" i="25"/>
  <c r="AD102" i="25"/>
  <c r="AQ213" i="25"/>
  <c r="Y7" i="25"/>
  <c r="O102" i="24"/>
  <c r="M101" i="24"/>
  <c r="J114" i="24"/>
  <c r="I93" i="24"/>
  <c r="I191" i="24"/>
  <c r="I234" i="24"/>
  <c r="K198" i="24"/>
  <c r="J193" i="24"/>
  <c r="I199" i="24"/>
  <c r="K193" i="23"/>
  <c r="G234" i="23"/>
  <c r="I198" i="23"/>
  <c r="H199" i="23"/>
  <c r="M102" i="23"/>
  <c r="I108" i="23"/>
  <c r="H93" i="23"/>
  <c r="H191" i="23"/>
  <c r="I101" i="23"/>
  <c r="AE102" i="25" l="1"/>
  <c r="AB199" i="25"/>
  <c r="AB51" i="25" s="1"/>
  <c r="AB52" i="25" s="1"/>
  <c r="AC193" i="25"/>
  <c r="AB93" i="25"/>
  <c r="AA75" i="25"/>
  <c r="AA73" i="25"/>
  <c r="AA234" i="25"/>
  <c r="AC198" i="25"/>
  <c r="AA191" i="25"/>
  <c r="AB101" i="25"/>
  <c r="K114" i="24"/>
  <c r="J93" i="24"/>
  <c r="J191" i="24"/>
  <c r="N101" i="24"/>
  <c r="J199" i="24"/>
  <c r="K193" i="24"/>
  <c r="J234" i="24"/>
  <c r="L198" i="24"/>
  <c r="P102" i="24"/>
  <c r="H234" i="23"/>
  <c r="J198" i="23"/>
  <c r="I199" i="23"/>
  <c r="I191" i="23"/>
  <c r="J101" i="23"/>
  <c r="L193" i="23"/>
  <c r="N102" i="23"/>
  <c r="J108" i="23"/>
  <c r="I93" i="23"/>
  <c r="AA83" i="25" l="1"/>
  <c r="AS213" i="25"/>
  <c r="AA7" i="25"/>
  <c r="AD193" i="25"/>
  <c r="AC199" i="25"/>
  <c r="AC51" i="25" s="1"/>
  <c r="AC52" i="25" s="1"/>
  <c r="AC93" i="25"/>
  <c r="AB191" i="25"/>
  <c r="AC101" i="25"/>
  <c r="AB75" i="25"/>
  <c r="AB73" i="25"/>
  <c r="AB234" i="25"/>
  <c r="AD198" i="25"/>
  <c r="AF102" i="25"/>
  <c r="O101" i="24"/>
  <c r="Q102" i="24"/>
  <c r="K199" i="24"/>
  <c r="L193" i="24"/>
  <c r="M198" i="24"/>
  <c r="K234" i="24"/>
  <c r="L114" i="24"/>
  <c r="K93" i="24"/>
  <c r="K191" i="24"/>
  <c r="M193" i="23"/>
  <c r="J191" i="23"/>
  <c r="K101" i="23"/>
  <c r="K108" i="23"/>
  <c r="J93" i="23"/>
  <c r="O102" i="23"/>
  <c r="I234" i="23"/>
  <c r="K198" i="23"/>
  <c r="J199" i="23"/>
  <c r="AT213" i="25" l="1"/>
  <c r="AB7" i="25"/>
  <c r="AC191" i="25"/>
  <c r="AD101" i="25"/>
  <c r="B102" i="25"/>
  <c r="AC73" i="25"/>
  <c r="AC75" i="25"/>
  <c r="AC234" i="25"/>
  <c r="AE198" i="25"/>
  <c r="AE193" i="25"/>
  <c r="AD199" i="25"/>
  <c r="AD51" i="25" s="1"/>
  <c r="AD52" i="25" s="1"/>
  <c r="AD93" i="25"/>
  <c r="AB83" i="25"/>
  <c r="L199" i="24"/>
  <c r="M193" i="24"/>
  <c r="L234" i="24"/>
  <c r="N198" i="24"/>
  <c r="P101" i="24"/>
  <c r="R102" i="24"/>
  <c r="M114" i="24"/>
  <c r="L93" i="24"/>
  <c r="L191" i="24"/>
  <c r="L108" i="23"/>
  <c r="K93" i="23"/>
  <c r="K191" i="23"/>
  <c r="L101" i="23"/>
  <c r="P102" i="23"/>
  <c r="L198" i="23"/>
  <c r="J234" i="23"/>
  <c r="K199" i="23"/>
  <c r="N193" i="23"/>
  <c r="AC83" i="25" l="1"/>
  <c r="AU213" i="25"/>
  <c r="AC7" i="25"/>
  <c r="AD73" i="25"/>
  <c r="AD75" i="25"/>
  <c r="AD191" i="25"/>
  <c r="AE101" i="25"/>
  <c r="AF193" i="25"/>
  <c r="AE199" i="25"/>
  <c r="AE51" i="25" s="1"/>
  <c r="AE52" i="25" s="1"/>
  <c r="AE93" i="25"/>
  <c r="AD234" i="25"/>
  <c r="AF198" i="25"/>
  <c r="S102" i="24"/>
  <c r="Q101" i="24"/>
  <c r="M234" i="24"/>
  <c r="O198" i="24"/>
  <c r="M199" i="24"/>
  <c r="N193" i="24"/>
  <c r="N114" i="24"/>
  <c r="M93" i="24"/>
  <c r="M191" i="24"/>
  <c r="K234" i="23"/>
  <c r="M198" i="23"/>
  <c r="L199" i="23"/>
  <c r="Q102" i="23"/>
  <c r="L191" i="23"/>
  <c r="M101" i="23"/>
  <c r="O193" i="23"/>
  <c r="M108" i="23"/>
  <c r="L93" i="23"/>
  <c r="AE191" i="25" l="1"/>
  <c r="AF101" i="25"/>
  <c r="AF199" i="25"/>
  <c r="AF51" i="25" s="1"/>
  <c r="AF52" i="25" s="1"/>
  <c r="B193" i="25"/>
  <c r="AF93" i="25"/>
  <c r="AV213" i="25"/>
  <c r="AD7" i="25"/>
  <c r="AE234" i="25"/>
  <c r="B198" i="25"/>
  <c r="AF234" i="25" s="1"/>
  <c r="AD83" i="25"/>
  <c r="AE75" i="25"/>
  <c r="AE73" i="25"/>
  <c r="R101" i="24"/>
  <c r="O193" i="24"/>
  <c r="N199" i="24"/>
  <c r="N234" i="24"/>
  <c r="P198" i="24"/>
  <c r="O114" i="24"/>
  <c r="N93" i="24"/>
  <c r="N191" i="24"/>
  <c r="T102" i="24"/>
  <c r="P193" i="23"/>
  <c r="M191" i="23"/>
  <c r="N101" i="23"/>
  <c r="R102" i="23"/>
  <c r="N108" i="23"/>
  <c r="M93" i="23"/>
  <c r="L234" i="23"/>
  <c r="N198" i="23"/>
  <c r="M199" i="23"/>
  <c r="AE83" i="25" l="1"/>
  <c r="AW213" i="25"/>
  <c r="AE7" i="25"/>
  <c r="AI93" i="25"/>
  <c r="AF191" i="25"/>
  <c r="B101" i="25"/>
  <c r="B191" i="25" s="1"/>
  <c r="B199" i="25"/>
  <c r="B51" i="25" s="1"/>
  <c r="B93" i="25"/>
  <c r="AF73" i="25"/>
  <c r="AF75" i="25"/>
  <c r="P114" i="24"/>
  <c r="O93" i="24"/>
  <c r="O191" i="24"/>
  <c r="P193" i="24"/>
  <c r="O199" i="24"/>
  <c r="U102" i="24"/>
  <c r="S101" i="24"/>
  <c r="O234" i="24"/>
  <c r="Q198" i="24"/>
  <c r="O108" i="23"/>
  <c r="N93" i="23"/>
  <c r="S102" i="23"/>
  <c r="N191" i="23"/>
  <c r="O101" i="23"/>
  <c r="M234" i="23"/>
  <c r="O198" i="23"/>
  <c r="N199" i="23"/>
  <c r="Q193" i="23"/>
  <c r="AI51" i="25" l="1"/>
  <c r="B52" i="25"/>
  <c r="AX213" i="25"/>
  <c r="AF7" i="25"/>
  <c r="AF83" i="25"/>
  <c r="V102" i="24"/>
  <c r="P199" i="24"/>
  <c r="Q193" i="24"/>
  <c r="P234" i="24"/>
  <c r="R198" i="24"/>
  <c r="T101" i="24"/>
  <c r="Q114" i="24"/>
  <c r="P93" i="24"/>
  <c r="P191" i="24"/>
  <c r="O191" i="23"/>
  <c r="P101" i="23"/>
  <c r="R193" i="23"/>
  <c r="T102" i="23"/>
  <c r="N234" i="23"/>
  <c r="P198" i="23"/>
  <c r="O199" i="23"/>
  <c r="P108" i="23"/>
  <c r="O93" i="23"/>
  <c r="AI52" i="25" l="1"/>
  <c r="B73" i="25"/>
  <c r="B75" i="25"/>
  <c r="Q234" i="24"/>
  <c r="S198" i="24"/>
  <c r="U101" i="24"/>
  <c r="Q199" i="24"/>
  <c r="R193" i="24"/>
  <c r="W102" i="24"/>
  <c r="R114" i="24"/>
  <c r="Q93" i="24"/>
  <c r="Q191" i="24"/>
  <c r="S193" i="23"/>
  <c r="O234" i="23"/>
  <c r="Q198" i="23"/>
  <c r="P199" i="23"/>
  <c r="U102" i="23"/>
  <c r="Q108" i="23"/>
  <c r="P93" i="23"/>
  <c r="P191" i="23"/>
  <c r="Q101" i="23"/>
  <c r="T213" i="25" l="1"/>
  <c r="B7" i="25"/>
  <c r="A7" i="25" s="1"/>
  <c r="AI75" i="25"/>
  <c r="AI73" i="25"/>
  <c r="B83" i="25"/>
  <c r="X102" i="24"/>
  <c r="S193" i="24"/>
  <c r="R199" i="24"/>
  <c r="V101" i="24"/>
  <c r="R234" i="24"/>
  <c r="T198" i="24"/>
  <c r="S114" i="24"/>
  <c r="R93" i="24"/>
  <c r="R191" i="24"/>
  <c r="V102" i="23"/>
  <c r="R108" i="23"/>
  <c r="Q93" i="23"/>
  <c r="P234" i="23"/>
  <c r="R198" i="23"/>
  <c r="Q199" i="23"/>
  <c r="Q191" i="23"/>
  <c r="R101" i="23"/>
  <c r="T193" i="23"/>
  <c r="AI83" i="25" l="1"/>
  <c r="W101" i="24"/>
  <c r="S234" i="24"/>
  <c r="U198" i="24"/>
  <c r="S199" i="24"/>
  <c r="T193" i="24"/>
  <c r="T114" i="24"/>
  <c r="S93" i="24"/>
  <c r="S191" i="24"/>
  <c r="Y102" i="24"/>
  <c r="Q234" i="23"/>
  <c r="S198" i="23"/>
  <c r="R199" i="23"/>
  <c r="U193" i="23"/>
  <c r="S108" i="23"/>
  <c r="R93" i="23"/>
  <c r="W102" i="23"/>
  <c r="R191" i="23"/>
  <c r="S101" i="23"/>
  <c r="U114" i="24" l="1"/>
  <c r="T93" i="24"/>
  <c r="T191" i="24"/>
  <c r="U193" i="24"/>
  <c r="T199" i="24"/>
  <c r="T234" i="24"/>
  <c r="V198" i="24"/>
  <c r="Z102" i="24"/>
  <c r="X101" i="24"/>
  <c r="T108" i="23"/>
  <c r="S93" i="23"/>
  <c r="X102" i="23"/>
  <c r="V193" i="23"/>
  <c r="S191" i="23"/>
  <c r="T101" i="23"/>
  <c r="T198" i="23"/>
  <c r="R234" i="23"/>
  <c r="S199" i="23"/>
  <c r="AA102" i="24" l="1"/>
  <c r="U234" i="24"/>
  <c r="W198" i="24"/>
  <c r="U199" i="24"/>
  <c r="U51" i="24" s="1"/>
  <c r="U52" i="24" s="1"/>
  <c r="V193" i="24"/>
  <c r="Y101" i="24"/>
  <c r="V114" i="24"/>
  <c r="U93" i="24"/>
  <c r="U191" i="24"/>
  <c r="T191" i="23"/>
  <c r="U101" i="23"/>
  <c r="W193" i="23"/>
  <c r="Y102" i="23"/>
  <c r="S234" i="23"/>
  <c r="U198" i="23"/>
  <c r="T199" i="23"/>
  <c r="U108" i="23"/>
  <c r="T93" i="23"/>
  <c r="Z101" i="24" l="1"/>
  <c r="U75" i="24"/>
  <c r="U73" i="24"/>
  <c r="V234" i="24"/>
  <c r="X198" i="24"/>
  <c r="AB102" i="24"/>
  <c r="V199" i="24"/>
  <c r="V51" i="24" s="1"/>
  <c r="V52" i="24" s="1"/>
  <c r="W193" i="24"/>
  <c r="W114" i="24"/>
  <c r="V93" i="24"/>
  <c r="V191" i="24"/>
  <c r="T234" i="23"/>
  <c r="V198" i="23"/>
  <c r="U199" i="23"/>
  <c r="U51" i="23" s="1"/>
  <c r="U52" i="23" s="1"/>
  <c r="Z102" i="23"/>
  <c r="X193" i="23"/>
  <c r="V108" i="23"/>
  <c r="U93" i="23"/>
  <c r="U191" i="23"/>
  <c r="V101" i="23"/>
  <c r="U83" i="24" l="1"/>
  <c r="X114" i="24"/>
  <c r="W93" i="24"/>
  <c r="W191" i="24"/>
  <c r="AC102" i="24"/>
  <c r="W234" i="24"/>
  <c r="Y198" i="24"/>
  <c r="AM213" i="24"/>
  <c r="U7" i="24"/>
  <c r="X193" i="24"/>
  <c r="W199" i="24"/>
  <c r="W51" i="24" s="1"/>
  <c r="W52" i="24" s="1"/>
  <c r="AA101" i="24"/>
  <c r="V73" i="24"/>
  <c r="V75" i="24"/>
  <c r="Y193" i="23"/>
  <c r="U234" i="23"/>
  <c r="W198" i="23"/>
  <c r="V199" i="23"/>
  <c r="V51" i="23" s="1"/>
  <c r="V52" i="23" s="1"/>
  <c r="W108" i="23"/>
  <c r="V93" i="23"/>
  <c r="AA102" i="23"/>
  <c r="V191" i="23"/>
  <c r="W101" i="23"/>
  <c r="U73" i="23"/>
  <c r="U75" i="23"/>
  <c r="AN213" i="24" l="1"/>
  <c r="V7" i="24"/>
  <c r="AB101" i="24"/>
  <c r="AD102" i="24"/>
  <c r="W75" i="24"/>
  <c r="W73" i="24"/>
  <c r="V83" i="24"/>
  <c r="X234" i="24"/>
  <c r="Z198" i="24"/>
  <c r="X199" i="24"/>
  <c r="X52" i="24" s="1"/>
  <c r="Y193" i="24"/>
  <c r="Y114" i="24"/>
  <c r="X93" i="24"/>
  <c r="X191" i="24"/>
  <c r="X108" i="23"/>
  <c r="W93" i="23"/>
  <c r="U83" i="23"/>
  <c r="W191" i="23"/>
  <c r="X101" i="23"/>
  <c r="AM213" i="23"/>
  <c r="U7" i="23"/>
  <c r="V73" i="23"/>
  <c r="V75" i="23"/>
  <c r="V234" i="23"/>
  <c r="X198" i="23"/>
  <c r="W199" i="23"/>
  <c r="W51" i="23" s="1"/>
  <c r="W52" i="23" s="1"/>
  <c r="Z193" i="23"/>
  <c r="AB102" i="23"/>
  <c r="W83" i="24" l="1"/>
  <c r="AO213" i="24"/>
  <c r="W7" i="24"/>
  <c r="Z114" i="24"/>
  <c r="Y93" i="24"/>
  <c r="Y191" i="24"/>
  <c r="AE102" i="24"/>
  <c r="Y199" i="24"/>
  <c r="Y51" i="24" s="1"/>
  <c r="Y52" i="24" s="1"/>
  <c r="Z193" i="24"/>
  <c r="X75" i="24"/>
  <c r="X73" i="24"/>
  <c r="X83" i="24" s="1"/>
  <c r="AC101" i="24"/>
  <c r="AA198" i="24"/>
  <c r="Y234" i="24"/>
  <c r="V83" i="23"/>
  <c r="AA193" i="23"/>
  <c r="AC102" i="23"/>
  <c r="W73" i="23"/>
  <c r="W75" i="23"/>
  <c r="W234" i="23"/>
  <c r="Y198" i="23"/>
  <c r="X199" i="23"/>
  <c r="X52" i="23" s="1"/>
  <c r="X191" i="23"/>
  <c r="Y101" i="23"/>
  <c r="AN213" i="23"/>
  <c r="V7" i="23"/>
  <c r="Y108" i="23"/>
  <c r="AF102" i="24" l="1"/>
  <c r="AP213" i="24"/>
  <c r="X7" i="24"/>
  <c r="Y73" i="24"/>
  <c r="Y75" i="24"/>
  <c r="AB198" i="24"/>
  <c r="Z234" i="24"/>
  <c r="AD101" i="24"/>
  <c r="AA114" i="24"/>
  <c r="Z93" i="24"/>
  <c r="Z191" i="24"/>
  <c r="Z199" i="24"/>
  <c r="AA193" i="24"/>
  <c r="W83" i="23"/>
  <c r="Y191" i="23"/>
  <c r="Z101" i="23"/>
  <c r="X234" i="23"/>
  <c r="Z198" i="23"/>
  <c r="Y199" i="23"/>
  <c r="Y51" i="23" s="1"/>
  <c r="Y52" i="23" s="1"/>
  <c r="AD102" i="23"/>
  <c r="Z108" i="23"/>
  <c r="Y93" i="23"/>
  <c r="AO213" i="23"/>
  <c r="W7" i="23"/>
  <c r="AB193" i="23"/>
  <c r="X73" i="23"/>
  <c r="X75" i="23"/>
  <c r="AQ213" i="24" l="1"/>
  <c r="Y7" i="24"/>
  <c r="Y83" i="24"/>
  <c r="AA199" i="24"/>
  <c r="AA51" i="24" s="1"/>
  <c r="AA52" i="24" s="1"/>
  <c r="AB193" i="24"/>
  <c r="AC198" i="24"/>
  <c r="AA234" i="24"/>
  <c r="AB114" i="24"/>
  <c r="AA93" i="24"/>
  <c r="AA191" i="24"/>
  <c r="AE101" i="24"/>
  <c r="B102" i="24"/>
  <c r="AA108" i="23"/>
  <c r="Z93" i="23"/>
  <c r="AE102" i="23"/>
  <c r="X83" i="23"/>
  <c r="AC193" i="23"/>
  <c r="AP213" i="23"/>
  <c r="X7" i="23"/>
  <c r="Y73" i="23"/>
  <c r="Y75" i="23"/>
  <c r="Y234" i="23"/>
  <c r="AA198" i="23"/>
  <c r="Z199" i="23"/>
  <c r="Z191" i="23"/>
  <c r="AA101" i="23"/>
  <c r="AD198" i="24" l="1"/>
  <c r="AB234" i="24"/>
  <c r="AC193" i="24"/>
  <c r="AB199" i="24"/>
  <c r="AB51" i="24" s="1"/>
  <c r="AB52" i="24" s="1"/>
  <c r="AF101" i="24"/>
  <c r="AA73" i="24"/>
  <c r="AA75" i="24"/>
  <c r="AC114" i="24"/>
  <c r="AB93" i="24"/>
  <c r="AB191" i="24"/>
  <c r="AA191" i="23"/>
  <c r="AB101" i="23"/>
  <c r="AD193" i="23"/>
  <c r="AB198" i="23"/>
  <c r="Z234" i="23"/>
  <c r="AA199" i="23"/>
  <c r="AA51" i="23" s="1"/>
  <c r="AA52" i="23" s="1"/>
  <c r="AF102" i="23"/>
  <c r="Y83" i="23"/>
  <c r="AQ213" i="23"/>
  <c r="Y7" i="23"/>
  <c r="AB108" i="23"/>
  <c r="AA93" i="23"/>
  <c r="AA83" i="24" l="1"/>
  <c r="B101" i="24"/>
  <c r="AB73" i="24"/>
  <c r="AB75" i="24"/>
  <c r="AD193" i="24"/>
  <c r="AC199" i="24"/>
  <c r="AC51" i="24" s="1"/>
  <c r="AC52" i="24" s="1"/>
  <c r="AD114" i="24"/>
  <c r="AC93" i="24"/>
  <c r="AC191" i="24"/>
  <c r="AS213" i="24"/>
  <c r="AA7" i="24"/>
  <c r="AE198" i="24"/>
  <c r="AC234" i="24"/>
  <c r="AC108" i="23"/>
  <c r="AB93" i="23"/>
  <c r="AE193" i="23"/>
  <c r="B102" i="23"/>
  <c r="AA234" i="23"/>
  <c r="AC198" i="23"/>
  <c r="AB199" i="23"/>
  <c r="AB51" i="23" s="1"/>
  <c r="AB52" i="23" s="1"/>
  <c r="AB191" i="23"/>
  <c r="AC101" i="23"/>
  <c r="AA75" i="23"/>
  <c r="AA73" i="23"/>
  <c r="AA83" i="23" s="1"/>
  <c r="AT213" i="24" l="1"/>
  <c r="AB7" i="24"/>
  <c r="AB83" i="24"/>
  <c r="AD199" i="24"/>
  <c r="AD51" i="24" s="1"/>
  <c r="AD52" i="24" s="1"/>
  <c r="AE193" i="24"/>
  <c r="AD234" i="24"/>
  <c r="AF198" i="24"/>
  <c r="AE114" i="24"/>
  <c r="AD93" i="24"/>
  <c r="AD191" i="24"/>
  <c r="AC75" i="24"/>
  <c r="AC73" i="24"/>
  <c r="AC83" i="24" s="1"/>
  <c r="AB234" i="23"/>
  <c r="AD198" i="23"/>
  <c r="AC199" i="23"/>
  <c r="AC51" i="23" s="1"/>
  <c r="AC52" i="23" s="1"/>
  <c r="AS213" i="23"/>
  <c r="AA7" i="23"/>
  <c r="AC191" i="23"/>
  <c r="AD101" i="23"/>
  <c r="AF193" i="23"/>
  <c r="AB73" i="23"/>
  <c r="AB75" i="23"/>
  <c r="AD108" i="23"/>
  <c r="AC93" i="23"/>
  <c r="AF193" i="24" l="1"/>
  <c r="AE199" i="24"/>
  <c r="AE51" i="24" s="1"/>
  <c r="AE52" i="24" s="1"/>
  <c r="AD73" i="24"/>
  <c r="AD75" i="24"/>
  <c r="AE234" i="24"/>
  <c r="B198" i="24"/>
  <c r="AF234" i="24" s="1"/>
  <c r="AU213" i="24"/>
  <c r="AC7" i="24"/>
  <c r="AF114" i="24"/>
  <c r="AE93" i="24"/>
  <c r="AE191" i="24"/>
  <c r="AE108" i="23"/>
  <c r="AD93" i="23"/>
  <c r="AT213" i="23"/>
  <c r="AB7" i="23"/>
  <c r="AD191" i="23"/>
  <c r="AE101" i="23"/>
  <c r="AB83" i="23"/>
  <c r="AC234" i="23"/>
  <c r="AE198" i="23"/>
  <c r="AD199" i="23"/>
  <c r="AD51" i="23" s="1"/>
  <c r="AD52" i="23" s="1"/>
  <c r="AC73" i="23"/>
  <c r="AC75" i="23"/>
  <c r="B193" i="23"/>
  <c r="AV213" i="24" l="1"/>
  <c r="AD7" i="24"/>
  <c r="AD83" i="24"/>
  <c r="AE75" i="24"/>
  <c r="AE73" i="24"/>
  <c r="AE83" i="24" s="1"/>
  <c r="B114" i="24"/>
  <c r="AF93" i="24"/>
  <c r="AF191" i="24"/>
  <c r="AF199" i="24"/>
  <c r="B193" i="24"/>
  <c r="B199" i="24" s="1"/>
  <c r="B51" i="24" s="1"/>
  <c r="AE191" i="23"/>
  <c r="AF101" i="23"/>
  <c r="AC83" i="23"/>
  <c r="AU213" i="23"/>
  <c r="AC7" i="23"/>
  <c r="AD75" i="23"/>
  <c r="AD73" i="23"/>
  <c r="AD234" i="23"/>
  <c r="AF198" i="23"/>
  <c r="AE199" i="23"/>
  <c r="AE51" i="23" s="1"/>
  <c r="AE52" i="23" s="1"/>
  <c r="AF108" i="23"/>
  <c r="AE93" i="23"/>
  <c r="AI93" i="24" l="1"/>
  <c r="AH93" i="24"/>
  <c r="AW213" i="24"/>
  <c r="AE7" i="24"/>
  <c r="B93" i="24"/>
  <c r="B191" i="24"/>
  <c r="AI51" i="24"/>
  <c r="AH51" i="24"/>
  <c r="B52" i="24"/>
  <c r="AF75" i="24"/>
  <c r="AF73" i="24"/>
  <c r="AF83" i="24" s="1"/>
  <c r="AD83" i="23"/>
  <c r="AV213" i="23"/>
  <c r="AD7" i="23"/>
  <c r="B108" i="23"/>
  <c r="AF93" i="23"/>
  <c r="AE73" i="23"/>
  <c r="AE75" i="23"/>
  <c r="AE234" i="23"/>
  <c r="B198" i="23"/>
  <c r="AF199" i="23"/>
  <c r="AF51" i="23" s="1"/>
  <c r="AF52" i="23" s="1"/>
  <c r="AF191" i="23"/>
  <c r="B101" i="23"/>
  <c r="B191" i="23" s="1"/>
  <c r="AX213" i="24" l="1"/>
  <c r="AF7" i="24"/>
  <c r="B73" i="24"/>
  <c r="AH52" i="24"/>
  <c r="AI52" i="24"/>
  <c r="B75" i="24"/>
  <c r="AE83" i="23"/>
  <c r="AF234" i="23"/>
  <c r="B199" i="23"/>
  <c r="AW213" i="23"/>
  <c r="AE7" i="23"/>
  <c r="AI93" i="23"/>
  <c r="AH93" i="23"/>
  <c r="B93" i="23"/>
  <c r="AF75" i="23"/>
  <c r="AF73" i="23"/>
  <c r="T213" i="24" l="1"/>
  <c r="AI75" i="24"/>
  <c r="AH75" i="24"/>
  <c r="B7" i="24"/>
  <c r="A7" i="24" s="1"/>
  <c r="B83" i="24"/>
  <c r="AI73" i="24"/>
  <c r="AH73" i="24"/>
  <c r="AX213" i="23"/>
  <c r="AF7" i="23"/>
  <c r="AH51" i="23"/>
  <c r="B52" i="23"/>
  <c r="AI51" i="23"/>
  <c r="AF83" i="23"/>
  <c r="AH83" i="24" l="1"/>
  <c r="AI83" i="24"/>
  <c r="AH52" i="23"/>
  <c r="AI52" i="23"/>
  <c r="B75" i="23"/>
  <c r="B73" i="23"/>
  <c r="AI73" i="23" l="1"/>
  <c r="AH73" i="23"/>
  <c r="B83" i="23"/>
  <c r="T213" i="23"/>
  <c r="AH75" i="23"/>
  <c r="B7" i="23"/>
  <c r="A7" i="23" s="1"/>
  <c r="AI75" i="23"/>
  <c r="AI83" i="23" l="1"/>
  <c r="AH83" i="23"/>
  <c r="W95" i="22" l="1"/>
  <c r="W37" i="22"/>
  <c r="V37" i="22"/>
  <c r="U37" i="22"/>
  <c r="T37" i="22"/>
  <c r="S37" i="22"/>
  <c r="R37" i="22"/>
  <c r="Q37" i="22"/>
  <c r="P37" i="22"/>
  <c r="O37" i="22"/>
  <c r="N37" i="22" l="1"/>
  <c r="M37" i="22"/>
  <c r="AH99" i="22"/>
  <c r="AI99" i="22" s="1"/>
  <c r="B51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D234" i="22"/>
  <c r="C234" i="22"/>
  <c r="B234" i="22"/>
  <c r="S209" i="22"/>
  <c r="AG199" i="22"/>
  <c r="C199" i="22"/>
  <c r="F198" i="22"/>
  <c r="G198" i="22" s="1"/>
  <c r="H198" i="22" s="1"/>
  <c r="E198" i="22"/>
  <c r="D198" i="22"/>
  <c r="L197" i="22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D197" i="22"/>
  <c r="E197" i="22" s="1"/>
  <c r="F197" i="22" s="1"/>
  <c r="G197" i="22" s="1"/>
  <c r="H197" i="22" s="1"/>
  <c r="I197" i="22" s="1"/>
  <c r="J197" i="22" s="1"/>
  <c r="K197" i="22" s="1"/>
  <c r="E196" i="22"/>
  <c r="F196" i="22" s="1"/>
  <c r="G196" i="22" s="1"/>
  <c r="H196" i="22" s="1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D196" i="22"/>
  <c r="H195" i="22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E195" i="22"/>
  <c r="F195" i="22" s="1"/>
  <c r="G195" i="22" s="1"/>
  <c r="D195" i="22"/>
  <c r="V194" i="22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B194" i="22" s="1"/>
  <c r="F194" i="22"/>
  <c r="G194" i="22" s="1"/>
  <c r="H194" i="22" s="1"/>
  <c r="I194" i="22" s="1"/>
  <c r="J194" i="22" s="1"/>
  <c r="K194" i="22" s="1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E194" i="22"/>
  <c r="D194" i="22"/>
  <c r="E193" i="22"/>
  <c r="E199" i="22" s="1"/>
  <c r="D193" i="22"/>
  <c r="D199" i="22" s="1"/>
  <c r="AG191" i="22"/>
  <c r="C191" i="22"/>
  <c r="D190" i="22"/>
  <c r="E190" i="22" s="1"/>
  <c r="F190" i="22" s="1"/>
  <c r="G190" i="22" s="1"/>
  <c r="H190" i="22" s="1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I189" i="22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H189" i="22"/>
  <c r="E189" i="22"/>
  <c r="F189" i="22" s="1"/>
  <c r="G189" i="22" s="1"/>
  <c r="D189" i="22"/>
  <c r="X188" i="22"/>
  <c r="Y188" i="22" s="1"/>
  <c r="Z188" i="22" s="1"/>
  <c r="AA188" i="22" s="1"/>
  <c r="AB188" i="22" s="1"/>
  <c r="AC188" i="22" s="1"/>
  <c r="AD188" i="22" s="1"/>
  <c r="AE188" i="22" s="1"/>
  <c r="AF188" i="22" s="1"/>
  <c r="B188" i="22" s="1"/>
  <c r="G188" i="22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F188" i="22"/>
  <c r="D188" i="22"/>
  <c r="E188" i="22" s="1"/>
  <c r="E187" i="22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7" i="22"/>
  <c r="M186" i="22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J186" i="22"/>
  <c r="K186" i="22" s="1"/>
  <c r="L186" i="22" s="1"/>
  <c r="E186" i="22"/>
  <c r="F186" i="22" s="1"/>
  <c r="G186" i="22" s="1"/>
  <c r="H186" i="22" s="1"/>
  <c r="I186" i="22" s="1"/>
  <c r="D186" i="22"/>
  <c r="N185" i="22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B185" i="22" s="1"/>
  <c r="J185" i="22"/>
  <c r="K185" i="22" s="1"/>
  <c r="L185" i="22" s="1"/>
  <c r="M185" i="22" s="1"/>
  <c r="E185" i="22"/>
  <c r="F185" i="22" s="1"/>
  <c r="G185" i="22" s="1"/>
  <c r="H185" i="22" s="1"/>
  <c r="I185" i="22" s="1"/>
  <c r="D185" i="22"/>
  <c r="N184" i="22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H184" i="22"/>
  <c r="I184" i="22" s="1"/>
  <c r="J184" i="22" s="1"/>
  <c r="K184" i="22" s="1"/>
  <c r="L184" i="22" s="1"/>
  <c r="M184" i="22" s="1"/>
  <c r="E184" i="22"/>
  <c r="F184" i="22" s="1"/>
  <c r="G184" i="22" s="1"/>
  <c r="D184" i="22"/>
  <c r="K183" i="22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G183" i="22"/>
  <c r="H183" i="22" s="1"/>
  <c r="I183" i="22" s="1"/>
  <c r="J183" i="22" s="1"/>
  <c r="D183" i="22"/>
  <c r="E183" i="22" s="1"/>
  <c r="F183" i="22" s="1"/>
  <c r="J182" i="22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D182" i="22"/>
  <c r="E182" i="22" s="1"/>
  <c r="F182" i="22" s="1"/>
  <c r="G182" i="22" s="1"/>
  <c r="H182" i="22" s="1"/>
  <c r="I182" i="22" s="1"/>
  <c r="M181" i="22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G181" i="22"/>
  <c r="H181" i="22" s="1"/>
  <c r="I181" i="22" s="1"/>
  <c r="J181" i="22" s="1"/>
  <c r="K181" i="22" s="1"/>
  <c r="L181" i="22" s="1"/>
  <c r="F181" i="22"/>
  <c r="E181" i="22"/>
  <c r="D181" i="22"/>
  <c r="D180" i="22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D179" i="22"/>
  <c r="E179" i="22" s="1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Y178" i="22"/>
  <c r="Z178" i="22" s="1"/>
  <c r="AA178" i="22" s="1"/>
  <c r="AB178" i="22" s="1"/>
  <c r="AC178" i="22" s="1"/>
  <c r="AD178" i="22" s="1"/>
  <c r="AE178" i="22" s="1"/>
  <c r="AF178" i="22" s="1"/>
  <c r="B178" i="22" s="1"/>
  <c r="G178" i="22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E178" i="22"/>
  <c r="F178" i="22" s="1"/>
  <c r="D178" i="22"/>
  <c r="D176" i="22"/>
  <c r="E176" i="22" s="1"/>
  <c r="F176" i="22" s="1"/>
  <c r="G176" i="22" s="1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O175" i="22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E175" i="22"/>
  <c r="F175" i="22" s="1"/>
  <c r="G175" i="22" s="1"/>
  <c r="H175" i="22" s="1"/>
  <c r="I175" i="22" s="1"/>
  <c r="J175" i="22" s="1"/>
  <c r="K175" i="22" s="1"/>
  <c r="L175" i="22" s="1"/>
  <c r="M175" i="22" s="1"/>
  <c r="N175" i="22" s="1"/>
  <c r="D175" i="22"/>
  <c r="E174" i="22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D174" i="22"/>
  <c r="V173" i="22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K173" i="22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D173" i="22"/>
  <c r="E173" i="22" s="1"/>
  <c r="F173" i="22" s="1"/>
  <c r="G173" i="22" s="1"/>
  <c r="H173" i="22" s="1"/>
  <c r="I173" i="22" s="1"/>
  <c r="J173" i="22" s="1"/>
  <c r="F172" i="22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D172" i="22"/>
  <c r="E172" i="22" s="1"/>
  <c r="D171" i="22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B171" i="22" s="1"/>
  <c r="G170" i="22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D170" i="22"/>
  <c r="E170" i="22" s="1"/>
  <c r="F170" i="22" s="1"/>
  <c r="AB169" i="22"/>
  <c r="AC169" i="22" s="1"/>
  <c r="AD169" i="22" s="1"/>
  <c r="AE169" i="22" s="1"/>
  <c r="AF169" i="22" s="1"/>
  <c r="B169" i="22" s="1"/>
  <c r="D169" i="22"/>
  <c r="E169" i="22" s="1"/>
  <c r="F169" i="22" s="1"/>
  <c r="G169" i="22" s="1"/>
  <c r="H169" i="22" s="1"/>
  <c r="I169" i="22" s="1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N167" i="22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F167" i="22"/>
  <c r="G167" i="22" s="1"/>
  <c r="H167" i="22" s="1"/>
  <c r="I167" i="22" s="1"/>
  <c r="J167" i="22" s="1"/>
  <c r="K167" i="22" s="1"/>
  <c r="L167" i="22" s="1"/>
  <c r="M167" i="22" s="1"/>
  <c r="E167" i="22"/>
  <c r="D167" i="22"/>
  <c r="D166" i="22"/>
  <c r="E166" i="22" s="1"/>
  <c r="F166" i="22" s="1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E165" i="22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D165" i="22"/>
  <c r="J164" i="22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H164" i="22"/>
  <c r="I164" i="22" s="1"/>
  <c r="D164" i="22"/>
  <c r="E164" i="22" s="1"/>
  <c r="F164" i="22" s="1"/>
  <c r="G164" i="22" s="1"/>
  <c r="F163" i="22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E163" i="22"/>
  <c r="D163" i="22"/>
  <c r="F162" i="22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D162" i="22"/>
  <c r="E162" i="22" s="1"/>
  <c r="E161" i="22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D161" i="22"/>
  <c r="AF160" i="22"/>
  <c r="B160" i="22" s="1"/>
  <c r="P160" i="22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D160" i="22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E159" i="22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D159" i="22"/>
  <c r="O158" i="22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D158" i="22"/>
  <c r="E158" i="22" s="1"/>
  <c r="F158" i="22" s="1"/>
  <c r="G158" i="22" s="1"/>
  <c r="H158" i="22" s="1"/>
  <c r="I158" i="22" s="1"/>
  <c r="J158" i="22" s="1"/>
  <c r="K158" i="22" s="1"/>
  <c r="L158" i="22" s="1"/>
  <c r="M158" i="22" s="1"/>
  <c r="N158" i="22" s="1"/>
  <c r="E157" i="22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D157" i="22"/>
  <c r="G156" i="22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D156" i="22"/>
  <c r="E156" i="22" s="1"/>
  <c r="F156" i="22" s="1"/>
  <c r="D155" i="22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B155" i="22" s="1"/>
  <c r="D153" i="22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D152" i="22"/>
  <c r="E152" i="22" s="1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G151" i="22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B151" i="22" s="1"/>
  <c r="D151" i="22"/>
  <c r="E151" i="22" s="1"/>
  <c r="F151" i="22" s="1"/>
  <c r="E150" i="22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B150" i="22" s="1"/>
  <c r="D150" i="22"/>
  <c r="K148" i="22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E148" i="22"/>
  <c r="F148" i="22" s="1"/>
  <c r="G148" i="22" s="1"/>
  <c r="H148" i="22" s="1"/>
  <c r="I148" i="22" s="1"/>
  <c r="J148" i="22" s="1"/>
  <c r="D148" i="22"/>
  <c r="D147" i="22"/>
  <c r="E147" i="22" s="1"/>
  <c r="F147" i="22" s="1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B147" i="22" s="1"/>
  <c r="D145" i="22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E144" i="22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D144" i="22"/>
  <c r="K143" i="22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F143" i="22"/>
  <c r="G143" i="22" s="1"/>
  <c r="H143" i="22" s="1"/>
  <c r="I143" i="22" s="1"/>
  <c r="J143" i="22" s="1"/>
  <c r="E143" i="22"/>
  <c r="D143" i="22"/>
  <c r="B143" i="22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F141" i="22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D141" i="22"/>
  <c r="E141" i="22" s="1"/>
  <c r="L140" i="22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D140" i="22"/>
  <c r="E140" i="22" s="1"/>
  <c r="F140" i="22" s="1"/>
  <c r="G140" i="22" s="1"/>
  <c r="H140" i="22" s="1"/>
  <c r="I140" i="22" s="1"/>
  <c r="J140" i="22" s="1"/>
  <c r="K140" i="22" s="1"/>
  <c r="J139" i="22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B139" i="22" s="1"/>
  <c r="F139" i="22"/>
  <c r="G139" i="22" s="1"/>
  <c r="H139" i="22" s="1"/>
  <c r="I139" i="22" s="1"/>
  <c r="E139" i="22"/>
  <c r="D139" i="22"/>
  <c r="I137" i="22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B137" i="22" s="1"/>
  <c r="H137" i="22"/>
  <c r="D137" i="22"/>
  <c r="E137" i="22" s="1"/>
  <c r="F137" i="22" s="1"/>
  <c r="G137" i="22" s="1"/>
  <c r="F136" i="22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E136" i="22"/>
  <c r="D136" i="22"/>
  <c r="K135" i="22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D135" i="22"/>
  <c r="E135" i="22" s="1"/>
  <c r="F135" i="22" s="1"/>
  <c r="G135" i="22" s="1"/>
  <c r="H135" i="22" s="1"/>
  <c r="I135" i="22" s="1"/>
  <c r="J135" i="22" s="1"/>
  <c r="H134" i="22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G134" i="22"/>
  <c r="F134" i="22"/>
  <c r="E134" i="22"/>
  <c r="D134" i="22"/>
  <c r="L133" i="22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D133" i="22"/>
  <c r="E133" i="22" s="1"/>
  <c r="F133" i="22" s="1"/>
  <c r="G133" i="22" s="1"/>
  <c r="H133" i="22" s="1"/>
  <c r="I133" i="22" s="1"/>
  <c r="J133" i="22" s="1"/>
  <c r="K133" i="22" s="1"/>
  <c r="D132" i="22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F131" i="22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E131" i="22"/>
  <c r="D131" i="22"/>
  <c r="D130" i="22"/>
  <c r="E130" i="22" s="1"/>
  <c r="F130" i="22" s="1"/>
  <c r="G130" i="22" s="1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B130" i="22" s="1"/>
  <c r="J128" i="22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D128" i="22"/>
  <c r="E128" i="22" s="1"/>
  <c r="F128" i="22" s="1"/>
  <c r="G128" i="22" s="1"/>
  <c r="H128" i="22" s="1"/>
  <c r="I128" i="22" s="1"/>
  <c r="Q127" i="22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7" i="22"/>
  <c r="E127" i="22" s="1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V126" i="22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F126" i="22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E126" i="22"/>
  <c r="D126" i="22"/>
  <c r="E125" i="22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D125" i="22"/>
  <c r="N124" i="22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H123" i="22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D123" i="22"/>
  <c r="E123" i="22" s="1"/>
  <c r="F123" i="22" s="1"/>
  <c r="G123" i="22" s="1"/>
  <c r="F122" i="22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E122" i="22"/>
  <c r="D122" i="22"/>
  <c r="L121" i="22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E121" i="22"/>
  <c r="F121" i="22" s="1"/>
  <c r="G121" i="22" s="1"/>
  <c r="H121" i="22" s="1"/>
  <c r="I121" i="22" s="1"/>
  <c r="J121" i="22" s="1"/>
  <c r="K121" i="22" s="1"/>
  <c r="D121" i="22"/>
  <c r="D120" i="22"/>
  <c r="E120" i="22" s="1"/>
  <c r="F120" i="22" s="1"/>
  <c r="G120" i="22" s="1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I119" i="22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H119" i="22"/>
  <c r="D119" i="22"/>
  <c r="E119" i="22" s="1"/>
  <c r="F119" i="22" s="1"/>
  <c r="G119" i="22" s="1"/>
  <c r="J118" i="22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F118" i="22"/>
  <c r="G118" i="22" s="1"/>
  <c r="H118" i="22" s="1"/>
  <c r="I118" i="22" s="1"/>
  <c r="D118" i="22"/>
  <c r="E118" i="22" s="1"/>
  <c r="F117" i="22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E117" i="22"/>
  <c r="D117" i="22"/>
  <c r="J116" i="22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E116" i="22"/>
  <c r="F116" i="22" s="1"/>
  <c r="G116" i="22" s="1"/>
  <c r="H116" i="22" s="1"/>
  <c r="I116" i="22" s="1"/>
  <c r="D116" i="22"/>
  <c r="L115" i="22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H115" i="22"/>
  <c r="I115" i="22" s="1"/>
  <c r="J115" i="22" s="1"/>
  <c r="K115" i="22" s="1"/>
  <c r="D115" i="22"/>
  <c r="E115" i="22" s="1"/>
  <c r="F115" i="22" s="1"/>
  <c r="G115" i="22" s="1"/>
  <c r="I114" i="22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H114" i="22"/>
  <c r="F114" i="22"/>
  <c r="G114" i="22" s="1"/>
  <c r="D114" i="22"/>
  <c r="E114" i="22" s="1"/>
  <c r="R113" i="22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P113" i="22"/>
  <c r="Q113" i="22" s="1"/>
  <c r="L113" i="22"/>
  <c r="M113" i="22" s="1"/>
  <c r="N113" i="22" s="1"/>
  <c r="O113" i="22" s="1"/>
  <c r="K113" i="22"/>
  <c r="F113" i="22"/>
  <c r="G113" i="22" s="1"/>
  <c r="H113" i="22" s="1"/>
  <c r="I113" i="22" s="1"/>
  <c r="D113" i="22"/>
  <c r="E113" i="22" s="1"/>
  <c r="K112" i="22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E112" i="22"/>
  <c r="F112" i="22" s="1"/>
  <c r="G112" i="22" s="1"/>
  <c r="H112" i="22" s="1"/>
  <c r="I112" i="22" s="1"/>
  <c r="J112" i="22" s="1"/>
  <c r="D112" i="22"/>
  <c r="I111" i="22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B111" i="22" s="1"/>
  <c r="E111" i="22"/>
  <c r="F111" i="22" s="1"/>
  <c r="G111" i="22" s="1"/>
  <c r="H111" i="22" s="1"/>
  <c r="D111" i="22"/>
  <c r="E109" i="22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9" i="22"/>
  <c r="E108" i="22"/>
  <c r="F108" i="22" s="1"/>
  <c r="G108" i="22" s="1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B108" i="22" s="1"/>
  <c r="D108" i="22"/>
  <c r="E106" i="22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D106" i="22"/>
  <c r="I105" i="22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E105" i="22"/>
  <c r="F105" i="22" s="1"/>
  <c r="G105" i="22" s="1"/>
  <c r="H105" i="22" s="1"/>
  <c r="D105" i="22"/>
  <c r="E104" i="22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D104" i="22"/>
  <c r="F103" i="22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B103" i="22" s="1"/>
  <c r="E103" i="22"/>
  <c r="D103" i="22"/>
  <c r="E102" i="22"/>
  <c r="F102" i="22" s="1"/>
  <c r="D102" i="22"/>
  <c r="E101" i="22"/>
  <c r="D101" i="22"/>
  <c r="AH98" i="22"/>
  <c r="AI98" i="22" s="1"/>
  <c r="AH97" i="22"/>
  <c r="AI97" i="22" s="1"/>
  <c r="AH96" i="22"/>
  <c r="AI96" i="22" s="1"/>
  <c r="AH95" i="22"/>
  <c r="AI95" i="22" s="1"/>
  <c r="AH94" i="22"/>
  <c r="AI94" i="22" s="1"/>
  <c r="D93" i="22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AI81" i="22"/>
  <c r="AH81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B80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F78" i="22"/>
  <c r="AF82" i="22" s="1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O82" i="22" s="1"/>
  <c r="N77" i="22"/>
  <c r="M77" i="22"/>
  <c r="M82" i="22" s="1"/>
  <c r="L77" i="22"/>
  <c r="K77" i="22"/>
  <c r="J77" i="22"/>
  <c r="I77" i="22"/>
  <c r="H77" i="22"/>
  <c r="G77" i="22"/>
  <c r="F77" i="22"/>
  <c r="E77" i="22"/>
  <c r="D77" i="22"/>
  <c r="C77" i="22"/>
  <c r="B77" i="22"/>
  <c r="AF76" i="22"/>
  <c r="AE76" i="22"/>
  <c r="AD76" i="22"/>
  <c r="AC76" i="22"/>
  <c r="AB76" i="22"/>
  <c r="AA76" i="22"/>
  <c r="AA82" i="22" s="1"/>
  <c r="Z76" i="22"/>
  <c r="Y76" i="22"/>
  <c r="X76" i="22"/>
  <c r="W76" i="22"/>
  <c r="V76" i="22"/>
  <c r="U76" i="22"/>
  <c r="T76" i="22"/>
  <c r="S76" i="22"/>
  <c r="S82" i="22" s="1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C82" i="22" s="1"/>
  <c r="B76" i="22"/>
  <c r="AI74" i="22"/>
  <c r="AH74" i="22"/>
  <c r="AG72" i="22"/>
  <c r="AG75" i="22" s="1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AI71" i="22"/>
  <c r="AH71" i="22"/>
  <c r="AI70" i="22"/>
  <c r="AH70" i="22"/>
  <c r="AI69" i="22"/>
  <c r="AH69" i="22"/>
  <c r="AG68" i="22"/>
  <c r="AG73" i="22" s="1"/>
  <c r="AF68" i="22"/>
  <c r="AE68" i="22"/>
  <c r="AD5" i="22" s="1"/>
  <c r="AD68" i="22"/>
  <c r="AC5" i="22" s="1"/>
  <c r="AC68" i="22"/>
  <c r="AB5" i="22" s="1"/>
  <c r="AB68" i="22"/>
  <c r="AA5" i="22" s="1"/>
  <c r="AA68" i="22"/>
  <c r="Z5" i="22" s="1"/>
  <c r="Z68" i="22"/>
  <c r="Y5" i="22" s="1"/>
  <c r="Y68" i="22"/>
  <c r="W68" i="22"/>
  <c r="V68" i="22"/>
  <c r="U5" i="22" s="1"/>
  <c r="U68" i="22"/>
  <c r="T5" i="22" s="1"/>
  <c r="T68" i="22"/>
  <c r="S68" i="22"/>
  <c r="R5" i="22" s="1"/>
  <c r="R68" i="22"/>
  <c r="Q68" i="22"/>
  <c r="P5" i="22" s="1"/>
  <c r="P68" i="22"/>
  <c r="O68" i="22"/>
  <c r="N68" i="22"/>
  <c r="M68" i="22"/>
  <c r="L5" i="22" s="1"/>
  <c r="L68" i="22"/>
  <c r="K68" i="22"/>
  <c r="J5" i="22" s="1"/>
  <c r="J68" i="22"/>
  <c r="I68" i="22"/>
  <c r="H5" i="22" s="1"/>
  <c r="H68" i="22"/>
  <c r="G5" i="22" s="1"/>
  <c r="G68" i="22"/>
  <c r="F68" i="22"/>
  <c r="E68" i="22"/>
  <c r="D68" i="22"/>
  <c r="C5" i="22" s="1"/>
  <c r="C68" i="22"/>
  <c r="B68" i="22"/>
  <c r="AF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F56" i="22"/>
  <c r="AE56" i="22"/>
  <c r="AD56" i="22"/>
  <c r="AC56" i="22"/>
  <c r="AB56" i="22"/>
  <c r="AA56" i="22"/>
  <c r="Z56" i="22"/>
  <c r="Y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I55" i="22"/>
  <c r="AH55" i="22"/>
  <c r="AI54" i="22"/>
  <c r="AH54" i="22"/>
  <c r="AI53" i="22"/>
  <c r="AH53" i="22"/>
  <c r="AG52" i="22"/>
  <c r="AG3" i="22" s="1"/>
  <c r="AG6" i="22" s="1"/>
  <c r="Z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G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Z38" i="22"/>
  <c r="Y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F75" i="22" s="1"/>
  <c r="X213" i="22" s="1"/>
  <c r="E38" i="22"/>
  <c r="D38" i="22"/>
  <c r="C38" i="22"/>
  <c r="B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W5" i="22"/>
  <c r="Q5" i="22"/>
  <c r="O5" i="22"/>
  <c r="M5" i="22"/>
  <c r="I5" i="22"/>
  <c r="E5" i="22"/>
  <c r="D5" i="22"/>
  <c r="B5" i="22"/>
  <c r="AG4" i="22"/>
  <c r="K4" i="22"/>
  <c r="B4" i="22"/>
  <c r="AG2" i="22"/>
  <c r="AA95" i="21"/>
  <c r="Z95" i="21"/>
  <c r="Y95" i="21"/>
  <c r="W95" i="21"/>
  <c r="W37" i="21"/>
  <c r="V95" i="21"/>
  <c r="V37" i="21"/>
  <c r="U37" i="21"/>
  <c r="T95" i="21"/>
  <c r="T37" i="21"/>
  <c r="S96" i="21"/>
  <c r="S37" i="21"/>
  <c r="R37" i="21"/>
  <c r="Q37" i="21"/>
  <c r="P37" i="21"/>
  <c r="O37" i="21"/>
  <c r="N37" i="21"/>
  <c r="M37" i="21"/>
  <c r="L37" i="21"/>
  <c r="K37" i="21"/>
  <c r="J37" i="21"/>
  <c r="I37" i="21"/>
  <c r="G37" i="21"/>
  <c r="F37" i="21"/>
  <c r="E37" i="21"/>
  <c r="D95" i="21"/>
  <c r="D37" i="21"/>
  <c r="AH99" i="21"/>
  <c r="AI99" i="21" s="1"/>
  <c r="C95" i="21"/>
  <c r="C37" i="21"/>
  <c r="B93" i="21"/>
  <c r="B80" i="21"/>
  <c r="B82" i="21" s="1"/>
  <c r="B79" i="21"/>
  <c r="B78" i="21"/>
  <c r="B77" i="21"/>
  <c r="B76" i="21"/>
  <c r="B72" i="21"/>
  <c r="B68" i="21"/>
  <c r="B56" i="21"/>
  <c r="B52" i="21"/>
  <c r="B51" i="21"/>
  <c r="B38" i="21"/>
  <c r="B37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E234" i="21"/>
  <c r="D234" i="21"/>
  <c r="C234" i="21"/>
  <c r="B234" i="21"/>
  <c r="S209" i="21"/>
  <c r="AG199" i="21"/>
  <c r="D199" i="21"/>
  <c r="C199" i="21"/>
  <c r="F198" i="21"/>
  <c r="G198" i="21" s="1"/>
  <c r="E198" i="21"/>
  <c r="D198" i="21"/>
  <c r="F197" i="2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E197" i="21"/>
  <c r="D197" i="21"/>
  <c r="D196" i="21"/>
  <c r="E196" i="21" s="1"/>
  <c r="F196" i="21" s="1"/>
  <c r="G196" i="21" s="1"/>
  <c r="H196" i="21" s="1"/>
  <c r="I196" i="21" s="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H195" i="2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B195" i="21" s="1"/>
  <c r="E195" i="21"/>
  <c r="F195" i="21" s="1"/>
  <c r="G195" i="21" s="1"/>
  <c r="D195" i="21"/>
  <c r="F194" i="21"/>
  <c r="G194" i="21" s="1"/>
  <c r="H194" i="21" s="1"/>
  <c r="I194" i="21" s="1"/>
  <c r="J194" i="21" s="1"/>
  <c r="K194" i="21" s="1"/>
  <c r="L194" i="21" s="1"/>
  <c r="M194" i="21" s="1"/>
  <c r="N194" i="21" s="1"/>
  <c r="O194" i="21" s="1"/>
  <c r="P194" i="21" s="1"/>
  <c r="Q194" i="21" s="1"/>
  <c r="R194" i="21" s="1"/>
  <c r="S194" i="21" s="1"/>
  <c r="T194" i="21" s="1"/>
  <c r="U194" i="21" s="1"/>
  <c r="V194" i="21" s="1"/>
  <c r="W194" i="21" s="1"/>
  <c r="X194" i="21" s="1"/>
  <c r="Y194" i="21" s="1"/>
  <c r="Z194" i="21" s="1"/>
  <c r="AA194" i="21" s="1"/>
  <c r="AB194" i="21" s="1"/>
  <c r="AC194" i="21" s="1"/>
  <c r="AD194" i="21" s="1"/>
  <c r="AE194" i="21" s="1"/>
  <c r="AF194" i="21" s="1"/>
  <c r="E194" i="21"/>
  <c r="D194" i="21"/>
  <c r="B194" i="21"/>
  <c r="E193" i="21"/>
  <c r="D193" i="21"/>
  <c r="AG191" i="21"/>
  <c r="C191" i="21"/>
  <c r="R190" i="2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Q190" i="21"/>
  <c r="D190" i="21"/>
  <c r="E190" i="21" s="1"/>
  <c r="F190" i="21" s="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X189" i="2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F189" i="2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E189" i="21"/>
  <c r="D189" i="21"/>
  <c r="O188" i="2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B188" i="21" s="1"/>
  <c r="N188" i="21"/>
  <c r="E188" i="21"/>
  <c r="F188" i="21" s="1"/>
  <c r="G188" i="21" s="1"/>
  <c r="H188" i="21" s="1"/>
  <c r="I188" i="21" s="1"/>
  <c r="J188" i="21" s="1"/>
  <c r="K188" i="21" s="1"/>
  <c r="L188" i="21" s="1"/>
  <c r="M188" i="21" s="1"/>
  <c r="D188" i="21"/>
  <c r="D187" i="21"/>
  <c r="E187" i="21" s="1"/>
  <c r="F187" i="21" s="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AC186" i="21"/>
  <c r="AD186" i="21" s="1"/>
  <c r="AE186" i="21" s="1"/>
  <c r="AF186" i="21" s="1"/>
  <c r="B186" i="21" s="1"/>
  <c r="J186" i="2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E186" i="21"/>
  <c r="F186" i="21" s="1"/>
  <c r="G186" i="21" s="1"/>
  <c r="H186" i="21" s="1"/>
  <c r="I186" i="21" s="1"/>
  <c r="D186" i="21"/>
  <c r="E185" i="2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D185" i="21"/>
  <c r="Y184" i="21"/>
  <c r="Z184" i="21" s="1"/>
  <c r="AA184" i="21" s="1"/>
  <c r="AB184" i="21" s="1"/>
  <c r="AC184" i="21" s="1"/>
  <c r="AD184" i="21" s="1"/>
  <c r="AE184" i="21" s="1"/>
  <c r="AF184" i="21" s="1"/>
  <c r="B184" i="21" s="1"/>
  <c r="U184" i="21"/>
  <c r="V184" i="21" s="1"/>
  <c r="W184" i="21" s="1"/>
  <c r="X184" i="21" s="1"/>
  <c r="D184" i="2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E183" i="21"/>
  <c r="F183" i="21" s="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D183" i="21"/>
  <c r="U182" i="2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Q182" i="21"/>
  <c r="R182" i="21" s="1"/>
  <c r="S182" i="21" s="1"/>
  <c r="T182" i="21" s="1"/>
  <c r="D182" i="21"/>
  <c r="E182" i="21" s="1"/>
  <c r="F182" i="21" s="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F181" i="2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B181" i="21" s="1"/>
  <c r="E181" i="21"/>
  <c r="D181" i="21"/>
  <c r="D180" i="21"/>
  <c r="E180" i="21" s="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U179" i="2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B179" i="21" s="1"/>
  <c r="Q179" i="21"/>
  <c r="R179" i="21" s="1"/>
  <c r="S179" i="21" s="1"/>
  <c r="T179" i="21" s="1"/>
  <c r="E179" i="2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D179" i="21"/>
  <c r="I178" i="21"/>
  <c r="J178" i="21" s="1"/>
  <c r="K178" i="21" s="1"/>
  <c r="L178" i="21" s="1"/>
  <c r="M178" i="21" s="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B178" i="21" s="1"/>
  <c r="E178" i="21"/>
  <c r="F178" i="21" s="1"/>
  <c r="G178" i="21" s="1"/>
  <c r="H178" i="21" s="1"/>
  <c r="D178" i="21"/>
  <c r="D176" i="2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D175" i="21"/>
  <c r="E175" i="21" s="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B175" i="21"/>
  <c r="E174" i="2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B174" i="21" s="1"/>
  <c r="D174" i="21"/>
  <c r="D173" i="21"/>
  <c r="E173" i="21" s="1"/>
  <c r="F173" i="21" s="1"/>
  <c r="G173" i="21" s="1"/>
  <c r="H173" i="21" s="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B173" i="21" s="1"/>
  <c r="D172" i="21"/>
  <c r="E172" i="21" s="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E171" i="2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B171" i="21" s="1"/>
  <c r="D171" i="21"/>
  <c r="G170" i="2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B170" i="21" s="1"/>
  <c r="F170" i="21"/>
  <c r="E170" i="21"/>
  <c r="D170" i="21"/>
  <c r="D169" i="21"/>
  <c r="E169" i="21" s="1"/>
  <c r="F169" i="21" s="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B169" i="21" s="1"/>
  <c r="AC167" i="21"/>
  <c r="AD167" i="21" s="1"/>
  <c r="AE167" i="21" s="1"/>
  <c r="AF167" i="21" s="1"/>
  <c r="B167" i="21" s="1"/>
  <c r="D167" i="2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D166" i="21"/>
  <c r="E166" i="21" s="1"/>
  <c r="F166" i="21" s="1"/>
  <c r="G166" i="21" s="1"/>
  <c r="H166" i="21" s="1"/>
  <c r="I166" i="21" s="1"/>
  <c r="J166" i="21" s="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F165" i="2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B165" i="21" s="1"/>
  <c r="E165" i="21"/>
  <c r="D165" i="21"/>
  <c r="D164" i="21"/>
  <c r="E164" i="21" s="1"/>
  <c r="F164" i="21" s="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M163" i="2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L163" i="21"/>
  <c r="D163" i="21"/>
  <c r="E163" i="21" s="1"/>
  <c r="F163" i="21" s="1"/>
  <c r="G163" i="21" s="1"/>
  <c r="H163" i="21" s="1"/>
  <c r="I163" i="21" s="1"/>
  <c r="J163" i="21" s="1"/>
  <c r="K163" i="21" s="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D161" i="21"/>
  <c r="E161" i="21" s="1"/>
  <c r="F161" i="21" s="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B161" i="21" s="1"/>
  <c r="AD160" i="21"/>
  <c r="AE160" i="21" s="1"/>
  <c r="AF160" i="21" s="1"/>
  <c r="B160" i="21" s="1"/>
  <c r="U160" i="21"/>
  <c r="V160" i="21" s="1"/>
  <c r="W160" i="21" s="1"/>
  <c r="X160" i="21" s="1"/>
  <c r="Y160" i="21" s="1"/>
  <c r="Z160" i="21" s="1"/>
  <c r="AA160" i="21" s="1"/>
  <c r="AB160" i="21" s="1"/>
  <c r="AC160" i="21" s="1"/>
  <c r="D160" i="21"/>
  <c r="E160" i="21" s="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S159" i="2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D159" i="2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F158" i="2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E158" i="21"/>
  <c r="D158" i="21"/>
  <c r="U157" i="2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7" i="2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D156" i="21"/>
  <c r="E156" i="21" s="1"/>
  <c r="F156" i="21" s="1"/>
  <c r="G156" i="21" s="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B156" i="21" s="1"/>
  <c r="D155" i="21"/>
  <c r="E155" i="21" s="1"/>
  <c r="F155" i="21" s="1"/>
  <c r="G155" i="21" s="1"/>
  <c r="H155" i="21" s="1"/>
  <c r="I155" i="21" s="1"/>
  <c r="J155" i="21" s="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B155" i="21" s="1"/>
  <c r="AD153" i="21"/>
  <c r="AE153" i="21" s="1"/>
  <c r="AF153" i="21" s="1"/>
  <c r="B153" i="21" s="1"/>
  <c r="W153" i="21"/>
  <c r="X153" i="21" s="1"/>
  <c r="Y153" i="21" s="1"/>
  <c r="Z153" i="21" s="1"/>
  <c r="AA153" i="21" s="1"/>
  <c r="AB153" i="21" s="1"/>
  <c r="AC153" i="21" s="1"/>
  <c r="F153" i="2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E153" i="21"/>
  <c r="D153" i="21"/>
  <c r="D152" i="21"/>
  <c r="E152" i="21" s="1"/>
  <c r="F152" i="21" s="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J151" i="2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B151" i="21" s="1"/>
  <c r="E151" i="21"/>
  <c r="F151" i="21" s="1"/>
  <c r="G151" i="21" s="1"/>
  <c r="H151" i="21" s="1"/>
  <c r="I151" i="21" s="1"/>
  <c r="D151" i="21"/>
  <c r="I150" i="2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B150" i="21" s="1"/>
  <c r="H150" i="21"/>
  <c r="D150" i="21"/>
  <c r="E150" i="21" s="1"/>
  <c r="F150" i="21" s="1"/>
  <c r="G150" i="21" s="1"/>
  <c r="W148" i="2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B148" i="21" s="1"/>
  <c r="H148" i="2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G148" i="21"/>
  <c r="F148" i="21"/>
  <c r="E148" i="21"/>
  <c r="D148" i="21"/>
  <c r="L147" i="21"/>
  <c r="M147" i="21" s="1"/>
  <c r="N147" i="21" s="1"/>
  <c r="O147" i="21" s="1"/>
  <c r="P147" i="21" s="1"/>
  <c r="Q147" i="21" s="1"/>
  <c r="R147" i="21" s="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B147" i="21" s="1"/>
  <c r="G147" i="21"/>
  <c r="H147" i="21" s="1"/>
  <c r="I147" i="21" s="1"/>
  <c r="J147" i="21" s="1"/>
  <c r="K147" i="21" s="1"/>
  <c r="D147" i="21"/>
  <c r="E147" i="21" s="1"/>
  <c r="F147" i="21" s="1"/>
  <c r="U145" i="2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J145" i="21"/>
  <c r="K145" i="21" s="1"/>
  <c r="L145" i="21" s="1"/>
  <c r="M145" i="21" s="1"/>
  <c r="N145" i="21" s="1"/>
  <c r="O145" i="21" s="1"/>
  <c r="P145" i="21" s="1"/>
  <c r="Q145" i="21" s="1"/>
  <c r="R145" i="21" s="1"/>
  <c r="S145" i="21" s="1"/>
  <c r="T145" i="21" s="1"/>
  <c r="E145" i="21"/>
  <c r="F145" i="21" s="1"/>
  <c r="G145" i="21" s="1"/>
  <c r="H145" i="21" s="1"/>
  <c r="I145" i="21" s="1"/>
  <c r="D145" i="21"/>
  <c r="X144" i="2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D144" i="21"/>
  <c r="E144" i="21" s="1"/>
  <c r="F144" i="21" s="1"/>
  <c r="G144" i="21" s="1"/>
  <c r="H144" i="21" s="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F143" i="21"/>
  <c r="G143" i="21" s="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B143" i="21" s="1"/>
  <c r="E143" i="21"/>
  <c r="D143" i="21"/>
  <c r="G142" i="2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B142" i="21" s="1"/>
  <c r="F142" i="21"/>
  <c r="E142" i="21"/>
  <c r="D142" i="21"/>
  <c r="D141" i="21"/>
  <c r="E141" i="21" s="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I140" i="2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B140" i="21" s="1"/>
  <c r="H140" i="21"/>
  <c r="D140" i="21"/>
  <c r="E140" i="21" s="1"/>
  <c r="F140" i="21" s="1"/>
  <c r="G140" i="21" s="1"/>
  <c r="Y139" i="21"/>
  <c r="Z139" i="21" s="1"/>
  <c r="AA139" i="21" s="1"/>
  <c r="AB139" i="21" s="1"/>
  <c r="AC139" i="21" s="1"/>
  <c r="AD139" i="21" s="1"/>
  <c r="AE139" i="21" s="1"/>
  <c r="AF139" i="21" s="1"/>
  <c r="B139" i="21" s="1"/>
  <c r="O139" i="21"/>
  <c r="P139" i="21" s="1"/>
  <c r="Q139" i="21" s="1"/>
  <c r="R139" i="21" s="1"/>
  <c r="S139" i="21" s="1"/>
  <c r="T139" i="21" s="1"/>
  <c r="U139" i="21" s="1"/>
  <c r="V139" i="21" s="1"/>
  <c r="W139" i="21" s="1"/>
  <c r="X139" i="21" s="1"/>
  <c r="N139" i="21"/>
  <c r="F139" i="21"/>
  <c r="G139" i="21" s="1"/>
  <c r="H139" i="21" s="1"/>
  <c r="I139" i="21" s="1"/>
  <c r="J139" i="21" s="1"/>
  <c r="K139" i="21" s="1"/>
  <c r="L139" i="21" s="1"/>
  <c r="M139" i="21" s="1"/>
  <c r="E139" i="21"/>
  <c r="D139" i="21"/>
  <c r="U137" i="2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H137" i="2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G137" i="21"/>
  <c r="D137" i="21"/>
  <c r="E137" i="21" s="1"/>
  <c r="F137" i="21" s="1"/>
  <c r="D136" i="21"/>
  <c r="E136" i="21" s="1"/>
  <c r="F136" i="21" s="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B136" i="21" s="1"/>
  <c r="D135" i="21"/>
  <c r="E135" i="21" s="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AA134" i="21"/>
  <c r="AB134" i="21" s="1"/>
  <c r="AC134" i="21" s="1"/>
  <c r="AD134" i="21" s="1"/>
  <c r="AE134" i="21" s="1"/>
  <c r="AF134" i="21" s="1"/>
  <c r="B134" i="21" s="1"/>
  <c r="K134" i="2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J134" i="21"/>
  <c r="D134" i="21"/>
  <c r="E134" i="21" s="1"/>
  <c r="F134" i="21" s="1"/>
  <c r="G134" i="21" s="1"/>
  <c r="H134" i="21" s="1"/>
  <c r="I134" i="21" s="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AE132" i="21"/>
  <c r="AF132" i="21" s="1"/>
  <c r="B132" i="21" s="1"/>
  <c r="O132" i="2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F132" i="21"/>
  <c r="G132" i="21" s="1"/>
  <c r="H132" i="21" s="1"/>
  <c r="I132" i="21" s="1"/>
  <c r="J132" i="21" s="1"/>
  <c r="K132" i="21" s="1"/>
  <c r="L132" i="21" s="1"/>
  <c r="M132" i="21" s="1"/>
  <c r="N132" i="21" s="1"/>
  <c r="E132" i="21"/>
  <c r="D132" i="21"/>
  <c r="E131" i="2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B131" i="21" s="1"/>
  <c r="D131" i="21"/>
  <c r="D130" i="21"/>
  <c r="E130" i="21" s="1"/>
  <c r="F130" i="21" s="1"/>
  <c r="G130" i="21" s="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B130" i="21" s="1"/>
  <c r="H128" i="2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D128" i="21"/>
  <c r="E128" i="21" s="1"/>
  <c r="F128" i="21" s="1"/>
  <c r="G128" i="21" s="1"/>
  <c r="D127" i="21"/>
  <c r="E127" i="21" s="1"/>
  <c r="F127" i="21" s="1"/>
  <c r="G127" i="21" s="1"/>
  <c r="H127" i="21" s="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D126" i="2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Z125" i="21"/>
  <c r="AA125" i="21" s="1"/>
  <c r="AB125" i="21" s="1"/>
  <c r="AC125" i="21" s="1"/>
  <c r="AD125" i="21" s="1"/>
  <c r="AE125" i="21" s="1"/>
  <c r="AF125" i="21" s="1"/>
  <c r="B125" i="21" s="1"/>
  <c r="K125" i="2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J125" i="21"/>
  <c r="D125" i="21"/>
  <c r="E125" i="21" s="1"/>
  <c r="F125" i="21" s="1"/>
  <c r="G125" i="21" s="1"/>
  <c r="H125" i="21" s="1"/>
  <c r="I125" i="21" s="1"/>
  <c r="D124" i="21"/>
  <c r="E124" i="21" s="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D123" i="21"/>
  <c r="E123" i="21" s="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E122" i="21"/>
  <c r="F122" i="21" s="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D122" i="2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J120" i="2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B120" i="21" s="1"/>
  <c r="I120" i="21"/>
  <c r="D120" i="21"/>
  <c r="E120" i="21" s="1"/>
  <c r="F120" i="21" s="1"/>
  <c r="G120" i="21" s="1"/>
  <c r="H120" i="21" s="1"/>
  <c r="H119" i="2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D119" i="21"/>
  <c r="E119" i="21" s="1"/>
  <c r="F119" i="21" s="1"/>
  <c r="G119" i="21" s="1"/>
  <c r="D118" i="2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M117" i="2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J117" i="21"/>
  <c r="K117" i="21" s="1"/>
  <c r="L117" i="21" s="1"/>
  <c r="E117" i="21"/>
  <c r="F117" i="21" s="1"/>
  <c r="G117" i="21" s="1"/>
  <c r="H117" i="21" s="1"/>
  <c r="I117" i="21" s="1"/>
  <c r="D117" i="21"/>
  <c r="H116" i="2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D116" i="21"/>
  <c r="E116" i="21" s="1"/>
  <c r="F116" i="21" s="1"/>
  <c r="G116" i="21" s="1"/>
  <c r="F115" i="21"/>
  <c r="G115" i="21" s="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D115" i="21"/>
  <c r="E115" i="21" s="1"/>
  <c r="M114" i="2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F114" i="21"/>
  <c r="G114" i="21" s="1"/>
  <c r="H114" i="21" s="1"/>
  <c r="I114" i="21" s="1"/>
  <c r="J114" i="21" s="1"/>
  <c r="K114" i="21" s="1"/>
  <c r="L114" i="21" s="1"/>
  <c r="E114" i="21"/>
  <c r="D114" i="21"/>
  <c r="T113" i="2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S113" i="21"/>
  <c r="K113" i="21"/>
  <c r="L113" i="21" s="1"/>
  <c r="M113" i="21" s="1"/>
  <c r="N113" i="21" s="1"/>
  <c r="O113" i="21" s="1"/>
  <c r="P113" i="21" s="1"/>
  <c r="Q113" i="21" s="1"/>
  <c r="R113" i="21" s="1"/>
  <c r="I113" i="21"/>
  <c r="D113" i="21"/>
  <c r="E113" i="21" s="1"/>
  <c r="F113" i="21" s="1"/>
  <c r="G113" i="21" s="1"/>
  <c r="H113" i="21" s="1"/>
  <c r="Q112" i="2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B112" i="21" s="1"/>
  <c r="P112" i="21"/>
  <c r="H112" i="21"/>
  <c r="I112" i="21" s="1"/>
  <c r="J112" i="21" s="1"/>
  <c r="K112" i="21" s="1"/>
  <c r="L112" i="21" s="1"/>
  <c r="M112" i="21" s="1"/>
  <c r="N112" i="21" s="1"/>
  <c r="O112" i="21" s="1"/>
  <c r="G112" i="21"/>
  <c r="D112" i="21"/>
  <c r="E112" i="21" s="1"/>
  <c r="F112" i="21" s="1"/>
  <c r="P111" i="2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B111" i="21" s="1"/>
  <c r="O111" i="21"/>
  <c r="G111" i="21"/>
  <c r="H111" i="21" s="1"/>
  <c r="I111" i="21" s="1"/>
  <c r="J111" i="21" s="1"/>
  <c r="K111" i="21" s="1"/>
  <c r="L111" i="21" s="1"/>
  <c r="M111" i="21" s="1"/>
  <c r="N111" i="21" s="1"/>
  <c r="F111" i="21"/>
  <c r="E111" i="21"/>
  <c r="D111" i="21"/>
  <c r="F109" i="2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B109" i="21" s="1"/>
  <c r="E109" i="21"/>
  <c r="D109" i="21"/>
  <c r="D108" i="21"/>
  <c r="D106" i="21"/>
  <c r="E106" i="21" s="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E105" i="21"/>
  <c r="F105" i="21" s="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D105" i="21"/>
  <c r="D104" i="2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B104" i="21" s="1"/>
  <c r="D103" i="21"/>
  <c r="E103" i="21" s="1"/>
  <c r="F103" i="21" s="1"/>
  <c r="G103" i="21" s="1"/>
  <c r="H103" i="21" s="1"/>
  <c r="I103" i="21" s="1"/>
  <c r="J103" i="21" s="1"/>
  <c r="K103" i="21" s="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B103" i="21" s="1"/>
  <c r="E102" i="21"/>
  <c r="F102" i="21" s="1"/>
  <c r="D102" i="21"/>
  <c r="F101" i="21"/>
  <c r="E101" i="21"/>
  <c r="D101" i="21"/>
  <c r="AH98" i="21"/>
  <c r="AI98" i="21" s="1"/>
  <c r="AH97" i="21"/>
  <c r="AI97" i="21" s="1"/>
  <c r="AH96" i="21"/>
  <c r="AI96" i="21" s="1"/>
  <c r="AH95" i="21"/>
  <c r="AI95" i="21" s="1"/>
  <c r="AH94" i="21"/>
  <c r="AI94" i="21" s="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2" i="21"/>
  <c r="AI81" i="21"/>
  <c r="AH81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AF78" i="21"/>
  <c r="AE78" i="21"/>
  <c r="AD78" i="21"/>
  <c r="AC78" i="21"/>
  <c r="AB78" i="21"/>
  <c r="AA78" i="21"/>
  <c r="Z78" i="21"/>
  <c r="Y78" i="21"/>
  <c r="X78" i="21"/>
  <c r="W78" i="21"/>
  <c r="W82" i="21" s="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AF76" i="21"/>
  <c r="AE76" i="21"/>
  <c r="AD76" i="21"/>
  <c r="AC76" i="21"/>
  <c r="AB76" i="21"/>
  <c r="AA76" i="21"/>
  <c r="Z76" i="21"/>
  <c r="Y76" i="21"/>
  <c r="Y82" i="21" s="1"/>
  <c r="X76" i="21"/>
  <c r="W76" i="21"/>
  <c r="V76" i="21"/>
  <c r="V82" i="21" s="1"/>
  <c r="U76" i="21"/>
  <c r="T76" i="21"/>
  <c r="S76" i="21"/>
  <c r="R76" i="21"/>
  <c r="Q76" i="21"/>
  <c r="P76" i="21"/>
  <c r="O76" i="21"/>
  <c r="N76" i="21"/>
  <c r="N82" i="21" s="1"/>
  <c r="M76" i="21"/>
  <c r="L76" i="21"/>
  <c r="K76" i="21"/>
  <c r="J76" i="21"/>
  <c r="I76" i="21"/>
  <c r="H76" i="21"/>
  <c r="G76" i="21"/>
  <c r="F76" i="21"/>
  <c r="F82" i="21" s="1"/>
  <c r="E76" i="21"/>
  <c r="D76" i="21"/>
  <c r="C76" i="21"/>
  <c r="AI74" i="21"/>
  <c r="AH74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AI71" i="21"/>
  <c r="AH71" i="21"/>
  <c r="AI70" i="21"/>
  <c r="AH70" i="21"/>
  <c r="AI69" i="21"/>
  <c r="AH69" i="21"/>
  <c r="AG68" i="21"/>
  <c r="AF68" i="21"/>
  <c r="AE5" i="21" s="1"/>
  <c r="AE68" i="21"/>
  <c r="AD5" i="21" s="1"/>
  <c r="AD68" i="21"/>
  <c r="AC5" i="21" s="1"/>
  <c r="AC68" i="21"/>
  <c r="AB5" i="21" s="1"/>
  <c r="AB68" i="21"/>
  <c r="AA68" i="21"/>
  <c r="Z68" i="21"/>
  <c r="Y5" i="21" s="1"/>
  <c r="Y68" i="21"/>
  <c r="X5" i="21" s="1"/>
  <c r="X68" i="21"/>
  <c r="W5" i="21" s="1"/>
  <c r="W68" i="21"/>
  <c r="V68" i="21"/>
  <c r="U68" i="21"/>
  <c r="T68" i="21"/>
  <c r="S68" i="21"/>
  <c r="R5" i="21" s="1"/>
  <c r="R68" i="21"/>
  <c r="Q5" i="21" s="1"/>
  <c r="Q68" i="21"/>
  <c r="P68" i="21"/>
  <c r="O5" i="21" s="1"/>
  <c r="O68" i="21"/>
  <c r="N68" i="21"/>
  <c r="M5" i="21" s="1"/>
  <c r="M68" i="21"/>
  <c r="L5" i="21" s="1"/>
  <c r="L68" i="21"/>
  <c r="K68" i="21"/>
  <c r="J5" i="21" s="1"/>
  <c r="J68" i="21"/>
  <c r="I68" i="21"/>
  <c r="H5" i="21" s="1"/>
  <c r="H68" i="21"/>
  <c r="G5" i="21" s="1"/>
  <c r="G68" i="21"/>
  <c r="F68" i="21"/>
  <c r="E5" i="21" s="1"/>
  <c r="E68" i="21"/>
  <c r="D68" i="21"/>
  <c r="C5" i="21" s="1"/>
  <c r="C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AI55" i="21"/>
  <c r="AH55" i="21"/>
  <c r="AI54" i="21"/>
  <c r="AH54" i="21"/>
  <c r="AI53" i="21"/>
  <c r="AH53" i="21"/>
  <c r="AG52" i="21"/>
  <c r="AG3" i="21" s="1"/>
  <c r="AG6" i="21" s="1"/>
  <c r="Z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AG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AA5" i="21"/>
  <c r="V5" i="21"/>
  <c r="U5" i="21"/>
  <c r="T5" i="21"/>
  <c r="S5" i="21"/>
  <c r="P5" i="21"/>
  <c r="N5" i="21"/>
  <c r="K5" i="21"/>
  <c r="I5" i="21"/>
  <c r="F5" i="21"/>
  <c r="AG4" i="21"/>
  <c r="K4" i="21"/>
  <c r="B4" i="21"/>
  <c r="AG2" i="21"/>
  <c r="AF95" i="20"/>
  <c r="AF37" i="20"/>
  <c r="AE95" i="20"/>
  <c r="AE37" i="20"/>
  <c r="Q37" i="20"/>
  <c r="P95" i="20"/>
  <c r="P37" i="20"/>
  <c r="O95" i="20"/>
  <c r="O37" i="20"/>
  <c r="E4" i="22"/>
  <c r="E4" i="21"/>
  <c r="AE82" i="22" l="1"/>
  <c r="Z82" i="22"/>
  <c r="Z73" i="22"/>
  <c r="Y82" i="22"/>
  <c r="X82" i="22"/>
  <c r="W82" i="22"/>
  <c r="U82" i="22"/>
  <c r="T75" i="22"/>
  <c r="T73" i="22"/>
  <c r="S75" i="22"/>
  <c r="R82" i="22"/>
  <c r="R75" i="22"/>
  <c r="R73" i="22"/>
  <c r="Q82" i="22"/>
  <c r="Q73" i="22"/>
  <c r="Q75" i="22"/>
  <c r="P82" i="22"/>
  <c r="P75" i="22"/>
  <c r="P73" i="22"/>
  <c r="O73" i="22"/>
  <c r="N75" i="22"/>
  <c r="N73" i="22"/>
  <c r="M75" i="22"/>
  <c r="M7" i="22" s="1"/>
  <c r="K82" i="22"/>
  <c r="J82" i="22"/>
  <c r="I82" i="22"/>
  <c r="H73" i="22"/>
  <c r="H82" i="22"/>
  <c r="G82" i="22"/>
  <c r="L73" i="22"/>
  <c r="J75" i="22"/>
  <c r="AB213" i="22" s="1"/>
  <c r="J73" i="22"/>
  <c r="G73" i="22"/>
  <c r="AH78" i="22"/>
  <c r="AI78" i="22"/>
  <c r="F73" i="22"/>
  <c r="AI77" i="22"/>
  <c r="E82" i="22"/>
  <c r="AI80" i="22"/>
  <c r="AH56" i="22"/>
  <c r="E75" i="22"/>
  <c r="W213" i="22" s="1"/>
  <c r="AH76" i="22"/>
  <c r="D82" i="22"/>
  <c r="D75" i="22"/>
  <c r="V213" i="22" s="1"/>
  <c r="AI38" i="22"/>
  <c r="AH79" i="22"/>
  <c r="H4" i="22"/>
  <c r="AH213" i="22"/>
  <c r="P7" i="22"/>
  <c r="AI213" i="22"/>
  <c r="Q7" i="22"/>
  <c r="AK213" i="22"/>
  <c r="S7" i="22"/>
  <c r="AL213" i="22"/>
  <c r="T7" i="22"/>
  <c r="AJ213" i="22"/>
  <c r="R7" i="22"/>
  <c r="AF213" i="22"/>
  <c r="N7" i="22"/>
  <c r="I75" i="22"/>
  <c r="AI76" i="22"/>
  <c r="AH77" i="22"/>
  <c r="AH68" i="22"/>
  <c r="R83" i="22"/>
  <c r="AH72" i="22"/>
  <c r="I73" i="22"/>
  <c r="K5" i="22"/>
  <c r="S5" i="22"/>
  <c r="AI56" i="22"/>
  <c r="C73" i="22"/>
  <c r="C75" i="22" s="1"/>
  <c r="K73" i="22"/>
  <c r="S73" i="22"/>
  <c r="S83" i="22" s="1"/>
  <c r="AI68" i="22"/>
  <c r="AI72" i="22"/>
  <c r="K75" i="22"/>
  <c r="L82" i="22"/>
  <c r="T82" i="22"/>
  <c r="T83" i="22" s="1"/>
  <c r="AB82" i="22"/>
  <c r="Q83" i="22"/>
  <c r="AG83" i="22"/>
  <c r="AH38" i="22"/>
  <c r="L75" i="22"/>
  <c r="AI79" i="22"/>
  <c r="AH80" i="22"/>
  <c r="F93" i="22"/>
  <c r="S210" i="22"/>
  <c r="D210" i="22"/>
  <c r="D73" i="22"/>
  <c r="M73" i="22"/>
  <c r="F82" i="22"/>
  <c r="N82" i="22"/>
  <c r="V82" i="22"/>
  <c r="AD82" i="22"/>
  <c r="AC82" i="22"/>
  <c r="E191" i="22"/>
  <c r="F101" i="22"/>
  <c r="G102" i="22"/>
  <c r="F5" i="22"/>
  <c r="N5" i="22"/>
  <c r="V5" i="22"/>
  <c r="E73" i="22"/>
  <c r="B82" i="22"/>
  <c r="E93" i="22"/>
  <c r="G75" i="22"/>
  <c r="O75" i="22"/>
  <c r="O83" i="22" s="1"/>
  <c r="X5" i="22"/>
  <c r="F7" i="22"/>
  <c r="P83" i="22"/>
  <c r="H75" i="22"/>
  <c r="Z75" i="22"/>
  <c r="D191" i="22"/>
  <c r="G234" i="22"/>
  <c r="I198" i="22"/>
  <c r="E234" i="22"/>
  <c r="F234" i="22"/>
  <c r="F193" i="22"/>
  <c r="AF82" i="21"/>
  <c r="AD82" i="21"/>
  <c r="AC82" i="21"/>
  <c r="AB82" i="21"/>
  <c r="X82" i="21"/>
  <c r="U82" i="21"/>
  <c r="T82" i="21"/>
  <c r="T73" i="21"/>
  <c r="T75" i="21"/>
  <c r="AL213" i="21" s="1"/>
  <c r="S82" i="21"/>
  <c r="S75" i="21"/>
  <c r="Q82" i="21"/>
  <c r="AH80" i="21"/>
  <c r="P82" i="21"/>
  <c r="P75" i="21"/>
  <c r="AI78" i="21"/>
  <c r="O82" i="21"/>
  <c r="O73" i="21"/>
  <c r="O75" i="21"/>
  <c r="AG213" i="21" s="1"/>
  <c r="L73" i="21"/>
  <c r="L82" i="21"/>
  <c r="L75" i="21"/>
  <c r="K73" i="21"/>
  <c r="J82" i="21"/>
  <c r="I82" i="21"/>
  <c r="AH79" i="21"/>
  <c r="H82" i="21"/>
  <c r="H75" i="21"/>
  <c r="Z213" i="21" s="1"/>
  <c r="G75" i="21"/>
  <c r="G82" i="21"/>
  <c r="G73" i="21"/>
  <c r="G83" i="21" s="1"/>
  <c r="E82" i="21"/>
  <c r="AI56" i="21"/>
  <c r="D82" i="21"/>
  <c r="AI68" i="21"/>
  <c r="AH56" i="21"/>
  <c r="D73" i="21"/>
  <c r="B75" i="21"/>
  <c r="B73" i="21"/>
  <c r="H4" i="21"/>
  <c r="AK213" i="21"/>
  <c r="S7" i="21"/>
  <c r="Y213" i="21"/>
  <c r="G7" i="21"/>
  <c r="B5" i="21"/>
  <c r="E75" i="21"/>
  <c r="E73" i="21"/>
  <c r="M73" i="21"/>
  <c r="F75" i="21"/>
  <c r="N75" i="21"/>
  <c r="AH213" i="21"/>
  <c r="P7" i="21"/>
  <c r="AI76" i="21"/>
  <c r="AI77" i="21"/>
  <c r="AH78" i="21"/>
  <c r="K75" i="21"/>
  <c r="AI80" i="21"/>
  <c r="AH76" i="21"/>
  <c r="D5" i="21"/>
  <c r="F73" i="21"/>
  <c r="N73" i="21"/>
  <c r="C82" i="21"/>
  <c r="K82" i="21"/>
  <c r="AA82" i="21"/>
  <c r="M75" i="21"/>
  <c r="O7" i="21"/>
  <c r="S73" i="21"/>
  <c r="S210" i="21"/>
  <c r="D210" i="21"/>
  <c r="I75" i="21"/>
  <c r="Z5" i="21"/>
  <c r="T7" i="21"/>
  <c r="I73" i="21"/>
  <c r="Q73" i="21"/>
  <c r="AG73" i="21"/>
  <c r="AG83" i="21" s="1"/>
  <c r="AH72" i="21"/>
  <c r="R75" i="21"/>
  <c r="Z75" i="21"/>
  <c r="C73" i="21"/>
  <c r="C75" i="21" s="1"/>
  <c r="E108" i="21"/>
  <c r="D93" i="21"/>
  <c r="AI38" i="21"/>
  <c r="AH38" i="21"/>
  <c r="Q75" i="21"/>
  <c r="AG75" i="21"/>
  <c r="M82" i="21"/>
  <c r="J73" i="21"/>
  <c r="R73" i="21"/>
  <c r="Z73" i="21"/>
  <c r="AI72" i="21"/>
  <c r="S83" i="21"/>
  <c r="AE82" i="21"/>
  <c r="AI79" i="21"/>
  <c r="J75" i="21"/>
  <c r="T83" i="21"/>
  <c r="AH68" i="21"/>
  <c r="H73" i="21"/>
  <c r="P73" i="21"/>
  <c r="P83" i="21" s="1"/>
  <c r="D75" i="21"/>
  <c r="R82" i="21"/>
  <c r="Z82" i="21"/>
  <c r="AH77" i="21"/>
  <c r="E191" i="21"/>
  <c r="G101" i="21"/>
  <c r="G102" i="21"/>
  <c r="D191" i="21"/>
  <c r="F234" i="21"/>
  <c r="H198" i="21"/>
  <c r="E199" i="21"/>
  <c r="F193" i="21"/>
  <c r="N83" i="22" l="1"/>
  <c r="AE213" i="22"/>
  <c r="M83" i="22"/>
  <c r="L83" i="22"/>
  <c r="J83" i="22"/>
  <c r="J7" i="22"/>
  <c r="K83" i="22"/>
  <c r="I83" i="22"/>
  <c r="F83" i="22"/>
  <c r="E83" i="22"/>
  <c r="E7" i="22"/>
  <c r="D83" i="22"/>
  <c r="D7" i="22"/>
  <c r="AR213" i="22"/>
  <c r="Z7" i="22"/>
  <c r="U213" i="22"/>
  <c r="C7" i="22"/>
  <c r="Z213" i="22"/>
  <c r="H7" i="22"/>
  <c r="AG213" i="22"/>
  <c r="O7" i="22"/>
  <c r="F199" i="22"/>
  <c r="G193" i="22"/>
  <c r="H102" i="22"/>
  <c r="G93" i="22"/>
  <c r="C83" i="22"/>
  <c r="AA213" i="22"/>
  <c r="I7" i="22"/>
  <c r="Y213" i="22"/>
  <c r="C208" i="22"/>
  <c r="B208" i="22"/>
  <c r="G7" i="22"/>
  <c r="F191" i="22"/>
  <c r="G101" i="22"/>
  <c r="Z83" i="22"/>
  <c r="AC213" i="22"/>
  <c r="K7" i="22"/>
  <c r="H234" i="22"/>
  <c r="J198" i="22"/>
  <c r="H83" i="22"/>
  <c r="AD213" i="22"/>
  <c r="L7" i="22"/>
  <c r="G83" i="22"/>
  <c r="AH82" i="22"/>
  <c r="AI82" i="22"/>
  <c r="Z83" i="21"/>
  <c r="R83" i="21"/>
  <c r="Q83" i="21"/>
  <c r="O83" i="21"/>
  <c r="N83" i="21"/>
  <c r="M83" i="21"/>
  <c r="L83" i="21"/>
  <c r="AD213" i="21"/>
  <c r="L7" i="21"/>
  <c r="K83" i="21"/>
  <c r="J83" i="21"/>
  <c r="I83" i="21"/>
  <c r="H83" i="21"/>
  <c r="H7" i="21"/>
  <c r="F83" i="21"/>
  <c r="E83" i="21"/>
  <c r="B83" i="21"/>
  <c r="C83" i="21"/>
  <c r="AJ213" i="21"/>
  <c r="R7" i="21"/>
  <c r="AF213" i="21"/>
  <c r="N7" i="21"/>
  <c r="W213" i="21"/>
  <c r="E7" i="21"/>
  <c r="G234" i="21"/>
  <c r="I198" i="21"/>
  <c r="H102" i="21"/>
  <c r="X213" i="21"/>
  <c r="F7" i="21"/>
  <c r="H101" i="21"/>
  <c r="V213" i="21"/>
  <c r="D7" i="21"/>
  <c r="AB213" i="21"/>
  <c r="J7" i="21"/>
  <c r="AA213" i="21"/>
  <c r="I7" i="21"/>
  <c r="AE213" i="21"/>
  <c r="M7" i="21"/>
  <c r="F108" i="21"/>
  <c r="E93" i="21"/>
  <c r="AH82" i="21"/>
  <c r="AI82" i="21"/>
  <c r="D83" i="21"/>
  <c r="F199" i="21"/>
  <c r="G193" i="21"/>
  <c r="U213" i="21"/>
  <c r="C7" i="21"/>
  <c r="B208" i="21"/>
  <c r="AI213" i="21"/>
  <c r="Q7" i="21"/>
  <c r="AR213" i="21"/>
  <c r="Z7" i="21"/>
  <c r="AC213" i="21"/>
  <c r="K7" i="21"/>
  <c r="C208" i="21"/>
  <c r="K6" i="22" l="1"/>
  <c r="G191" i="22"/>
  <c r="H101" i="22"/>
  <c r="I102" i="22"/>
  <c r="H93" i="22"/>
  <c r="H193" i="22"/>
  <c r="G199" i="22"/>
  <c r="K198" i="22"/>
  <c r="I234" i="22"/>
  <c r="K6" i="21"/>
  <c r="H234" i="21"/>
  <c r="J198" i="21"/>
  <c r="I101" i="21"/>
  <c r="I102" i="21"/>
  <c r="H193" i="21"/>
  <c r="G199" i="21"/>
  <c r="G108" i="21"/>
  <c r="F191" i="21"/>
  <c r="F93" i="21"/>
  <c r="J234" i="22" l="1"/>
  <c r="L198" i="22"/>
  <c r="H199" i="22"/>
  <c r="I193" i="22"/>
  <c r="J102" i="22"/>
  <c r="I93" i="22"/>
  <c r="H191" i="22"/>
  <c r="I101" i="22"/>
  <c r="J102" i="21"/>
  <c r="J101" i="21"/>
  <c r="H108" i="21"/>
  <c r="G93" i="21"/>
  <c r="G191" i="21"/>
  <c r="I234" i="21"/>
  <c r="K198" i="21"/>
  <c r="H199" i="21"/>
  <c r="I193" i="21"/>
  <c r="K102" i="22" l="1"/>
  <c r="K234" i="22"/>
  <c r="M198" i="22"/>
  <c r="J193" i="22"/>
  <c r="I199" i="22"/>
  <c r="I191" i="22"/>
  <c r="J101" i="22"/>
  <c r="I108" i="21"/>
  <c r="H93" i="21"/>
  <c r="H191" i="21"/>
  <c r="K101" i="21"/>
  <c r="J193" i="21"/>
  <c r="I199" i="21"/>
  <c r="J234" i="21"/>
  <c r="L198" i="21"/>
  <c r="K102" i="21"/>
  <c r="J191" i="22" l="1"/>
  <c r="K101" i="22"/>
  <c r="K193" i="22"/>
  <c r="J199" i="22"/>
  <c r="L234" i="22"/>
  <c r="N198" i="22"/>
  <c r="K93" i="22"/>
  <c r="L102" i="22"/>
  <c r="J93" i="22"/>
  <c r="L101" i="21"/>
  <c r="J199" i="21"/>
  <c r="K193" i="21"/>
  <c r="L102" i="21"/>
  <c r="M198" i="21"/>
  <c r="K234" i="21"/>
  <c r="J108" i="21"/>
  <c r="I93" i="21"/>
  <c r="I191" i="21"/>
  <c r="M102" i="22" l="1"/>
  <c r="O198" i="22"/>
  <c r="M234" i="22"/>
  <c r="K199" i="22"/>
  <c r="L193" i="22"/>
  <c r="L93" i="22" s="1"/>
  <c r="K191" i="22"/>
  <c r="L101" i="22"/>
  <c r="L234" i="21"/>
  <c r="N198" i="21"/>
  <c r="K199" i="21"/>
  <c r="L193" i="21"/>
  <c r="M101" i="21"/>
  <c r="M102" i="21"/>
  <c r="K108" i="21"/>
  <c r="J93" i="21"/>
  <c r="J191" i="21"/>
  <c r="L191" i="22" l="1"/>
  <c r="M101" i="22"/>
  <c r="N234" i="22"/>
  <c r="P198" i="22"/>
  <c r="L199" i="22"/>
  <c r="M193" i="22"/>
  <c r="N102" i="22"/>
  <c r="M93" i="22"/>
  <c r="N102" i="21"/>
  <c r="N101" i="21"/>
  <c r="M234" i="21"/>
  <c r="O198" i="21"/>
  <c r="L199" i="21"/>
  <c r="M193" i="21"/>
  <c r="L108" i="21"/>
  <c r="K191" i="21"/>
  <c r="K93" i="21"/>
  <c r="O102" i="22" l="1"/>
  <c r="M191" i="22"/>
  <c r="N101" i="22"/>
  <c r="M199" i="22"/>
  <c r="N193" i="22"/>
  <c r="O234" i="22"/>
  <c r="Q198" i="22"/>
  <c r="M199" i="21"/>
  <c r="N193" i="21"/>
  <c r="N234" i="21"/>
  <c r="P198" i="21"/>
  <c r="O101" i="21"/>
  <c r="M108" i="21"/>
  <c r="L191" i="21"/>
  <c r="L93" i="21"/>
  <c r="O102" i="21"/>
  <c r="P234" i="22" l="1"/>
  <c r="R198" i="22"/>
  <c r="N199" i="22"/>
  <c r="O193" i="22"/>
  <c r="N191" i="22"/>
  <c r="O101" i="22"/>
  <c r="P102" i="22"/>
  <c r="O93" i="22"/>
  <c r="N93" i="22"/>
  <c r="P102" i="21"/>
  <c r="N199" i="21"/>
  <c r="O193" i="21"/>
  <c r="N108" i="21"/>
  <c r="M93" i="21"/>
  <c r="M191" i="21"/>
  <c r="P101" i="21"/>
  <c r="O234" i="21"/>
  <c r="Q198" i="21"/>
  <c r="Q102" i="22" l="1"/>
  <c r="P93" i="22"/>
  <c r="P193" i="22"/>
  <c r="O199" i="22"/>
  <c r="O191" i="22"/>
  <c r="P101" i="22"/>
  <c r="S198" i="22"/>
  <c r="Q234" i="22"/>
  <c r="P193" i="21"/>
  <c r="O199" i="21"/>
  <c r="P234" i="21"/>
  <c r="R198" i="21"/>
  <c r="O108" i="21"/>
  <c r="N93" i="21"/>
  <c r="N191" i="21"/>
  <c r="Q102" i="21"/>
  <c r="Q101" i="21"/>
  <c r="P191" i="22" l="1"/>
  <c r="Q101" i="22"/>
  <c r="R234" i="22"/>
  <c r="T198" i="22"/>
  <c r="P199" i="22"/>
  <c r="Q193" i="22"/>
  <c r="R102" i="22"/>
  <c r="Q93" i="22"/>
  <c r="R102" i="21"/>
  <c r="P108" i="21"/>
  <c r="O93" i="21"/>
  <c r="O191" i="21"/>
  <c r="Q234" i="21"/>
  <c r="S198" i="21"/>
  <c r="R101" i="21"/>
  <c r="Q193" i="21"/>
  <c r="P199" i="21"/>
  <c r="R193" i="22" l="1"/>
  <c r="Q199" i="22"/>
  <c r="S234" i="22"/>
  <c r="U198" i="22"/>
  <c r="Q191" i="22"/>
  <c r="R101" i="22"/>
  <c r="R93" i="22"/>
  <c r="S102" i="22"/>
  <c r="R234" i="21"/>
  <c r="T198" i="21"/>
  <c r="Q108" i="21"/>
  <c r="P93" i="21"/>
  <c r="P191" i="21"/>
  <c r="R193" i="21"/>
  <c r="Q199" i="21"/>
  <c r="S101" i="21"/>
  <c r="S102" i="21"/>
  <c r="R191" i="22" l="1"/>
  <c r="S101" i="22"/>
  <c r="T102" i="22"/>
  <c r="T234" i="22"/>
  <c r="V198" i="22"/>
  <c r="S193" i="22"/>
  <c r="R199" i="22"/>
  <c r="S193" i="21"/>
  <c r="R199" i="21"/>
  <c r="U198" i="21"/>
  <c r="S234" i="21"/>
  <c r="R108" i="21"/>
  <c r="Q93" i="21"/>
  <c r="Q191" i="21"/>
  <c r="T102" i="21"/>
  <c r="T101" i="21"/>
  <c r="W198" i="22" l="1"/>
  <c r="U234" i="22"/>
  <c r="U102" i="22"/>
  <c r="S191" i="22"/>
  <c r="T101" i="22"/>
  <c r="S199" i="22"/>
  <c r="T193" i="22"/>
  <c r="S93" i="22"/>
  <c r="U102" i="21"/>
  <c r="U101" i="21"/>
  <c r="S108" i="21"/>
  <c r="R93" i="21"/>
  <c r="R191" i="21"/>
  <c r="V198" i="21"/>
  <c r="T234" i="21"/>
  <c r="S199" i="21"/>
  <c r="T193" i="21"/>
  <c r="T199" i="22" l="1"/>
  <c r="U193" i="22"/>
  <c r="T191" i="22"/>
  <c r="U101" i="22"/>
  <c r="V102" i="22"/>
  <c r="U93" i="22"/>
  <c r="T93" i="22"/>
  <c r="V234" i="22"/>
  <c r="X198" i="22"/>
  <c r="U234" i="21"/>
  <c r="W198" i="21"/>
  <c r="T199" i="21"/>
  <c r="U193" i="21"/>
  <c r="T108" i="21"/>
  <c r="S93" i="21"/>
  <c r="S191" i="21"/>
  <c r="V101" i="21"/>
  <c r="V102" i="21"/>
  <c r="W102" i="22" l="1"/>
  <c r="U191" i="22"/>
  <c r="V101" i="22"/>
  <c r="U199" i="22"/>
  <c r="U51" i="22" s="1"/>
  <c r="U52" i="22" s="1"/>
  <c r="V193" i="22"/>
  <c r="W234" i="22"/>
  <c r="Y198" i="22"/>
  <c r="U108" i="21"/>
  <c r="T93" i="21"/>
  <c r="T191" i="21"/>
  <c r="U199" i="21"/>
  <c r="U51" i="21" s="1"/>
  <c r="U52" i="21" s="1"/>
  <c r="V193" i="21"/>
  <c r="W102" i="21"/>
  <c r="V234" i="21"/>
  <c r="X198" i="21"/>
  <c r="W101" i="21"/>
  <c r="V191" i="22" l="1"/>
  <c r="W101" i="22"/>
  <c r="U73" i="22"/>
  <c r="U75" i="22"/>
  <c r="X102" i="22"/>
  <c r="W93" i="22"/>
  <c r="X234" i="22"/>
  <c r="Z198" i="22"/>
  <c r="V199" i="22"/>
  <c r="V51" i="22" s="1"/>
  <c r="V52" i="22" s="1"/>
  <c r="W193" i="22"/>
  <c r="V93" i="22"/>
  <c r="X102" i="21"/>
  <c r="U73" i="21"/>
  <c r="U75" i="21"/>
  <c r="V199" i="21"/>
  <c r="V51" i="21" s="1"/>
  <c r="V52" i="21" s="1"/>
  <c r="W193" i="21"/>
  <c r="X101" i="21"/>
  <c r="W234" i="21"/>
  <c r="Y198" i="21"/>
  <c r="V108" i="21"/>
  <c r="U93" i="21"/>
  <c r="U191" i="21"/>
  <c r="Y102" i="22" l="1"/>
  <c r="AA198" i="22"/>
  <c r="Y234" i="22"/>
  <c r="AM213" i="22"/>
  <c r="U7" i="22"/>
  <c r="U83" i="22"/>
  <c r="X193" i="22"/>
  <c r="W199" i="22"/>
  <c r="W51" i="22" s="1"/>
  <c r="W52" i="22" s="1"/>
  <c r="W191" i="22"/>
  <c r="X101" i="22"/>
  <c r="V75" i="22"/>
  <c r="V73" i="22"/>
  <c r="V83" i="22" s="1"/>
  <c r="X193" i="21"/>
  <c r="W199" i="21"/>
  <c r="W51" i="21" s="1"/>
  <c r="W52" i="21" s="1"/>
  <c r="Y101" i="21"/>
  <c r="U83" i="21"/>
  <c r="X234" i="21"/>
  <c r="Z198" i="21"/>
  <c r="Y102" i="21"/>
  <c r="V75" i="21"/>
  <c r="V73" i="21"/>
  <c r="AM213" i="21"/>
  <c r="U7" i="21"/>
  <c r="W108" i="21"/>
  <c r="V191" i="21"/>
  <c r="V93" i="21"/>
  <c r="X199" i="22" l="1"/>
  <c r="Y193" i="22"/>
  <c r="AN213" i="22"/>
  <c r="V7" i="22"/>
  <c r="X191" i="22"/>
  <c r="Y101" i="22"/>
  <c r="Z234" i="22"/>
  <c r="AB198" i="22"/>
  <c r="X93" i="22"/>
  <c r="W73" i="22"/>
  <c r="W75" i="22"/>
  <c r="Z102" i="22"/>
  <c r="Y93" i="22"/>
  <c r="V83" i="21"/>
  <c r="X108" i="21"/>
  <c r="W93" i="21"/>
  <c r="W191" i="21"/>
  <c r="Z101" i="21"/>
  <c r="AN213" i="21"/>
  <c r="V7" i="21"/>
  <c r="W73" i="21"/>
  <c r="W75" i="21"/>
  <c r="Z102" i="21"/>
  <c r="Y234" i="21"/>
  <c r="AA198" i="21"/>
  <c r="X199" i="21"/>
  <c r="X52" i="21" s="1"/>
  <c r="Y193" i="21"/>
  <c r="AA234" i="22" l="1"/>
  <c r="AC198" i="22"/>
  <c r="AA102" i="22"/>
  <c r="AO213" i="22"/>
  <c r="W7" i="22"/>
  <c r="W83" i="22"/>
  <c r="Z193" i="22"/>
  <c r="Y199" i="22"/>
  <c r="Y51" i="22" s="1"/>
  <c r="Y52" i="22" s="1"/>
  <c r="Y191" i="22"/>
  <c r="Z101" i="22"/>
  <c r="X73" i="22"/>
  <c r="X75" i="22"/>
  <c r="W83" i="21"/>
  <c r="Z234" i="21"/>
  <c r="AB198" i="21"/>
  <c r="AA101" i="21"/>
  <c r="Z193" i="21"/>
  <c r="Y199" i="21"/>
  <c r="Y51" i="21" s="1"/>
  <c r="Y52" i="21" s="1"/>
  <c r="X75" i="21"/>
  <c r="X73" i="21"/>
  <c r="X83" i="21" s="1"/>
  <c r="AA102" i="21"/>
  <c r="AO213" i="21"/>
  <c r="W7" i="21"/>
  <c r="Y108" i="21"/>
  <c r="X93" i="21"/>
  <c r="X191" i="21"/>
  <c r="X83" i="22" l="1"/>
  <c r="AA193" i="22"/>
  <c r="Z199" i="22"/>
  <c r="AP213" i="22"/>
  <c r="X7" i="22"/>
  <c r="Z93" i="22"/>
  <c r="AB234" i="22"/>
  <c r="AD198" i="22"/>
  <c r="AA93" i="22"/>
  <c r="AB102" i="22"/>
  <c r="Z191" i="22"/>
  <c r="AA101" i="22"/>
  <c r="Y73" i="22"/>
  <c r="Y75" i="22"/>
  <c r="AP213" i="21"/>
  <c r="X7" i="21"/>
  <c r="AB101" i="21"/>
  <c r="AA193" i="21"/>
  <c r="Z199" i="21"/>
  <c r="AC198" i="21"/>
  <c r="AA234" i="21"/>
  <c r="Y73" i="21"/>
  <c r="Y75" i="21"/>
  <c r="Z108" i="21"/>
  <c r="Y93" i="21"/>
  <c r="Y191" i="21"/>
  <c r="AB102" i="21"/>
  <c r="AE198" i="22" l="1"/>
  <c r="AC234" i="22"/>
  <c r="AQ213" i="22"/>
  <c r="Y7" i="22"/>
  <c r="Y83" i="22"/>
  <c r="AA191" i="22"/>
  <c r="AB101" i="22"/>
  <c r="AC102" i="22"/>
  <c r="AA199" i="22"/>
  <c r="AA51" i="22" s="1"/>
  <c r="AA52" i="22" s="1"/>
  <c r="AB193" i="22"/>
  <c r="AC102" i="21"/>
  <c r="AB234" i="21"/>
  <c r="AD198" i="21"/>
  <c r="AA199" i="21"/>
  <c r="AA51" i="21" s="1"/>
  <c r="AA52" i="21" s="1"/>
  <c r="AB193" i="21"/>
  <c r="AQ213" i="21"/>
  <c r="Y7" i="21"/>
  <c r="AC101" i="21"/>
  <c r="AA108" i="21"/>
  <c r="Z191" i="21"/>
  <c r="Z93" i="21"/>
  <c r="Y83" i="21"/>
  <c r="AD102" i="22" l="1"/>
  <c r="AB199" i="22"/>
  <c r="AB51" i="22" s="1"/>
  <c r="AB52" i="22" s="1"/>
  <c r="AC193" i="22"/>
  <c r="AA75" i="22"/>
  <c r="AA73" i="22"/>
  <c r="AB191" i="22"/>
  <c r="AC101" i="22"/>
  <c r="AB93" i="22"/>
  <c r="AD234" i="22"/>
  <c r="AF198" i="22"/>
  <c r="AC193" i="21"/>
  <c r="AB199" i="21"/>
  <c r="AB51" i="21" s="1"/>
  <c r="AB52" i="21" s="1"/>
  <c r="AC234" i="21"/>
  <c r="AE198" i="21"/>
  <c r="AA75" i="21"/>
  <c r="AA73" i="21"/>
  <c r="AA83" i="21" s="1"/>
  <c r="AB108" i="21"/>
  <c r="AA191" i="21"/>
  <c r="AA93" i="21"/>
  <c r="AD101" i="21"/>
  <c r="AD102" i="21"/>
  <c r="AA83" i="22" l="1"/>
  <c r="AS213" i="22"/>
  <c r="AA7" i="22"/>
  <c r="AC199" i="22"/>
  <c r="AC51" i="22" s="1"/>
  <c r="AC52" i="22" s="1"/>
  <c r="AD193" i="22"/>
  <c r="B198" i="22"/>
  <c r="AF234" i="22" s="1"/>
  <c r="AE234" i="22"/>
  <c r="AB73" i="22"/>
  <c r="AB75" i="22"/>
  <c r="AC93" i="22"/>
  <c r="AC191" i="22"/>
  <c r="AD101" i="22"/>
  <c r="AD93" i="22"/>
  <c r="AE102" i="22"/>
  <c r="AC108" i="21"/>
  <c r="AB191" i="21"/>
  <c r="AB93" i="21"/>
  <c r="AE102" i="21"/>
  <c r="AD234" i="21"/>
  <c r="AF198" i="21"/>
  <c r="AE101" i="21"/>
  <c r="AB73" i="21"/>
  <c r="AB75" i="21"/>
  <c r="AS213" i="21"/>
  <c r="AA7" i="21"/>
  <c r="AC199" i="21"/>
  <c r="AC51" i="21" s="1"/>
  <c r="AC52" i="21" s="1"/>
  <c r="AD193" i="21"/>
  <c r="AD199" i="22" l="1"/>
  <c r="AD52" i="22" s="1"/>
  <c r="AE193" i="22"/>
  <c r="AT213" i="22"/>
  <c r="AB7" i="22"/>
  <c r="AC73" i="22"/>
  <c r="AC75" i="22"/>
  <c r="AB83" i="22"/>
  <c r="AF102" i="22"/>
  <c r="AE93" i="22"/>
  <c r="AD191" i="22"/>
  <c r="AE101" i="22"/>
  <c r="AC73" i="21"/>
  <c r="AC75" i="21"/>
  <c r="AF102" i="21"/>
  <c r="AD199" i="21"/>
  <c r="AD51" i="21" s="1"/>
  <c r="AD52" i="21" s="1"/>
  <c r="AE193" i="21"/>
  <c r="AE234" i="21"/>
  <c r="B198" i="21"/>
  <c r="AF234" i="21" s="1"/>
  <c r="AB83" i="21"/>
  <c r="AT213" i="21"/>
  <c r="AB7" i="21"/>
  <c r="AF101" i="21"/>
  <c r="AD108" i="21"/>
  <c r="AC191" i="21"/>
  <c r="AC93" i="21"/>
  <c r="AU213" i="22" l="1"/>
  <c r="AC7" i="22"/>
  <c r="AC83" i="22"/>
  <c r="AE191" i="22"/>
  <c r="AF101" i="22"/>
  <c r="AF193" i="22"/>
  <c r="AE199" i="22"/>
  <c r="AE51" i="22" s="1"/>
  <c r="AE52" i="22" s="1"/>
  <c r="AF93" i="22"/>
  <c r="B102" i="22"/>
  <c r="AD73" i="22"/>
  <c r="AD75" i="22"/>
  <c r="AE108" i="21"/>
  <c r="AD93" i="21"/>
  <c r="AD191" i="21"/>
  <c r="AF193" i="21"/>
  <c r="AE199" i="21"/>
  <c r="AE51" i="21" s="1"/>
  <c r="AE52" i="21" s="1"/>
  <c r="B101" i="21"/>
  <c r="AD75" i="21"/>
  <c r="AD73" i="21"/>
  <c r="AU213" i="21"/>
  <c r="AC7" i="21"/>
  <c r="B102" i="21"/>
  <c r="AC83" i="21"/>
  <c r="AI93" i="22" l="1"/>
  <c r="AH93" i="22"/>
  <c r="AF191" i="22"/>
  <c r="B101" i="22"/>
  <c r="B191" i="22" s="1"/>
  <c r="AV213" i="22"/>
  <c r="AD7" i="22"/>
  <c r="AF199" i="22"/>
  <c r="AF51" i="22" s="1"/>
  <c r="AF52" i="22" s="1"/>
  <c r="B193" i="22"/>
  <c r="B199" i="22" s="1"/>
  <c r="AD83" i="22"/>
  <c r="AE73" i="22"/>
  <c r="AE75" i="22"/>
  <c r="AE75" i="21"/>
  <c r="AE73" i="21"/>
  <c r="AF199" i="21"/>
  <c r="AF51" i="21" s="1"/>
  <c r="AF52" i="21" s="1"/>
  <c r="B193" i="21"/>
  <c r="B199" i="21" s="1"/>
  <c r="AV213" i="21"/>
  <c r="AD7" i="21"/>
  <c r="AD83" i="21"/>
  <c r="AF108" i="21"/>
  <c r="AE93" i="21"/>
  <c r="AE191" i="21"/>
  <c r="AE83" i="21" l="1"/>
  <c r="AF73" i="22"/>
  <c r="AF75" i="22"/>
  <c r="B93" i="22"/>
  <c r="AW213" i="22"/>
  <c r="AE7" i="22"/>
  <c r="AE83" i="22"/>
  <c r="AH51" i="22"/>
  <c r="B52" i="22"/>
  <c r="AI51" i="22"/>
  <c r="AH51" i="21"/>
  <c r="AI51" i="21"/>
  <c r="AF75" i="21"/>
  <c r="AF73" i="21"/>
  <c r="AF83" i="21" s="1"/>
  <c r="B108" i="21"/>
  <c r="AF191" i="21"/>
  <c r="AF93" i="21"/>
  <c r="AW213" i="21"/>
  <c r="AE7" i="21"/>
  <c r="AI52" i="22" l="1"/>
  <c r="AH52" i="22"/>
  <c r="B75" i="22"/>
  <c r="B73" i="22"/>
  <c r="AX213" i="22"/>
  <c r="AF7" i="22"/>
  <c r="AF83" i="22"/>
  <c r="AH93" i="21"/>
  <c r="AI93" i="21"/>
  <c r="B191" i="21"/>
  <c r="AX213" i="21"/>
  <c r="AF7" i="21"/>
  <c r="AH52" i="21"/>
  <c r="AI52" i="21"/>
  <c r="T213" i="22" l="1"/>
  <c r="AI75" i="22"/>
  <c r="AH75" i="22"/>
  <c r="B7" i="22"/>
  <c r="A7" i="22" s="1"/>
  <c r="AI73" i="22"/>
  <c r="AH73" i="22"/>
  <c r="B83" i="22"/>
  <c r="AH73" i="21"/>
  <c r="AI73" i="21"/>
  <c r="T213" i="21"/>
  <c r="AH75" i="21"/>
  <c r="B7" i="21"/>
  <c r="A7" i="21" s="1"/>
  <c r="AI75" i="21"/>
  <c r="AI83" i="22" l="1"/>
  <c r="AH83" i="22"/>
  <c r="AH83" i="21"/>
  <c r="AI83" i="21"/>
  <c r="M95" i="20" l="1"/>
  <c r="M37" i="20"/>
  <c r="L95" i="20"/>
  <c r="L37" i="20"/>
  <c r="K37" i="20"/>
  <c r="I37" i="20"/>
  <c r="J37" i="20"/>
  <c r="H37" i="20"/>
  <c r="G37" i="20"/>
  <c r="F37" i="20"/>
  <c r="E37" i="20"/>
  <c r="AH99" i="20"/>
  <c r="AI99" i="20" s="1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C234" i="20"/>
  <c r="B234" i="20"/>
  <c r="S209" i="20"/>
  <c r="AG199" i="20"/>
  <c r="C199" i="20"/>
  <c r="E198" i="20"/>
  <c r="D198" i="20"/>
  <c r="D197" i="20"/>
  <c r="E197" i="20" s="1"/>
  <c r="F197" i="20" s="1"/>
  <c r="G197" i="20" s="1"/>
  <c r="H197" i="20" s="1"/>
  <c r="I197" i="20" s="1"/>
  <c r="J197" i="20" s="1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D196" i="20"/>
  <c r="E196" i="20" s="1"/>
  <c r="F196" i="20" s="1"/>
  <c r="G196" i="20" s="1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G195" i="20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E195" i="20"/>
  <c r="F195" i="20" s="1"/>
  <c r="D195" i="20"/>
  <c r="AD194" i="20"/>
  <c r="AE194" i="20" s="1"/>
  <c r="AF194" i="20" s="1"/>
  <c r="B194" i="20" s="1"/>
  <c r="E194" i="20"/>
  <c r="F194" i="20" s="1"/>
  <c r="G194" i="20" s="1"/>
  <c r="H194" i="20" s="1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D194" i="20"/>
  <c r="E193" i="20"/>
  <c r="D193" i="20"/>
  <c r="D199" i="20" s="1"/>
  <c r="AG191" i="20"/>
  <c r="C191" i="20"/>
  <c r="I190" i="20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D190" i="20"/>
  <c r="E190" i="20" s="1"/>
  <c r="F190" i="20" s="1"/>
  <c r="G190" i="20" s="1"/>
  <c r="H190" i="20" s="1"/>
  <c r="E189" i="20"/>
  <c r="F189" i="20" s="1"/>
  <c r="G189" i="20" s="1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D189" i="20"/>
  <c r="G188" i="20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F188" i="20"/>
  <c r="E188" i="20"/>
  <c r="D188" i="20"/>
  <c r="D187" i="20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L186" i="20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D186" i="20"/>
  <c r="E186" i="20" s="1"/>
  <c r="F186" i="20" s="1"/>
  <c r="G186" i="20" s="1"/>
  <c r="H186" i="20" s="1"/>
  <c r="I186" i="20" s="1"/>
  <c r="J186" i="20" s="1"/>
  <c r="K186" i="20" s="1"/>
  <c r="H185" i="20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E185" i="20"/>
  <c r="F185" i="20" s="1"/>
  <c r="G185" i="20" s="1"/>
  <c r="D185" i="20"/>
  <c r="K184" i="20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E184" i="20"/>
  <c r="F184" i="20" s="1"/>
  <c r="G184" i="20" s="1"/>
  <c r="H184" i="20" s="1"/>
  <c r="I184" i="20" s="1"/>
  <c r="J184" i="20" s="1"/>
  <c r="D184" i="20"/>
  <c r="I183" i="20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E183" i="20"/>
  <c r="F183" i="20" s="1"/>
  <c r="G183" i="20" s="1"/>
  <c r="H183" i="20" s="1"/>
  <c r="D183" i="20"/>
  <c r="D182" i="20"/>
  <c r="E182" i="20" s="1"/>
  <c r="F182" i="20" s="1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X181" i="20"/>
  <c r="Y181" i="20" s="1"/>
  <c r="Z181" i="20" s="1"/>
  <c r="AA181" i="20" s="1"/>
  <c r="AB181" i="20" s="1"/>
  <c r="AC181" i="20" s="1"/>
  <c r="AD181" i="20" s="1"/>
  <c r="AE181" i="20" s="1"/>
  <c r="AF181" i="20" s="1"/>
  <c r="B181" i="20" s="1"/>
  <c r="F181" i="20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D181" i="20"/>
  <c r="E181" i="20" s="1"/>
  <c r="F180" i="20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E180" i="20"/>
  <c r="D180" i="20"/>
  <c r="R179" i="20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E179" i="20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D179" i="20"/>
  <c r="G178" i="20"/>
  <c r="H178" i="20" s="1"/>
  <c r="I178" i="20" s="1"/>
  <c r="J178" i="20" s="1"/>
  <c r="K178" i="20" s="1"/>
  <c r="L178" i="20" s="1"/>
  <c r="M178" i="20" s="1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B178" i="20" s="1"/>
  <c r="E178" i="20"/>
  <c r="F178" i="20" s="1"/>
  <c r="D178" i="20"/>
  <c r="E176" i="20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D176" i="20"/>
  <c r="I175" i="20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5" i="20"/>
  <c r="E175" i="20" s="1"/>
  <c r="F175" i="20" s="1"/>
  <c r="G175" i="20" s="1"/>
  <c r="H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G173" i="20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E173" i="20"/>
  <c r="F173" i="20" s="1"/>
  <c r="D173" i="20"/>
  <c r="E172" i="20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2" i="20"/>
  <c r="D171" i="20"/>
  <c r="E171" i="20" s="1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E170" i="20"/>
  <c r="F170" i="20" s="1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D170" i="20"/>
  <c r="S169" i="20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B169" i="20" s="1"/>
  <c r="G169" i="20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F169" i="20"/>
  <c r="E169" i="20"/>
  <c r="D169" i="20"/>
  <c r="G167" i="20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E167" i="20"/>
  <c r="F167" i="20" s="1"/>
  <c r="D167" i="20"/>
  <c r="M166" i="20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E166" i="20"/>
  <c r="F166" i="20" s="1"/>
  <c r="G166" i="20" s="1"/>
  <c r="H166" i="20" s="1"/>
  <c r="I166" i="20" s="1"/>
  <c r="J166" i="20" s="1"/>
  <c r="K166" i="20" s="1"/>
  <c r="L166" i="20" s="1"/>
  <c r="D166" i="20"/>
  <c r="Y165" i="20"/>
  <c r="Z165" i="20" s="1"/>
  <c r="AA165" i="20" s="1"/>
  <c r="AB165" i="20" s="1"/>
  <c r="AC165" i="20" s="1"/>
  <c r="AD165" i="20" s="1"/>
  <c r="AE165" i="20" s="1"/>
  <c r="AF165" i="20" s="1"/>
  <c r="B165" i="20" s="1"/>
  <c r="I165" i="20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D165" i="20"/>
  <c r="E165" i="20" s="1"/>
  <c r="F165" i="20" s="1"/>
  <c r="G165" i="20" s="1"/>
  <c r="H165" i="20" s="1"/>
  <c r="J164" i="20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I164" i="20"/>
  <c r="G164" i="20"/>
  <c r="H164" i="20" s="1"/>
  <c r="F164" i="20"/>
  <c r="E164" i="20"/>
  <c r="D164" i="20"/>
  <c r="G163" i="20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E163" i="20"/>
  <c r="F163" i="20" s="1"/>
  <c r="D163" i="20"/>
  <c r="E162" i="20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D162" i="20"/>
  <c r="H161" i="20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D161" i="20"/>
  <c r="E161" i="20" s="1"/>
  <c r="F161" i="20" s="1"/>
  <c r="G161" i="20" s="1"/>
  <c r="H160" i="20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G160" i="20"/>
  <c r="F160" i="20"/>
  <c r="E160" i="20"/>
  <c r="D160" i="20"/>
  <c r="O159" i="20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9" i="20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F158" i="20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E158" i="20"/>
  <c r="D158" i="20"/>
  <c r="Y157" i="20"/>
  <c r="Z157" i="20" s="1"/>
  <c r="AA157" i="20" s="1"/>
  <c r="AB157" i="20" s="1"/>
  <c r="AC157" i="20" s="1"/>
  <c r="AD157" i="20" s="1"/>
  <c r="AE157" i="20" s="1"/>
  <c r="AF157" i="20" s="1"/>
  <c r="B157" i="20" s="1"/>
  <c r="D157" i="20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H156" i="20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G156" i="20"/>
  <c r="F156" i="20"/>
  <c r="E156" i="20"/>
  <c r="D156" i="20"/>
  <c r="F155" i="20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B155" i="20" s="1"/>
  <c r="E155" i="20"/>
  <c r="D155" i="20"/>
  <c r="N153" i="20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E153" i="20"/>
  <c r="F153" i="20" s="1"/>
  <c r="G153" i="20" s="1"/>
  <c r="H153" i="20" s="1"/>
  <c r="I153" i="20" s="1"/>
  <c r="J153" i="20" s="1"/>
  <c r="K153" i="20" s="1"/>
  <c r="L153" i="20" s="1"/>
  <c r="M153" i="20" s="1"/>
  <c r="D153" i="20"/>
  <c r="Z152" i="20"/>
  <c r="AA152" i="20" s="1"/>
  <c r="AB152" i="20" s="1"/>
  <c r="AC152" i="20" s="1"/>
  <c r="AD152" i="20" s="1"/>
  <c r="AE152" i="20" s="1"/>
  <c r="AF152" i="20" s="1"/>
  <c r="B152" i="20" s="1"/>
  <c r="E152" i="20"/>
  <c r="F152" i="20" s="1"/>
  <c r="G152" i="20" s="1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D152" i="20"/>
  <c r="S151" i="20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H151" i="20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D151" i="20"/>
  <c r="E151" i="20" s="1"/>
  <c r="F151" i="20" s="1"/>
  <c r="G151" i="20" s="1"/>
  <c r="D150" i="20"/>
  <c r="E150" i="20" s="1"/>
  <c r="F150" i="20" s="1"/>
  <c r="G150" i="20" s="1"/>
  <c r="H150" i="20" s="1"/>
  <c r="I150" i="20" s="1"/>
  <c r="J150" i="20" s="1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B150" i="20" s="1"/>
  <c r="L148" i="20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D148" i="20"/>
  <c r="E148" i="20" s="1"/>
  <c r="F148" i="20" s="1"/>
  <c r="G148" i="20" s="1"/>
  <c r="H148" i="20" s="1"/>
  <c r="I148" i="20" s="1"/>
  <c r="J148" i="20" s="1"/>
  <c r="K148" i="20" s="1"/>
  <c r="J147" i="20"/>
  <c r="K147" i="20" s="1"/>
  <c r="L147" i="20" s="1"/>
  <c r="M147" i="20" s="1"/>
  <c r="N147" i="20" s="1"/>
  <c r="O147" i="20" s="1"/>
  <c r="P147" i="20" s="1"/>
  <c r="Q147" i="20" s="1"/>
  <c r="R147" i="20" s="1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B147" i="20" s="1"/>
  <c r="E147" i="20"/>
  <c r="F147" i="20" s="1"/>
  <c r="G147" i="20" s="1"/>
  <c r="H147" i="20" s="1"/>
  <c r="I147" i="20" s="1"/>
  <c r="D147" i="20"/>
  <c r="D145" i="20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B145" i="20" s="1"/>
  <c r="N144" i="20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F144" i="20"/>
  <c r="G144" i="20" s="1"/>
  <c r="H144" i="20" s="1"/>
  <c r="I144" i="20" s="1"/>
  <c r="J144" i="20" s="1"/>
  <c r="K144" i="20" s="1"/>
  <c r="L144" i="20" s="1"/>
  <c r="M144" i="20" s="1"/>
  <c r="D144" i="20"/>
  <c r="E144" i="20" s="1"/>
  <c r="D143" i="20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D142" i="20"/>
  <c r="E142" i="20" s="1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H141" i="20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1" i="20"/>
  <c r="E141" i="20" s="1"/>
  <c r="F141" i="20" s="1"/>
  <c r="G141" i="20" s="1"/>
  <c r="AF140" i="20"/>
  <c r="B140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F139" i="20"/>
  <c r="G139" i="20" s="1"/>
  <c r="H139" i="20" s="1"/>
  <c r="I139" i="20" s="1"/>
  <c r="J139" i="20" s="1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B139" i="20" s="1"/>
  <c r="D139" i="20"/>
  <c r="E139" i="20" s="1"/>
  <c r="E137" i="20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D137" i="20"/>
  <c r="J136" i="20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D136" i="20"/>
  <c r="E136" i="20" s="1"/>
  <c r="F136" i="20" s="1"/>
  <c r="G136" i="20" s="1"/>
  <c r="H136" i="20" s="1"/>
  <c r="I136" i="20" s="1"/>
  <c r="I135" i="20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F135" i="20"/>
  <c r="G135" i="20" s="1"/>
  <c r="H135" i="20" s="1"/>
  <c r="D135" i="20"/>
  <c r="E135" i="20" s="1"/>
  <c r="N134" i="20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F134" i="20"/>
  <c r="G134" i="20" s="1"/>
  <c r="H134" i="20" s="1"/>
  <c r="I134" i="20" s="1"/>
  <c r="J134" i="20" s="1"/>
  <c r="K134" i="20" s="1"/>
  <c r="L134" i="20" s="1"/>
  <c r="M134" i="20" s="1"/>
  <c r="D134" i="20"/>
  <c r="E134" i="20" s="1"/>
  <c r="E133" i="20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D133" i="20"/>
  <c r="F132" i="20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D132" i="20"/>
  <c r="E132" i="20" s="1"/>
  <c r="Y131" i="20"/>
  <c r="Z131" i="20" s="1"/>
  <c r="AA131" i="20" s="1"/>
  <c r="AB131" i="20" s="1"/>
  <c r="AC131" i="20" s="1"/>
  <c r="AD131" i="20" s="1"/>
  <c r="AE131" i="20" s="1"/>
  <c r="AF131" i="20" s="1"/>
  <c r="B131" i="20" s="1"/>
  <c r="D131" i="20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I130" i="20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B130" i="20" s="1"/>
  <c r="D130" i="20"/>
  <c r="E130" i="20" s="1"/>
  <c r="F130" i="20" s="1"/>
  <c r="G130" i="20" s="1"/>
  <c r="H130" i="20" s="1"/>
  <c r="D128" i="20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E127" i="20"/>
  <c r="F127" i="20" s="1"/>
  <c r="G127" i="20" s="1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D127" i="20"/>
  <c r="E126" i="20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K125" i="20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D125" i="20"/>
  <c r="E125" i="20" s="1"/>
  <c r="F125" i="20" s="1"/>
  <c r="G125" i="20" s="1"/>
  <c r="H125" i="20" s="1"/>
  <c r="I125" i="20" s="1"/>
  <c r="J125" i="20" s="1"/>
  <c r="W124" i="20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D124" i="20"/>
  <c r="E124" i="20" s="1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E123" i="20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D123" i="20"/>
  <c r="E122" i="20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D122" i="20"/>
  <c r="N121" i="20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1" i="20"/>
  <c r="E121" i="20" s="1"/>
  <c r="F121" i="20" s="1"/>
  <c r="G121" i="20" s="1"/>
  <c r="H121" i="20" s="1"/>
  <c r="I121" i="20" s="1"/>
  <c r="J121" i="20" s="1"/>
  <c r="K121" i="20" s="1"/>
  <c r="L121" i="20" s="1"/>
  <c r="M121" i="20" s="1"/>
  <c r="N120" i="20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E119" i="20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D119" i="20"/>
  <c r="E118" i="20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D118" i="20"/>
  <c r="J117" i="20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F117" i="20"/>
  <c r="G117" i="20" s="1"/>
  <c r="H117" i="20" s="1"/>
  <c r="I117" i="20" s="1"/>
  <c r="D117" i="20"/>
  <c r="E117" i="20" s="1"/>
  <c r="D116" i="20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R115" i="20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H115" i="20"/>
  <c r="I115" i="20" s="1"/>
  <c r="J115" i="20" s="1"/>
  <c r="K115" i="20" s="1"/>
  <c r="L115" i="20" s="1"/>
  <c r="M115" i="20" s="1"/>
  <c r="N115" i="20" s="1"/>
  <c r="O115" i="20" s="1"/>
  <c r="P115" i="20" s="1"/>
  <c r="Q115" i="20" s="1"/>
  <c r="E115" i="20"/>
  <c r="F115" i="20" s="1"/>
  <c r="G115" i="20" s="1"/>
  <c r="D115" i="20"/>
  <c r="K114" i="20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D114" i="20"/>
  <c r="E114" i="20" s="1"/>
  <c r="F114" i="20" s="1"/>
  <c r="G114" i="20" s="1"/>
  <c r="H114" i="20" s="1"/>
  <c r="I114" i="20" s="1"/>
  <c r="J114" i="20" s="1"/>
  <c r="AF113" i="20"/>
  <c r="B113" i="20" s="1"/>
  <c r="W113" i="20"/>
  <c r="X113" i="20" s="1"/>
  <c r="Y113" i="20" s="1"/>
  <c r="Z113" i="20" s="1"/>
  <c r="AA113" i="20" s="1"/>
  <c r="AB113" i="20" s="1"/>
  <c r="AC113" i="20" s="1"/>
  <c r="AD113" i="20" s="1"/>
  <c r="AE113" i="20" s="1"/>
  <c r="N113" i="20"/>
  <c r="O113" i="20" s="1"/>
  <c r="P113" i="20" s="1"/>
  <c r="Q113" i="20" s="1"/>
  <c r="R113" i="20" s="1"/>
  <c r="S113" i="20" s="1"/>
  <c r="T113" i="20" s="1"/>
  <c r="U113" i="20" s="1"/>
  <c r="V113" i="20" s="1"/>
  <c r="L113" i="20"/>
  <c r="M113" i="20" s="1"/>
  <c r="K113" i="20"/>
  <c r="F113" i="20"/>
  <c r="G113" i="20" s="1"/>
  <c r="H113" i="20" s="1"/>
  <c r="I113" i="20" s="1"/>
  <c r="E113" i="20"/>
  <c r="D113" i="20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E111" i="20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B111" i="20" s="1"/>
  <c r="D111" i="20"/>
  <c r="D109" i="20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D108" i="20"/>
  <c r="D106" i="20"/>
  <c r="E106" i="20" s="1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E105" i="20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D105" i="20"/>
  <c r="F104" i="20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D104" i="20"/>
  <c r="E104" i="20" s="1"/>
  <c r="L103" i="20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B103" i="20" s="1"/>
  <c r="D103" i="20"/>
  <c r="E103" i="20" s="1"/>
  <c r="F103" i="20" s="1"/>
  <c r="G103" i="20" s="1"/>
  <c r="H103" i="20" s="1"/>
  <c r="I103" i="20" s="1"/>
  <c r="J103" i="20" s="1"/>
  <c r="K103" i="20" s="1"/>
  <c r="D102" i="20"/>
  <c r="E102" i="20" s="1"/>
  <c r="E101" i="20"/>
  <c r="D101" i="20"/>
  <c r="AH98" i="20"/>
  <c r="AI98" i="20" s="1"/>
  <c r="AH97" i="20"/>
  <c r="AI97" i="20" s="1"/>
  <c r="AH96" i="20"/>
  <c r="AI96" i="20" s="1"/>
  <c r="AH95" i="20"/>
  <c r="AI95" i="20" s="1"/>
  <c r="AH94" i="20"/>
  <c r="AI94" i="20" s="1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F82" i="20" s="1"/>
  <c r="E76" i="20"/>
  <c r="D76" i="20"/>
  <c r="C76" i="20"/>
  <c r="B76" i="20"/>
  <c r="AI74" i="20"/>
  <c r="AH74" i="20"/>
  <c r="AI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I71" i="20"/>
  <c r="AH71" i="20"/>
  <c r="AI70" i="20"/>
  <c r="AH70" i="20"/>
  <c r="AI69" i="20"/>
  <c r="AH69" i="20"/>
  <c r="AG68" i="20"/>
  <c r="AG73" i="20" s="1"/>
  <c r="AF68" i="20"/>
  <c r="AE5" i="20" s="1"/>
  <c r="AE68" i="20"/>
  <c r="AD5" i="20" s="1"/>
  <c r="AD68" i="20"/>
  <c r="AC5" i="20" s="1"/>
  <c r="AC68" i="20"/>
  <c r="AB5" i="20" s="1"/>
  <c r="AB68" i="20"/>
  <c r="AA5" i="20" s="1"/>
  <c r="AA68" i="20"/>
  <c r="Z5" i="20" s="1"/>
  <c r="Z68" i="20"/>
  <c r="Y68" i="20"/>
  <c r="X5" i="20" s="1"/>
  <c r="X68" i="20"/>
  <c r="W68" i="20"/>
  <c r="V5" i="20" s="1"/>
  <c r="V68" i="20"/>
  <c r="U5" i="20" s="1"/>
  <c r="U68" i="20"/>
  <c r="T5" i="20" s="1"/>
  <c r="T68" i="20"/>
  <c r="S5" i="20" s="1"/>
  <c r="S68" i="20"/>
  <c r="R68" i="20"/>
  <c r="Q5" i="20" s="1"/>
  <c r="Q68" i="20"/>
  <c r="P68" i="20"/>
  <c r="O5" i="20" s="1"/>
  <c r="O68" i="20"/>
  <c r="N68" i="20"/>
  <c r="M68" i="20"/>
  <c r="L68" i="20"/>
  <c r="K68" i="20"/>
  <c r="J5" i="20" s="1"/>
  <c r="J68" i="20"/>
  <c r="I5" i="20" s="1"/>
  <c r="I68" i="20"/>
  <c r="H5" i="20" s="1"/>
  <c r="H68" i="20"/>
  <c r="G68" i="20"/>
  <c r="F68" i="20"/>
  <c r="E68" i="20"/>
  <c r="D5" i="20" s="1"/>
  <c r="D68" i="20"/>
  <c r="C68" i="20"/>
  <c r="B68" i="20"/>
  <c r="AF5" i="20" s="1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Z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G51" i="20"/>
  <c r="AG52" i="20" s="1"/>
  <c r="AG75" i="20" s="1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J75" i="20" s="1"/>
  <c r="I38" i="20"/>
  <c r="I75" i="20" s="1"/>
  <c r="H38" i="20"/>
  <c r="G38" i="20"/>
  <c r="F38" i="20"/>
  <c r="F73" i="20" s="1"/>
  <c r="E38" i="20"/>
  <c r="E73" i="20" s="1"/>
  <c r="D38" i="20"/>
  <c r="C38" i="20"/>
  <c r="B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Y5" i="20"/>
  <c r="W5" i="20"/>
  <c r="P5" i="20"/>
  <c r="M5" i="20"/>
  <c r="L5" i="20"/>
  <c r="K5" i="20"/>
  <c r="G5" i="20"/>
  <c r="E5" i="20"/>
  <c r="C5" i="20"/>
  <c r="AG4" i="20"/>
  <c r="K4" i="20"/>
  <c r="B4" i="20"/>
  <c r="AG3" i="20"/>
  <c r="AG2" i="20"/>
  <c r="AG6" i="20" s="1"/>
  <c r="AB95" i="18"/>
  <c r="R37" i="18"/>
  <c r="Q37" i="18"/>
  <c r="P95" i="18"/>
  <c r="P37" i="18"/>
  <c r="O37" i="18"/>
  <c r="N37" i="18"/>
  <c r="M37" i="18"/>
  <c r="F37" i="18"/>
  <c r="E37" i="18"/>
  <c r="D37" i="18"/>
  <c r="AH99" i="18"/>
  <c r="AI99" i="18" s="1"/>
  <c r="C37" i="18"/>
  <c r="B37" i="18"/>
  <c r="B4" i="19"/>
  <c r="B4" i="18"/>
  <c r="B4" i="5"/>
  <c r="AF37" i="19"/>
  <c r="AE37" i="19"/>
  <c r="AD37" i="19"/>
  <c r="AC37" i="19"/>
  <c r="AB37" i="19"/>
  <c r="AA95" i="19"/>
  <c r="Y95" i="19"/>
  <c r="W95" i="19"/>
  <c r="W59" i="19"/>
  <c r="W37" i="19"/>
  <c r="V37" i="19"/>
  <c r="U59" i="19"/>
  <c r="U37" i="19"/>
  <c r="T37" i="19"/>
  <c r="S59" i="19"/>
  <c r="S37" i="19"/>
  <c r="R95" i="19"/>
  <c r="R37" i="19"/>
  <c r="P37" i="19"/>
  <c r="E37" i="19"/>
  <c r="D37" i="19"/>
  <c r="C95" i="19"/>
  <c r="C37" i="19"/>
  <c r="B95" i="19"/>
  <c r="B37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B234" i="19"/>
  <c r="S209" i="19"/>
  <c r="AG199" i="19"/>
  <c r="C199" i="19"/>
  <c r="D198" i="19"/>
  <c r="F197" i="19"/>
  <c r="G197" i="19" s="1"/>
  <c r="H197" i="19" s="1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B197" i="19" s="1"/>
  <c r="E197" i="19"/>
  <c r="D197" i="19"/>
  <c r="D196" i="19"/>
  <c r="E196" i="19" s="1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N195" i="19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E195" i="19"/>
  <c r="F195" i="19" s="1"/>
  <c r="G195" i="19" s="1"/>
  <c r="H195" i="19" s="1"/>
  <c r="I195" i="19" s="1"/>
  <c r="J195" i="19" s="1"/>
  <c r="K195" i="19" s="1"/>
  <c r="L195" i="19" s="1"/>
  <c r="M195" i="19" s="1"/>
  <c r="D195" i="19"/>
  <c r="D194" i="19"/>
  <c r="F193" i="19"/>
  <c r="G193" i="19" s="1"/>
  <c r="E193" i="19"/>
  <c r="D193" i="19"/>
  <c r="AG191" i="19"/>
  <c r="C191" i="19"/>
  <c r="H190" i="19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D190" i="19"/>
  <c r="E190" i="19" s="1"/>
  <c r="F190" i="19" s="1"/>
  <c r="G190" i="19" s="1"/>
  <c r="E189" i="19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D189" i="19"/>
  <c r="H188" i="19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D188" i="19"/>
  <c r="E188" i="19" s="1"/>
  <c r="F188" i="19" s="1"/>
  <c r="G188" i="19" s="1"/>
  <c r="I187" i="19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F187" i="19"/>
  <c r="G187" i="19" s="1"/>
  <c r="H187" i="19" s="1"/>
  <c r="E187" i="19"/>
  <c r="D187" i="19"/>
  <c r="D186" i="19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R185" i="19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B185" i="19" s="1"/>
  <c r="E185" i="19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D185" i="19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F183" i="19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E183" i="19"/>
  <c r="D183" i="19"/>
  <c r="K182" i="19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G182" i="19"/>
  <c r="H182" i="19" s="1"/>
  <c r="I182" i="19" s="1"/>
  <c r="J182" i="19" s="1"/>
  <c r="D182" i="19"/>
  <c r="E182" i="19" s="1"/>
  <c r="F182" i="19" s="1"/>
  <c r="B182" i="19"/>
  <c r="E181" i="19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D181" i="19"/>
  <c r="U180" i="19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D180" i="19"/>
  <c r="E180" i="19" s="1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L179" i="19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D179" i="19"/>
  <c r="E179" i="19" s="1"/>
  <c r="F179" i="19" s="1"/>
  <c r="G179" i="19" s="1"/>
  <c r="H179" i="19" s="1"/>
  <c r="I179" i="19" s="1"/>
  <c r="J179" i="19" s="1"/>
  <c r="K179" i="19" s="1"/>
  <c r="X178" i="19"/>
  <c r="Y178" i="19" s="1"/>
  <c r="Z178" i="19" s="1"/>
  <c r="AA178" i="19" s="1"/>
  <c r="AB178" i="19" s="1"/>
  <c r="AC178" i="19" s="1"/>
  <c r="AD178" i="19" s="1"/>
  <c r="AE178" i="19" s="1"/>
  <c r="AF178" i="19" s="1"/>
  <c r="B178" i="19" s="1"/>
  <c r="I178" i="19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E178" i="19"/>
  <c r="F178" i="19" s="1"/>
  <c r="G178" i="19" s="1"/>
  <c r="H178" i="19" s="1"/>
  <c r="D178" i="19"/>
  <c r="U176" i="19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I176" i="19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D176" i="19"/>
  <c r="E176" i="19" s="1"/>
  <c r="F176" i="19" s="1"/>
  <c r="G176" i="19" s="1"/>
  <c r="H176" i="19" s="1"/>
  <c r="G175" i="19"/>
  <c r="H175" i="19" s="1"/>
  <c r="I175" i="19" s="1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B175" i="19" s="1"/>
  <c r="D175" i="19"/>
  <c r="E175" i="19" s="1"/>
  <c r="F175" i="19" s="1"/>
  <c r="H174" i="19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E174" i="19"/>
  <c r="F174" i="19" s="1"/>
  <c r="G174" i="19" s="1"/>
  <c r="D174" i="19"/>
  <c r="V173" i="19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K173" i="19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F173" i="19"/>
  <c r="G173" i="19" s="1"/>
  <c r="H173" i="19" s="1"/>
  <c r="I173" i="19" s="1"/>
  <c r="J173" i="19" s="1"/>
  <c r="D173" i="19"/>
  <c r="E173" i="19" s="1"/>
  <c r="L172" i="19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I172" i="19"/>
  <c r="J172" i="19" s="1"/>
  <c r="K172" i="19" s="1"/>
  <c r="D172" i="19"/>
  <c r="E172" i="19" s="1"/>
  <c r="F172" i="19" s="1"/>
  <c r="G172" i="19" s="1"/>
  <c r="H172" i="19" s="1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H170" i="19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B170" i="19" s="1"/>
  <c r="F170" i="19"/>
  <c r="G170" i="19" s="1"/>
  <c r="E170" i="19"/>
  <c r="D170" i="19"/>
  <c r="G169" i="19"/>
  <c r="H169" i="19" s="1"/>
  <c r="I169" i="19" s="1"/>
  <c r="J169" i="19" s="1"/>
  <c r="K169" i="19" s="1"/>
  <c r="L169" i="19" s="1"/>
  <c r="M169" i="19" s="1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B169" i="19" s="1"/>
  <c r="F169" i="19"/>
  <c r="D169" i="19"/>
  <c r="E169" i="19" s="1"/>
  <c r="E167" i="19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B167" i="19" s="1"/>
  <c r="D167" i="19"/>
  <c r="W166" i="19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D166" i="19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F165" i="19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E165" i="19"/>
  <c r="D165" i="19"/>
  <c r="T164" i="19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B164" i="19" s="1"/>
  <c r="G164" i="19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F164" i="19"/>
  <c r="D164" i="19"/>
  <c r="E164" i="19" s="1"/>
  <c r="L163" i="19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D163" i="19"/>
  <c r="E163" i="19" s="1"/>
  <c r="F163" i="19" s="1"/>
  <c r="G163" i="19" s="1"/>
  <c r="H163" i="19" s="1"/>
  <c r="I163" i="19" s="1"/>
  <c r="J163" i="19" s="1"/>
  <c r="K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Y161" i="19"/>
  <c r="Z161" i="19" s="1"/>
  <c r="AA161" i="19" s="1"/>
  <c r="AB161" i="19" s="1"/>
  <c r="AC161" i="19" s="1"/>
  <c r="AD161" i="19" s="1"/>
  <c r="AE161" i="19" s="1"/>
  <c r="AF161" i="19" s="1"/>
  <c r="B161" i="19" s="1"/>
  <c r="K161" i="19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F161" i="19"/>
  <c r="G161" i="19" s="1"/>
  <c r="H161" i="19" s="1"/>
  <c r="I161" i="19" s="1"/>
  <c r="J161" i="19" s="1"/>
  <c r="E161" i="19"/>
  <c r="D161" i="19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B159" i="19" s="1"/>
  <c r="E158" i="19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B158" i="19" s="1"/>
  <c r="D158" i="19"/>
  <c r="S157" i="19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B157" i="19" s="1"/>
  <c r="F157" i="19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D157" i="19"/>
  <c r="E157" i="19" s="1"/>
  <c r="E156" i="19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D156" i="19"/>
  <c r="O155" i="19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B155" i="19" s="1"/>
  <c r="G155" i="19"/>
  <c r="H155" i="19" s="1"/>
  <c r="I155" i="19" s="1"/>
  <c r="J155" i="19" s="1"/>
  <c r="K155" i="19" s="1"/>
  <c r="L155" i="19" s="1"/>
  <c r="M155" i="19" s="1"/>
  <c r="N155" i="19" s="1"/>
  <c r="D155" i="19"/>
  <c r="E155" i="19" s="1"/>
  <c r="F155" i="19" s="1"/>
  <c r="E153" i="19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B153" i="19" s="1"/>
  <c r="D153" i="19"/>
  <c r="D152" i="19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D150" i="19"/>
  <c r="E150" i="19" s="1"/>
  <c r="F150" i="19" s="1"/>
  <c r="G150" i="19" s="1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B150" i="19" s="1"/>
  <c r="AD148" i="19"/>
  <c r="AE148" i="19" s="1"/>
  <c r="AF148" i="19" s="1"/>
  <c r="B148" i="19" s="1"/>
  <c r="I148" i="19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E148" i="19"/>
  <c r="F148" i="19" s="1"/>
  <c r="G148" i="19" s="1"/>
  <c r="H148" i="19" s="1"/>
  <c r="D148" i="19"/>
  <c r="N147" i="19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B147" i="19" s="1"/>
  <c r="D147" i="19"/>
  <c r="E147" i="19" s="1"/>
  <c r="F147" i="19" s="1"/>
  <c r="G147" i="19" s="1"/>
  <c r="H147" i="19" s="1"/>
  <c r="I147" i="19" s="1"/>
  <c r="J147" i="19" s="1"/>
  <c r="K147" i="19" s="1"/>
  <c r="L147" i="19" s="1"/>
  <c r="M147" i="19" s="1"/>
  <c r="E145" i="19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D145" i="19"/>
  <c r="F144" i="19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E144" i="19"/>
  <c r="D144" i="19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B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B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E140" i="19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D140" i="19"/>
  <c r="AA139" i="19"/>
  <c r="AB139" i="19" s="1"/>
  <c r="AC139" i="19" s="1"/>
  <c r="AD139" i="19" s="1"/>
  <c r="AE139" i="19" s="1"/>
  <c r="AF139" i="19" s="1"/>
  <c r="B139" i="19" s="1"/>
  <c r="F139" i="19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D139" i="19"/>
  <c r="E139" i="19" s="1"/>
  <c r="I137" i="19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D137" i="19"/>
  <c r="E137" i="19" s="1"/>
  <c r="F137" i="19" s="1"/>
  <c r="G137" i="19" s="1"/>
  <c r="H137" i="19" s="1"/>
  <c r="Z136" i="19"/>
  <c r="AA136" i="19" s="1"/>
  <c r="AB136" i="19" s="1"/>
  <c r="AC136" i="19" s="1"/>
  <c r="AD136" i="19" s="1"/>
  <c r="AE136" i="19" s="1"/>
  <c r="AF136" i="19" s="1"/>
  <c r="B136" i="19" s="1"/>
  <c r="G136" i="19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D136" i="19"/>
  <c r="E136" i="19" s="1"/>
  <c r="F136" i="19" s="1"/>
  <c r="H135" i="19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E135" i="19"/>
  <c r="F135" i="19" s="1"/>
  <c r="G135" i="19" s="1"/>
  <c r="D135" i="19"/>
  <c r="K134" i="19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B134" i="19" s="1"/>
  <c r="D134" i="19"/>
  <c r="E134" i="19" s="1"/>
  <c r="F134" i="19" s="1"/>
  <c r="G134" i="19" s="1"/>
  <c r="H134" i="19" s="1"/>
  <c r="I134" i="19" s="1"/>
  <c r="J134" i="19" s="1"/>
  <c r="D133" i="19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R132" i="19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F130" i="19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B130" i="19" s="1"/>
  <c r="D130" i="19"/>
  <c r="E130" i="19" s="1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B128" i="19" s="1"/>
  <c r="J127" i="19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F127" i="19"/>
  <c r="G127" i="19" s="1"/>
  <c r="H127" i="19" s="1"/>
  <c r="I127" i="19" s="1"/>
  <c r="D127" i="19"/>
  <c r="E127" i="19" s="1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J125" i="19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F125" i="19"/>
  <c r="G125" i="19" s="1"/>
  <c r="H125" i="19" s="1"/>
  <c r="I125" i="19" s="1"/>
  <c r="D125" i="19"/>
  <c r="E125" i="19" s="1"/>
  <c r="H124" i="19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D124" i="19"/>
  <c r="E124" i="19" s="1"/>
  <c r="F124" i="19" s="1"/>
  <c r="G124" i="19" s="1"/>
  <c r="F123" i="19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D123" i="19"/>
  <c r="E123" i="19" s="1"/>
  <c r="D122" i="19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W121" i="19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F121" i="19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D121" i="19"/>
  <c r="E121" i="19" s="1"/>
  <c r="D120" i="19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E119" i="19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D119" i="19"/>
  <c r="E118" i="19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D118" i="19"/>
  <c r="E117" i="19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D117" i="19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W115" i="19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G115" i="19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E115" i="19"/>
  <c r="F115" i="19" s="1"/>
  <c r="D115" i="19"/>
  <c r="W114" i="19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G114" i="19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E114" i="19"/>
  <c r="F114" i="19" s="1"/>
  <c r="D114" i="19"/>
  <c r="V113" i="19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K113" i="19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D113" i="19"/>
  <c r="E113" i="19" s="1"/>
  <c r="F113" i="19" s="1"/>
  <c r="G113" i="19" s="1"/>
  <c r="H113" i="19" s="1"/>
  <c r="I113" i="19" s="1"/>
  <c r="X112" i="19"/>
  <c r="Y112" i="19" s="1"/>
  <c r="Z112" i="19" s="1"/>
  <c r="AA112" i="19" s="1"/>
  <c r="AB112" i="19" s="1"/>
  <c r="AC112" i="19" s="1"/>
  <c r="AD112" i="19" s="1"/>
  <c r="AE112" i="19" s="1"/>
  <c r="AF112" i="19" s="1"/>
  <c r="B112" i="19" s="1"/>
  <c r="K112" i="19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F112" i="19"/>
  <c r="G112" i="19" s="1"/>
  <c r="H112" i="19" s="1"/>
  <c r="I112" i="19" s="1"/>
  <c r="J112" i="19" s="1"/>
  <c r="D112" i="19"/>
  <c r="E112" i="19" s="1"/>
  <c r="E111" i="19"/>
  <c r="F111" i="19" s="1"/>
  <c r="G111" i="19" s="1"/>
  <c r="H111" i="19" s="1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B111" i="19" s="1"/>
  <c r="D111" i="19"/>
  <c r="V109" i="19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J109" i="19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F109" i="19"/>
  <c r="G109" i="19" s="1"/>
  <c r="H109" i="19" s="1"/>
  <c r="I109" i="19" s="1"/>
  <c r="D109" i="19"/>
  <c r="E109" i="19" s="1"/>
  <c r="D108" i="19"/>
  <c r="E108" i="19" s="1"/>
  <c r="R106" i="19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F106" i="19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D106" i="19"/>
  <c r="E106" i="19" s="1"/>
  <c r="N105" i="19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D105" i="19"/>
  <c r="E105" i="19" s="1"/>
  <c r="F105" i="19" s="1"/>
  <c r="G105" i="19" s="1"/>
  <c r="H105" i="19" s="1"/>
  <c r="I105" i="19" s="1"/>
  <c r="J105" i="19" s="1"/>
  <c r="K105" i="19" s="1"/>
  <c r="L105" i="19" s="1"/>
  <c r="M105" i="19" s="1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E103" i="19"/>
  <c r="F103" i="19" s="1"/>
  <c r="G103" i="19" s="1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B103" i="19" s="1"/>
  <c r="D103" i="19"/>
  <c r="H102" i="19"/>
  <c r="F102" i="19"/>
  <c r="G102" i="19" s="1"/>
  <c r="D102" i="19"/>
  <c r="E102" i="19" s="1"/>
  <c r="D101" i="19"/>
  <c r="AH98" i="19"/>
  <c r="AI98" i="19" s="1"/>
  <c r="AH97" i="19"/>
  <c r="AI97" i="19" s="1"/>
  <c r="AH96" i="19"/>
  <c r="AI96" i="19" s="1"/>
  <c r="AH95" i="19"/>
  <c r="AI95" i="19" s="1"/>
  <c r="AH94" i="19"/>
  <c r="AI94" i="19" s="1"/>
  <c r="D93" i="19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F80" i="19"/>
  <c r="AE80" i="19"/>
  <c r="AE82" i="19" s="1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F76" i="19"/>
  <c r="AE76" i="19"/>
  <c r="AD76" i="19"/>
  <c r="AC76" i="19"/>
  <c r="AB76" i="19"/>
  <c r="AA76" i="19"/>
  <c r="Z76" i="19"/>
  <c r="Y76" i="19"/>
  <c r="X76" i="19"/>
  <c r="W76" i="19"/>
  <c r="V76" i="19"/>
  <c r="V82" i="19" s="1"/>
  <c r="U76" i="19"/>
  <c r="T76" i="19"/>
  <c r="S76" i="19"/>
  <c r="R76" i="19"/>
  <c r="Q76" i="19"/>
  <c r="P76" i="19"/>
  <c r="O76" i="19"/>
  <c r="O82" i="19" s="1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I74" i="19"/>
  <c r="AH74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AI71" i="19"/>
  <c r="AH71" i="19"/>
  <c r="AI70" i="19"/>
  <c r="AH70" i="19"/>
  <c r="AI69" i="19"/>
  <c r="AH69" i="19"/>
  <c r="AG68" i="19"/>
  <c r="AG73" i="19" s="1"/>
  <c r="AF68" i="19"/>
  <c r="AE68" i="19"/>
  <c r="AD5" i="19" s="1"/>
  <c r="AD68" i="19"/>
  <c r="AC5" i="19" s="1"/>
  <c r="AC68" i="19"/>
  <c r="AB68" i="19"/>
  <c r="AA68" i="19"/>
  <c r="Z68" i="19"/>
  <c r="Y68" i="19"/>
  <c r="W68" i="19"/>
  <c r="V68" i="19"/>
  <c r="U5" i="19" s="1"/>
  <c r="U68" i="19"/>
  <c r="T68" i="19"/>
  <c r="S5" i="19" s="1"/>
  <c r="S68" i="19"/>
  <c r="R68" i="19"/>
  <c r="Q68" i="19"/>
  <c r="P5" i="19" s="1"/>
  <c r="P68" i="19"/>
  <c r="O68" i="19"/>
  <c r="N68" i="19"/>
  <c r="M5" i="19" s="1"/>
  <c r="M68" i="19"/>
  <c r="L68" i="19"/>
  <c r="K68" i="19"/>
  <c r="J68" i="19"/>
  <c r="I68" i="19"/>
  <c r="H68" i="19"/>
  <c r="G68" i="19"/>
  <c r="F68" i="19"/>
  <c r="E68" i="19"/>
  <c r="D68" i="19"/>
  <c r="C5" i="19" s="1"/>
  <c r="C68" i="19"/>
  <c r="B68" i="19"/>
  <c r="AF5" i="19" s="1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Y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I55" i="19"/>
  <c r="AH55" i="19"/>
  <c r="AI54" i="19"/>
  <c r="AH54" i="19"/>
  <c r="AI53" i="19"/>
  <c r="AH53" i="19"/>
  <c r="AG52" i="19"/>
  <c r="AG3" i="19" s="1"/>
  <c r="Z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AG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Y38" i="19"/>
  <c r="W38" i="19"/>
  <c r="V38" i="19"/>
  <c r="U38" i="19"/>
  <c r="T38" i="19"/>
  <c r="S38" i="19"/>
  <c r="R38" i="19"/>
  <c r="Q38" i="19"/>
  <c r="P38" i="19"/>
  <c r="P75" i="19" s="1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A5" i="19"/>
  <c r="Z5" i="19"/>
  <c r="Y5" i="19"/>
  <c r="X5" i="19"/>
  <c r="V5" i="19"/>
  <c r="R5" i="19"/>
  <c r="Q5" i="19"/>
  <c r="N5" i="19"/>
  <c r="K5" i="19"/>
  <c r="J5" i="19"/>
  <c r="I5" i="19"/>
  <c r="H5" i="19"/>
  <c r="F5" i="19"/>
  <c r="B5" i="19"/>
  <c r="AG4" i="19"/>
  <c r="K4" i="19"/>
  <c r="AG2" i="19"/>
  <c r="AG6" i="19" s="1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C234" i="18"/>
  <c r="B234" i="18"/>
  <c r="S209" i="18"/>
  <c r="AG199" i="18"/>
  <c r="C199" i="18"/>
  <c r="F198" i="18"/>
  <c r="E234" i="18" s="1"/>
  <c r="E198" i="18"/>
  <c r="D234" i="18" s="1"/>
  <c r="D198" i="18"/>
  <c r="E197" i="18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D197" i="18"/>
  <c r="D196" i="18"/>
  <c r="E196" i="18" s="1"/>
  <c r="F196" i="18" s="1"/>
  <c r="G196" i="18" s="1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E195" i="18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D195" i="18"/>
  <c r="E194" i="18"/>
  <c r="F194" i="18" s="1"/>
  <c r="G194" i="18" s="1"/>
  <c r="H194" i="18" s="1"/>
  <c r="I194" i="18" s="1"/>
  <c r="J194" i="18" s="1"/>
  <c r="K194" i="18" s="1"/>
  <c r="L194" i="18" s="1"/>
  <c r="M194" i="18" s="1"/>
  <c r="N194" i="18" s="1"/>
  <c r="O194" i="18" s="1"/>
  <c r="P194" i="18" s="1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B194" i="18" s="1"/>
  <c r="D194" i="18"/>
  <c r="E193" i="18"/>
  <c r="D193" i="18"/>
  <c r="D199" i="18" s="1"/>
  <c r="AG191" i="18"/>
  <c r="C191" i="18"/>
  <c r="Z190" i="18"/>
  <c r="AA190" i="18" s="1"/>
  <c r="AB190" i="18" s="1"/>
  <c r="AC190" i="18" s="1"/>
  <c r="AD190" i="18" s="1"/>
  <c r="AE190" i="18" s="1"/>
  <c r="AF190" i="18" s="1"/>
  <c r="B190" i="18" s="1"/>
  <c r="I190" i="18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H190" i="18"/>
  <c r="D190" i="18"/>
  <c r="E190" i="18" s="1"/>
  <c r="F190" i="18" s="1"/>
  <c r="G190" i="18" s="1"/>
  <c r="M189" i="18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K189" i="18"/>
  <c r="L189" i="18" s="1"/>
  <c r="E189" i="18"/>
  <c r="F189" i="18" s="1"/>
  <c r="G189" i="18" s="1"/>
  <c r="H189" i="18" s="1"/>
  <c r="I189" i="18" s="1"/>
  <c r="J189" i="18" s="1"/>
  <c r="D189" i="18"/>
  <c r="N188" i="18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E188" i="18"/>
  <c r="F188" i="18" s="1"/>
  <c r="G188" i="18" s="1"/>
  <c r="H188" i="18" s="1"/>
  <c r="I188" i="18" s="1"/>
  <c r="J188" i="18" s="1"/>
  <c r="K188" i="18" s="1"/>
  <c r="L188" i="18" s="1"/>
  <c r="M188" i="18" s="1"/>
  <c r="D188" i="18"/>
  <c r="G187" i="18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D187" i="18"/>
  <c r="E187" i="18" s="1"/>
  <c r="F187" i="18" s="1"/>
  <c r="B187" i="18"/>
  <c r="D186" i="18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Q185" i="18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F185" i="18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E185" i="18"/>
  <c r="D185" i="18"/>
  <c r="G184" i="18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D184" i="18"/>
  <c r="E184" i="18" s="1"/>
  <c r="F184" i="18" s="1"/>
  <c r="J183" i="18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B183" i="18" s="1"/>
  <c r="E183" i="18"/>
  <c r="F183" i="18" s="1"/>
  <c r="G183" i="18" s="1"/>
  <c r="H183" i="18" s="1"/>
  <c r="I183" i="18" s="1"/>
  <c r="D183" i="18"/>
  <c r="L182" i="18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H182" i="18"/>
  <c r="I182" i="18" s="1"/>
  <c r="J182" i="18" s="1"/>
  <c r="K182" i="18" s="1"/>
  <c r="D182" i="18"/>
  <c r="E182" i="18" s="1"/>
  <c r="F182" i="18" s="1"/>
  <c r="G182" i="18" s="1"/>
  <c r="F181" i="18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E181" i="18"/>
  <c r="D181" i="18"/>
  <c r="D180" i="18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D179" i="18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E178" i="18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B178" i="18" s="1"/>
  <c r="D178" i="18"/>
  <c r="K176" i="18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E176" i="18"/>
  <c r="F176" i="18" s="1"/>
  <c r="G176" i="18" s="1"/>
  <c r="H176" i="18" s="1"/>
  <c r="I176" i="18" s="1"/>
  <c r="J176" i="18" s="1"/>
  <c r="D176" i="18"/>
  <c r="L175" i="18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D175" i="18"/>
  <c r="E175" i="18" s="1"/>
  <c r="F175" i="18" s="1"/>
  <c r="G175" i="18" s="1"/>
  <c r="H175" i="18" s="1"/>
  <c r="I175" i="18" s="1"/>
  <c r="J175" i="18" s="1"/>
  <c r="K175" i="18" s="1"/>
  <c r="F174" i="18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B174" i="18" s="1"/>
  <c r="E174" i="18"/>
  <c r="D174" i="18"/>
  <c r="AA173" i="18"/>
  <c r="AB173" i="18" s="1"/>
  <c r="AC173" i="18" s="1"/>
  <c r="AD173" i="18" s="1"/>
  <c r="AE173" i="18" s="1"/>
  <c r="AF173" i="18" s="1"/>
  <c r="B173" i="18" s="1"/>
  <c r="H173" i="18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D173" i="18"/>
  <c r="E173" i="18" s="1"/>
  <c r="F173" i="18" s="1"/>
  <c r="G173" i="18" s="1"/>
  <c r="U172" i="18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E172" i="18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D172" i="18"/>
  <c r="E171" i="18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D171" i="18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W169" i="18"/>
  <c r="X169" i="18" s="1"/>
  <c r="Y169" i="18" s="1"/>
  <c r="Z169" i="18" s="1"/>
  <c r="AA169" i="18" s="1"/>
  <c r="AB169" i="18" s="1"/>
  <c r="AC169" i="18" s="1"/>
  <c r="AD169" i="18" s="1"/>
  <c r="AE169" i="18" s="1"/>
  <c r="AF169" i="18" s="1"/>
  <c r="B169" i="18" s="1"/>
  <c r="V169" i="18"/>
  <c r="I169" i="18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H169" i="18"/>
  <c r="G169" i="18"/>
  <c r="F169" i="18"/>
  <c r="E169" i="18"/>
  <c r="D169" i="18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K166" i="18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J166" i="18"/>
  <c r="D166" i="18"/>
  <c r="E166" i="18" s="1"/>
  <c r="F166" i="18" s="1"/>
  <c r="G166" i="18" s="1"/>
  <c r="H166" i="18" s="1"/>
  <c r="I166" i="18" s="1"/>
  <c r="H165" i="18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E165" i="18"/>
  <c r="F165" i="18" s="1"/>
  <c r="G165" i="18" s="1"/>
  <c r="D165" i="18"/>
  <c r="F164" i="18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D164" i="18"/>
  <c r="E164" i="18" s="1"/>
  <c r="F163" i="18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E163" i="18"/>
  <c r="D163" i="18"/>
  <c r="Z162" i="18"/>
  <c r="AA162" i="18" s="1"/>
  <c r="AB162" i="18" s="1"/>
  <c r="AC162" i="18" s="1"/>
  <c r="AD162" i="18" s="1"/>
  <c r="AE162" i="18" s="1"/>
  <c r="AF162" i="18" s="1"/>
  <c r="B162" i="18" s="1"/>
  <c r="D162" i="18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D161" i="18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E160" i="18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D160" i="18"/>
  <c r="AA159" i="18"/>
  <c r="AB159" i="18" s="1"/>
  <c r="AC159" i="18" s="1"/>
  <c r="AD159" i="18" s="1"/>
  <c r="AE159" i="18" s="1"/>
  <c r="AF159" i="18" s="1"/>
  <c r="B159" i="18" s="1"/>
  <c r="T159" i="18"/>
  <c r="U159" i="18" s="1"/>
  <c r="V159" i="18" s="1"/>
  <c r="W159" i="18" s="1"/>
  <c r="X159" i="18" s="1"/>
  <c r="Y159" i="18" s="1"/>
  <c r="Z159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R158" i="18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E158" i="18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D158" i="18"/>
  <c r="AE157" i="18"/>
  <c r="AF157" i="18" s="1"/>
  <c r="B157" i="18" s="1"/>
  <c r="X157" i="18"/>
  <c r="Y157" i="18" s="1"/>
  <c r="Z157" i="18" s="1"/>
  <c r="AA157" i="18" s="1"/>
  <c r="AB157" i="18" s="1"/>
  <c r="AC157" i="18" s="1"/>
  <c r="AD157" i="18" s="1"/>
  <c r="G157" i="18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D157" i="18"/>
  <c r="E157" i="18" s="1"/>
  <c r="F157" i="18" s="1"/>
  <c r="AC156" i="18"/>
  <c r="AD156" i="18" s="1"/>
  <c r="AE156" i="18" s="1"/>
  <c r="AF156" i="18" s="1"/>
  <c r="B156" i="18" s="1"/>
  <c r="F156" i="18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E156" i="18"/>
  <c r="D156" i="18"/>
  <c r="AB155" i="18"/>
  <c r="AC155" i="18" s="1"/>
  <c r="AD155" i="18" s="1"/>
  <c r="AE155" i="18" s="1"/>
  <c r="AF155" i="18" s="1"/>
  <c r="B155" i="18" s="1"/>
  <c r="K155" i="18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D155" i="18"/>
  <c r="E155" i="18" s="1"/>
  <c r="F155" i="18" s="1"/>
  <c r="G155" i="18" s="1"/>
  <c r="H155" i="18" s="1"/>
  <c r="I155" i="18" s="1"/>
  <c r="J155" i="18" s="1"/>
  <c r="Z153" i="18"/>
  <c r="AA153" i="18" s="1"/>
  <c r="AB153" i="18" s="1"/>
  <c r="AC153" i="18" s="1"/>
  <c r="AD153" i="18" s="1"/>
  <c r="AE153" i="18" s="1"/>
  <c r="AF153" i="18" s="1"/>
  <c r="B153" i="18" s="1"/>
  <c r="I153" i="18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E153" i="18"/>
  <c r="F153" i="18" s="1"/>
  <c r="G153" i="18" s="1"/>
  <c r="H153" i="18" s="1"/>
  <c r="D153" i="18"/>
  <c r="AF152" i="18"/>
  <c r="B152" i="18" s="1"/>
  <c r="K152" i="18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H152" i="18"/>
  <c r="I152" i="18" s="1"/>
  <c r="J152" i="18" s="1"/>
  <c r="G152" i="18"/>
  <c r="E152" i="18"/>
  <c r="F152" i="18" s="1"/>
  <c r="D152" i="18"/>
  <c r="V151" i="18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B151" i="18" s="1"/>
  <c r="F151" i="18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E151" i="18"/>
  <c r="D151" i="18"/>
  <c r="D150" i="18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B150" i="18" s="1"/>
  <c r="T148" i="18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B148" i="18" s="1"/>
  <c r="R148" i="18"/>
  <c r="S148" i="18" s="1"/>
  <c r="D148" i="18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P147" i="18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B147" i="18" s="1"/>
  <c r="G147" i="18"/>
  <c r="H147" i="18" s="1"/>
  <c r="I147" i="18" s="1"/>
  <c r="J147" i="18" s="1"/>
  <c r="K147" i="18" s="1"/>
  <c r="L147" i="18" s="1"/>
  <c r="M147" i="18" s="1"/>
  <c r="N147" i="18" s="1"/>
  <c r="O147" i="18" s="1"/>
  <c r="D147" i="18"/>
  <c r="E147" i="18" s="1"/>
  <c r="F147" i="18" s="1"/>
  <c r="F145" i="18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B145" i="18" s="1"/>
  <c r="E145" i="18"/>
  <c r="D145" i="18"/>
  <c r="D144" i="18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B144" i="18" s="1"/>
  <c r="D143" i="18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B143" i="18" s="1"/>
  <c r="I142" i="18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B142" i="18" s="1"/>
  <c r="H142" i="18"/>
  <c r="G142" i="18"/>
  <c r="D142" i="18"/>
  <c r="E142" i="18" s="1"/>
  <c r="F142" i="18" s="1"/>
  <c r="F141" i="18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B141" i="18" s="1"/>
  <c r="E141" i="18"/>
  <c r="D141" i="18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B140" i="18" s="1"/>
  <c r="S139" i="18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B139" i="18" s="1"/>
  <c r="J139" i="18"/>
  <c r="K139" i="18" s="1"/>
  <c r="L139" i="18" s="1"/>
  <c r="M139" i="18" s="1"/>
  <c r="N139" i="18" s="1"/>
  <c r="O139" i="18" s="1"/>
  <c r="P139" i="18" s="1"/>
  <c r="Q139" i="18" s="1"/>
  <c r="R139" i="18" s="1"/>
  <c r="I139" i="18"/>
  <c r="F139" i="18"/>
  <c r="G139" i="18" s="1"/>
  <c r="H139" i="18" s="1"/>
  <c r="E139" i="18"/>
  <c r="D139" i="18"/>
  <c r="H137" i="18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B137" i="18" s="1"/>
  <c r="G137" i="18"/>
  <c r="E137" i="18"/>
  <c r="F137" i="18" s="1"/>
  <c r="D137" i="18"/>
  <c r="J136" i="18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B136" i="18" s="1"/>
  <c r="E136" i="18"/>
  <c r="F136" i="18" s="1"/>
  <c r="G136" i="18" s="1"/>
  <c r="H136" i="18" s="1"/>
  <c r="I136" i="18" s="1"/>
  <c r="D136" i="18"/>
  <c r="E135" i="18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B135" i="18" s="1"/>
  <c r="D135" i="18"/>
  <c r="I134" i="18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B134" i="18" s="1"/>
  <c r="G134" i="18"/>
  <c r="H134" i="18" s="1"/>
  <c r="F134" i="18"/>
  <c r="E134" i="18"/>
  <c r="D134" i="18"/>
  <c r="K133" i="18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B133" i="18" s="1"/>
  <c r="J133" i="18"/>
  <c r="D133" i="18"/>
  <c r="E133" i="18" s="1"/>
  <c r="F133" i="18" s="1"/>
  <c r="G133" i="18" s="1"/>
  <c r="H133" i="18" s="1"/>
  <c r="I133" i="18" s="1"/>
  <c r="E132" i="18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B132" i="18" s="1"/>
  <c r="D132" i="18"/>
  <c r="T131" i="18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B131" i="18" s="1"/>
  <c r="H131" i="18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G131" i="18"/>
  <c r="F131" i="18"/>
  <c r="E131" i="18"/>
  <c r="D131" i="18"/>
  <c r="M130" i="18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B130" i="18" s="1"/>
  <c r="K130" i="18"/>
  <c r="L130" i="18" s="1"/>
  <c r="J130" i="18"/>
  <c r="D130" i="18"/>
  <c r="E130" i="18" s="1"/>
  <c r="F130" i="18" s="1"/>
  <c r="G130" i="18" s="1"/>
  <c r="H130" i="18" s="1"/>
  <c r="I130" i="18" s="1"/>
  <c r="P128" i="18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B128" i="18" s="1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X127" i="18"/>
  <c r="Y127" i="18" s="1"/>
  <c r="Z127" i="18" s="1"/>
  <c r="AA127" i="18" s="1"/>
  <c r="AB127" i="18" s="1"/>
  <c r="AC127" i="18" s="1"/>
  <c r="AD127" i="18" s="1"/>
  <c r="AE127" i="18" s="1"/>
  <c r="AF127" i="18" s="1"/>
  <c r="B127" i="18" s="1"/>
  <c r="F127" i="18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E127" i="18"/>
  <c r="D127" i="18"/>
  <c r="K126" i="18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B126" i="18" s="1"/>
  <c r="I126" i="18"/>
  <c r="J126" i="18" s="1"/>
  <c r="D126" i="18"/>
  <c r="E126" i="18" s="1"/>
  <c r="F126" i="18" s="1"/>
  <c r="G126" i="18" s="1"/>
  <c r="H126" i="18" s="1"/>
  <c r="H125" i="18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B125" i="18" s="1"/>
  <c r="G125" i="18"/>
  <c r="F125" i="18"/>
  <c r="E125" i="18"/>
  <c r="D125" i="18"/>
  <c r="N124" i="18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B124" i="18" s="1"/>
  <c r="E124" i="18"/>
  <c r="F124" i="18" s="1"/>
  <c r="G124" i="18" s="1"/>
  <c r="H124" i="18" s="1"/>
  <c r="I124" i="18" s="1"/>
  <c r="J124" i="18" s="1"/>
  <c r="K124" i="18" s="1"/>
  <c r="L124" i="18" s="1"/>
  <c r="M124" i="18" s="1"/>
  <c r="D124" i="18"/>
  <c r="F123" i="18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B123" i="18" s="1"/>
  <c r="D123" i="18"/>
  <c r="E123" i="18" s="1"/>
  <c r="R122" i="18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B122" i="18" s="1"/>
  <c r="D122" i="18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E121" i="18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B121" i="18" s="1"/>
  <c r="D121" i="18"/>
  <c r="F120" i="18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B120" i="18" s="1"/>
  <c r="E120" i="18"/>
  <c r="D120" i="18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B119" i="18" s="1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B118" i="18" s="1"/>
  <c r="G117" i="18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B117" i="18" s="1"/>
  <c r="E117" i="18"/>
  <c r="F117" i="18" s="1"/>
  <c r="D117" i="18"/>
  <c r="E116" i="18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B116" i="18" s="1"/>
  <c r="D116" i="18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B115" i="18" s="1"/>
  <c r="D114" i="18"/>
  <c r="R113" i="18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B113" i="18" s="1"/>
  <c r="K113" i="18"/>
  <c r="L113" i="18" s="1"/>
  <c r="M113" i="18" s="1"/>
  <c r="N113" i="18" s="1"/>
  <c r="O113" i="18" s="1"/>
  <c r="P113" i="18" s="1"/>
  <c r="Q113" i="18" s="1"/>
  <c r="F113" i="18"/>
  <c r="G113" i="18" s="1"/>
  <c r="H113" i="18" s="1"/>
  <c r="I113" i="18" s="1"/>
  <c r="D113" i="18"/>
  <c r="E113" i="18" s="1"/>
  <c r="E112" i="18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B112" i="18" s="1"/>
  <c r="D112" i="18"/>
  <c r="D111" i="18"/>
  <c r="E111" i="18" s="1"/>
  <c r="F111" i="18" s="1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B111" i="18" s="1"/>
  <c r="H109" i="18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B109" i="18" s="1"/>
  <c r="D109" i="18"/>
  <c r="E109" i="18" s="1"/>
  <c r="F109" i="18" s="1"/>
  <c r="G109" i="18" s="1"/>
  <c r="F108" i="18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B108" i="18" s="1"/>
  <c r="D108" i="18"/>
  <c r="E108" i="18" s="1"/>
  <c r="F106" i="18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B106" i="18" s="1"/>
  <c r="E106" i="18"/>
  <c r="D106" i="18"/>
  <c r="J105" i="18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B105" i="18" s="1"/>
  <c r="D105" i="18"/>
  <c r="E105" i="18" s="1"/>
  <c r="F105" i="18" s="1"/>
  <c r="G105" i="18" s="1"/>
  <c r="H105" i="18" s="1"/>
  <c r="I105" i="18" s="1"/>
  <c r="H104" i="18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B104" i="18" s="1"/>
  <c r="D104" i="18"/>
  <c r="E104" i="18" s="1"/>
  <c r="F104" i="18" s="1"/>
  <c r="G104" i="18" s="1"/>
  <c r="F103" i="18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B103" i="18" s="1"/>
  <c r="D103" i="18"/>
  <c r="E103" i="18" s="1"/>
  <c r="E102" i="18"/>
  <c r="F102" i="18" s="1"/>
  <c r="D102" i="18"/>
  <c r="D101" i="18"/>
  <c r="E101" i="18" s="1"/>
  <c r="AH98" i="18"/>
  <c r="AI98" i="18" s="1"/>
  <c r="AH97" i="18"/>
  <c r="AI97" i="18" s="1"/>
  <c r="AH96" i="18"/>
  <c r="AI96" i="18" s="1"/>
  <c r="AH95" i="18"/>
  <c r="AI95" i="18" s="1"/>
  <c r="AH94" i="18"/>
  <c r="AI94" i="18" s="1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G82" i="18"/>
  <c r="T82" i="18"/>
  <c r="AI81" i="18"/>
  <c r="AH81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D82" i="18" s="1"/>
  <c r="C80" i="18"/>
  <c r="B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E82" i="18" s="1"/>
  <c r="D79" i="18"/>
  <c r="C79" i="18"/>
  <c r="B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F76" i="18"/>
  <c r="AE76" i="18"/>
  <c r="AD76" i="18"/>
  <c r="AD82" i="18" s="1"/>
  <c r="AC76" i="18"/>
  <c r="AB76" i="18"/>
  <c r="AA76" i="18"/>
  <c r="AA82" i="18" s="1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N82" i="18" s="1"/>
  <c r="M76" i="18"/>
  <c r="L76" i="18"/>
  <c r="L82" i="18" s="1"/>
  <c r="K76" i="18"/>
  <c r="J76" i="18"/>
  <c r="I76" i="18"/>
  <c r="H76" i="18"/>
  <c r="H82" i="18" s="1"/>
  <c r="G76" i="18"/>
  <c r="F76" i="18"/>
  <c r="E76" i="18"/>
  <c r="D76" i="18"/>
  <c r="C76" i="18"/>
  <c r="B76" i="18"/>
  <c r="AI74" i="18"/>
  <c r="AH74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AI71" i="18"/>
  <c r="AH71" i="18"/>
  <c r="AI70" i="18"/>
  <c r="AH70" i="18"/>
  <c r="AI69" i="18"/>
  <c r="AH69" i="18"/>
  <c r="AG68" i="18"/>
  <c r="AF68" i="18"/>
  <c r="AE68" i="18"/>
  <c r="AD68" i="18"/>
  <c r="AC5" i="18" s="1"/>
  <c r="AC68" i="18"/>
  <c r="AB5" i="18" s="1"/>
  <c r="AB68" i="18"/>
  <c r="AA5" i="18" s="1"/>
  <c r="AA68" i="18"/>
  <c r="Z5" i="18" s="1"/>
  <c r="Z68" i="18"/>
  <c r="Y68" i="18"/>
  <c r="X68" i="18"/>
  <c r="W68" i="18"/>
  <c r="V5" i="18" s="1"/>
  <c r="V68" i="18"/>
  <c r="U5" i="18" s="1"/>
  <c r="U68" i="18"/>
  <c r="T68" i="18"/>
  <c r="S68" i="18"/>
  <c r="R5" i="18" s="1"/>
  <c r="R68" i="18"/>
  <c r="Q5" i="18" s="1"/>
  <c r="Q68" i="18"/>
  <c r="P5" i="18" s="1"/>
  <c r="P68" i="18"/>
  <c r="O5" i="18" s="1"/>
  <c r="O68" i="18"/>
  <c r="N68" i="18"/>
  <c r="M68" i="18"/>
  <c r="L5" i="18" s="1"/>
  <c r="L68" i="18"/>
  <c r="K5" i="18" s="1"/>
  <c r="K68" i="18"/>
  <c r="J5" i="18" s="1"/>
  <c r="J68" i="18"/>
  <c r="I68" i="18"/>
  <c r="H5" i="18" s="1"/>
  <c r="H68" i="18"/>
  <c r="G5" i="18" s="1"/>
  <c r="G68" i="18"/>
  <c r="F5" i="18" s="1"/>
  <c r="F68" i="18"/>
  <c r="E68" i="18"/>
  <c r="D68" i="18"/>
  <c r="C68" i="18"/>
  <c r="B5" i="18" s="1"/>
  <c r="B68" i="18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Z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AG51" i="18"/>
  <c r="AG52" i="18" s="1"/>
  <c r="AG3" i="18" s="1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R75" i="18" s="1"/>
  <c r="AJ213" i="18" s="1"/>
  <c r="Q38" i="18"/>
  <c r="P38" i="18"/>
  <c r="O38" i="18"/>
  <c r="O75" i="18" s="1"/>
  <c r="N38" i="18"/>
  <c r="M38" i="18"/>
  <c r="M75" i="18" s="1"/>
  <c r="L38" i="18"/>
  <c r="K38" i="18"/>
  <c r="J38" i="18"/>
  <c r="I38" i="18"/>
  <c r="H38" i="18"/>
  <c r="H75" i="18" s="1"/>
  <c r="G38" i="18"/>
  <c r="F38" i="18"/>
  <c r="E38" i="18"/>
  <c r="D38" i="18"/>
  <c r="C38" i="18"/>
  <c r="B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E5" i="18"/>
  <c r="AD5" i="18"/>
  <c r="Y5" i="18"/>
  <c r="X5" i="18"/>
  <c r="W5" i="18"/>
  <c r="T5" i="18"/>
  <c r="S5" i="18"/>
  <c r="N5" i="18"/>
  <c r="M5" i="18"/>
  <c r="I5" i="18"/>
  <c r="E5" i="18"/>
  <c r="D5" i="18"/>
  <c r="AG4" i="18"/>
  <c r="K4" i="18"/>
  <c r="AG2" i="18"/>
  <c r="AE95" i="17"/>
  <c r="AC95" i="17"/>
  <c r="AB95" i="17"/>
  <c r="Z95" i="17"/>
  <c r="W95" i="17"/>
  <c r="W59" i="17"/>
  <c r="W37" i="17"/>
  <c r="V95" i="17"/>
  <c r="V59" i="17"/>
  <c r="V37" i="17"/>
  <c r="U95" i="17"/>
  <c r="U59" i="17"/>
  <c r="U37" i="17"/>
  <c r="T59" i="17"/>
  <c r="S68" i="17"/>
  <c r="S72" i="17"/>
  <c r="T37" i="17"/>
  <c r="S95" i="17"/>
  <c r="S37" i="17"/>
  <c r="E4" i="19"/>
  <c r="E4" i="18"/>
  <c r="E4" i="20"/>
  <c r="AF82" i="20" l="1"/>
  <c r="AD82" i="20"/>
  <c r="AA82" i="20"/>
  <c r="Z75" i="20"/>
  <c r="Y82" i="20"/>
  <c r="X82" i="20"/>
  <c r="V82" i="20"/>
  <c r="S82" i="20"/>
  <c r="S73" i="20"/>
  <c r="R75" i="20"/>
  <c r="Q82" i="20"/>
  <c r="Q75" i="20"/>
  <c r="Q73" i="20"/>
  <c r="P82" i="20"/>
  <c r="O73" i="20"/>
  <c r="N82" i="20"/>
  <c r="N73" i="20"/>
  <c r="M73" i="20"/>
  <c r="K82" i="20"/>
  <c r="I82" i="20"/>
  <c r="H82" i="20"/>
  <c r="AH80" i="20"/>
  <c r="G73" i="20"/>
  <c r="AI79" i="20"/>
  <c r="AI56" i="20"/>
  <c r="C82" i="20"/>
  <c r="AI38" i="20"/>
  <c r="C73" i="20"/>
  <c r="C75" i="20" s="1"/>
  <c r="U213" i="20" s="1"/>
  <c r="H4" i="20"/>
  <c r="AA213" i="20"/>
  <c r="I7" i="20"/>
  <c r="AI213" i="20"/>
  <c r="Q7" i="20"/>
  <c r="AB213" i="20"/>
  <c r="J7" i="20"/>
  <c r="AJ213" i="20"/>
  <c r="R7" i="20"/>
  <c r="AR213" i="20"/>
  <c r="Z7" i="20"/>
  <c r="C7" i="20"/>
  <c r="AH56" i="20"/>
  <c r="D75" i="20"/>
  <c r="L75" i="20"/>
  <c r="T75" i="20"/>
  <c r="E82" i="20"/>
  <c r="M82" i="20"/>
  <c r="U82" i="20"/>
  <c r="AC82" i="20"/>
  <c r="D73" i="20"/>
  <c r="L73" i="20"/>
  <c r="T73" i="20"/>
  <c r="E75" i="20"/>
  <c r="M75" i="20"/>
  <c r="G75" i="20"/>
  <c r="D210" i="20"/>
  <c r="S210" i="20"/>
  <c r="F75" i="20"/>
  <c r="N75" i="20"/>
  <c r="I73" i="20"/>
  <c r="I83" i="20" s="1"/>
  <c r="G82" i="20"/>
  <c r="O82" i="20"/>
  <c r="W82" i="20"/>
  <c r="AE82" i="20"/>
  <c r="AH79" i="20"/>
  <c r="AI80" i="20"/>
  <c r="D93" i="20"/>
  <c r="E108" i="20"/>
  <c r="F108" i="20" s="1"/>
  <c r="G108" i="20" s="1"/>
  <c r="H108" i="20" s="1"/>
  <c r="I108" i="20" s="1"/>
  <c r="J108" i="20" s="1"/>
  <c r="K108" i="20" s="1"/>
  <c r="L108" i="20" s="1"/>
  <c r="M108" i="20" s="1"/>
  <c r="N108" i="20" s="1"/>
  <c r="O108" i="20" s="1"/>
  <c r="P108" i="20" s="1"/>
  <c r="Q108" i="20" s="1"/>
  <c r="R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E108" i="20" s="1"/>
  <c r="AF108" i="20" s="1"/>
  <c r="B108" i="20" s="1"/>
  <c r="F5" i="20"/>
  <c r="N5" i="20"/>
  <c r="K73" i="20"/>
  <c r="AH78" i="20"/>
  <c r="F102" i="20"/>
  <c r="E93" i="20"/>
  <c r="H75" i="20"/>
  <c r="P75" i="20"/>
  <c r="O75" i="20"/>
  <c r="AI77" i="20"/>
  <c r="H73" i="20"/>
  <c r="P73" i="20"/>
  <c r="P83" i="20" s="1"/>
  <c r="Q83" i="20"/>
  <c r="AG83" i="20"/>
  <c r="AI76" i="20"/>
  <c r="J82" i="20"/>
  <c r="R82" i="20"/>
  <c r="Z82" i="20"/>
  <c r="AH38" i="20"/>
  <c r="B5" i="20"/>
  <c r="R5" i="20"/>
  <c r="AH68" i="20"/>
  <c r="J73" i="20"/>
  <c r="J83" i="20" s="1"/>
  <c r="R73" i="20"/>
  <c r="Z73" i="20"/>
  <c r="AI68" i="20"/>
  <c r="C83" i="20"/>
  <c r="K75" i="20"/>
  <c r="S75" i="20"/>
  <c r="D82" i="20"/>
  <c r="L82" i="20"/>
  <c r="T82" i="20"/>
  <c r="AB82" i="20"/>
  <c r="AI78" i="20"/>
  <c r="AH76" i="20"/>
  <c r="B82" i="20"/>
  <c r="D191" i="20"/>
  <c r="AH72" i="20"/>
  <c r="AH77" i="20"/>
  <c r="F101" i="20"/>
  <c r="E199" i="20"/>
  <c r="F193" i="20"/>
  <c r="D234" i="20"/>
  <c r="F198" i="20"/>
  <c r="AF82" i="18"/>
  <c r="AE82" i="18"/>
  <c r="AC82" i="18"/>
  <c r="AB82" i="18"/>
  <c r="Z75" i="18"/>
  <c r="AR213" i="18" s="1"/>
  <c r="Z73" i="18"/>
  <c r="Y82" i="18"/>
  <c r="X82" i="18"/>
  <c r="W82" i="18"/>
  <c r="V82" i="18"/>
  <c r="U82" i="18"/>
  <c r="T73" i="18"/>
  <c r="S82" i="18"/>
  <c r="R73" i="18"/>
  <c r="Q73" i="18"/>
  <c r="Q82" i="18"/>
  <c r="P82" i="18"/>
  <c r="P75" i="18"/>
  <c r="P73" i="18"/>
  <c r="O82" i="18"/>
  <c r="N75" i="18"/>
  <c r="M82" i="18"/>
  <c r="K82" i="18"/>
  <c r="J75" i="18"/>
  <c r="AB213" i="18" s="1"/>
  <c r="J73" i="18"/>
  <c r="K75" i="18"/>
  <c r="AC213" i="18" s="1"/>
  <c r="I73" i="18"/>
  <c r="I82" i="18"/>
  <c r="AH80" i="18"/>
  <c r="H73" i="18"/>
  <c r="H83" i="18" s="1"/>
  <c r="G75" i="18"/>
  <c r="G82" i="18"/>
  <c r="F82" i="18"/>
  <c r="F75" i="18"/>
  <c r="D75" i="18"/>
  <c r="D73" i="18"/>
  <c r="AI78" i="18"/>
  <c r="C82" i="18"/>
  <c r="AI79" i="18"/>
  <c r="AI77" i="18"/>
  <c r="AH68" i="18"/>
  <c r="AI56" i="18"/>
  <c r="AI38" i="18"/>
  <c r="AH78" i="18"/>
  <c r="AF5" i="18"/>
  <c r="AI68" i="18"/>
  <c r="AF82" i="19"/>
  <c r="AD82" i="19"/>
  <c r="Z82" i="19"/>
  <c r="Z75" i="19"/>
  <c r="Z73" i="19"/>
  <c r="X82" i="19"/>
  <c r="W82" i="19"/>
  <c r="T73" i="19"/>
  <c r="T75" i="19"/>
  <c r="AL213" i="19" s="1"/>
  <c r="S73" i="19"/>
  <c r="S75" i="19"/>
  <c r="R82" i="19"/>
  <c r="R75" i="19"/>
  <c r="R73" i="19"/>
  <c r="Q73" i="19"/>
  <c r="P82" i="19"/>
  <c r="P73" i="19"/>
  <c r="O73" i="19"/>
  <c r="N82" i="19"/>
  <c r="M82" i="19"/>
  <c r="L73" i="19"/>
  <c r="L75" i="19"/>
  <c r="AD213" i="19" s="1"/>
  <c r="K73" i="19"/>
  <c r="K75" i="19"/>
  <c r="AC213" i="19" s="1"/>
  <c r="J75" i="19"/>
  <c r="AB213" i="19" s="1"/>
  <c r="J82" i="19"/>
  <c r="J73" i="19"/>
  <c r="I73" i="19"/>
  <c r="H75" i="19"/>
  <c r="Z213" i="19" s="1"/>
  <c r="H82" i="19"/>
  <c r="H73" i="19"/>
  <c r="G82" i="19"/>
  <c r="G73" i="19"/>
  <c r="AI79" i="19"/>
  <c r="F82" i="19"/>
  <c r="F73" i="19"/>
  <c r="AI80" i="19"/>
  <c r="D73" i="19"/>
  <c r="D75" i="19"/>
  <c r="V213" i="19" s="1"/>
  <c r="C73" i="19"/>
  <c r="C75" i="19" s="1"/>
  <c r="U213" i="19" s="1"/>
  <c r="AH80" i="19"/>
  <c r="H4" i="19"/>
  <c r="I102" i="19"/>
  <c r="AI38" i="19"/>
  <c r="AR213" i="19"/>
  <c r="Z7" i="19"/>
  <c r="AI78" i="19"/>
  <c r="F108" i="19"/>
  <c r="I82" i="19"/>
  <c r="Q82" i="19"/>
  <c r="Y82" i="19"/>
  <c r="AI77" i="19"/>
  <c r="AH78" i="19"/>
  <c r="E5" i="19"/>
  <c r="AI68" i="19"/>
  <c r="E75" i="19"/>
  <c r="M75" i="19"/>
  <c r="G75" i="19"/>
  <c r="AH56" i="19"/>
  <c r="F75" i="19"/>
  <c r="N75" i="19"/>
  <c r="C82" i="19"/>
  <c r="K82" i="19"/>
  <c r="S82" i="19"/>
  <c r="S83" i="19" s="1"/>
  <c r="AA82" i="19"/>
  <c r="D82" i="19"/>
  <c r="L82" i="19"/>
  <c r="T82" i="19"/>
  <c r="T83" i="19" s="1"/>
  <c r="AB82" i="19"/>
  <c r="T7" i="19"/>
  <c r="AH79" i="19"/>
  <c r="B82" i="19"/>
  <c r="AJ213" i="19"/>
  <c r="R7" i="19"/>
  <c r="AI76" i="19"/>
  <c r="S210" i="19"/>
  <c r="D210" i="19"/>
  <c r="AI56" i="19"/>
  <c r="D5" i="19"/>
  <c r="E73" i="19"/>
  <c r="L5" i="19"/>
  <c r="M73" i="19"/>
  <c r="T5" i="19"/>
  <c r="AB5" i="19"/>
  <c r="O75" i="19"/>
  <c r="N73" i="19"/>
  <c r="P83" i="19"/>
  <c r="AH213" i="19"/>
  <c r="P7" i="19"/>
  <c r="E82" i="19"/>
  <c r="AH76" i="19"/>
  <c r="U82" i="19"/>
  <c r="AC82" i="19"/>
  <c r="G5" i="19"/>
  <c r="O5" i="19"/>
  <c r="W5" i="19"/>
  <c r="AE5" i="19"/>
  <c r="I75" i="19"/>
  <c r="Q75" i="19"/>
  <c r="AG75" i="19"/>
  <c r="AG83" i="19" s="1"/>
  <c r="AH38" i="19"/>
  <c r="AH68" i="19"/>
  <c r="AH72" i="19"/>
  <c r="AH77" i="19"/>
  <c r="AI72" i="19"/>
  <c r="D191" i="19"/>
  <c r="E101" i="19"/>
  <c r="C234" i="19"/>
  <c r="E198" i="19"/>
  <c r="E93" i="19" s="1"/>
  <c r="H193" i="19"/>
  <c r="D199" i="19"/>
  <c r="E194" i="19"/>
  <c r="H4" i="18"/>
  <c r="AG213" i="18"/>
  <c r="O7" i="18"/>
  <c r="F101" i="18"/>
  <c r="Y213" i="18"/>
  <c r="G7" i="18"/>
  <c r="X213" i="18"/>
  <c r="F7" i="18"/>
  <c r="AF213" i="18"/>
  <c r="N7" i="18"/>
  <c r="O73" i="18"/>
  <c r="O83" i="18" s="1"/>
  <c r="K73" i="18"/>
  <c r="K83" i="18" s="1"/>
  <c r="AI80" i="18"/>
  <c r="L73" i="18"/>
  <c r="G73" i="18"/>
  <c r="G83" i="18" s="1"/>
  <c r="C5" i="18"/>
  <c r="J7" i="18"/>
  <c r="Z7" i="18"/>
  <c r="AH72" i="18"/>
  <c r="AI72" i="18"/>
  <c r="AG73" i="18"/>
  <c r="AG83" i="18" s="1"/>
  <c r="Z213" i="18"/>
  <c r="H7" i="18"/>
  <c r="E114" i="18"/>
  <c r="D93" i="18"/>
  <c r="AH56" i="18"/>
  <c r="L75" i="18"/>
  <c r="L83" i="18" s="1"/>
  <c r="T75" i="18"/>
  <c r="C73" i="18"/>
  <c r="C75" i="18" s="1"/>
  <c r="S73" i="18"/>
  <c r="AE213" i="18"/>
  <c r="M7" i="18"/>
  <c r="AG6" i="18"/>
  <c r="E73" i="18"/>
  <c r="M73" i="18"/>
  <c r="M83" i="18" s="1"/>
  <c r="AH213" i="18"/>
  <c r="P7" i="18"/>
  <c r="AH77" i="18"/>
  <c r="AH79" i="18"/>
  <c r="D83" i="18"/>
  <c r="G102" i="18"/>
  <c r="S75" i="18"/>
  <c r="D191" i="18"/>
  <c r="D210" i="18"/>
  <c r="S210" i="18"/>
  <c r="R7" i="18"/>
  <c r="F73" i="18"/>
  <c r="F83" i="18" s="1"/>
  <c r="N73" i="18"/>
  <c r="N83" i="18" s="1"/>
  <c r="E75" i="18"/>
  <c r="AI76" i="18"/>
  <c r="J82" i="18"/>
  <c r="J83" i="18" s="1"/>
  <c r="R82" i="18"/>
  <c r="R83" i="18" s="1"/>
  <c r="Z82" i="18"/>
  <c r="Z83" i="18" s="1"/>
  <c r="I75" i="18"/>
  <c r="Q75" i="18"/>
  <c r="AG75" i="18"/>
  <c r="AH38" i="18"/>
  <c r="AH76" i="18"/>
  <c r="B82" i="18"/>
  <c r="E199" i="18"/>
  <c r="F193" i="18"/>
  <c r="G198" i="18"/>
  <c r="R37" i="17"/>
  <c r="Z83" i="20" l="1"/>
  <c r="T83" i="20"/>
  <c r="S83" i="20"/>
  <c r="R83" i="20"/>
  <c r="O83" i="20"/>
  <c r="M83" i="20"/>
  <c r="H83" i="20"/>
  <c r="G83" i="20"/>
  <c r="E83" i="20"/>
  <c r="D83" i="20"/>
  <c r="E234" i="20"/>
  <c r="G198" i="20"/>
  <c r="AC213" i="20"/>
  <c r="K7" i="20"/>
  <c r="AG213" i="20"/>
  <c r="O7" i="20"/>
  <c r="AI82" i="20"/>
  <c r="AH82" i="20"/>
  <c r="L83" i="20"/>
  <c r="AL213" i="20"/>
  <c r="T7" i="20"/>
  <c r="G193" i="20"/>
  <c r="F199" i="20"/>
  <c r="AF213" i="20"/>
  <c r="N7" i="20"/>
  <c r="AD213" i="20"/>
  <c r="L7" i="20"/>
  <c r="N83" i="20"/>
  <c r="G102" i="20"/>
  <c r="F93" i="20"/>
  <c r="X213" i="20"/>
  <c r="F7" i="20"/>
  <c r="V213" i="20"/>
  <c r="D7" i="20"/>
  <c r="F83" i="20"/>
  <c r="F191" i="20"/>
  <c r="G101" i="20"/>
  <c r="AH213" i="20"/>
  <c r="P7" i="20"/>
  <c r="AE213" i="20"/>
  <c r="M7" i="20"/>
  <c r="E191" i="20"/>
  <c r="AK213" i="20"/>
  <c r="S7" i="20"/>
  <c r="K83" i="20"/>
  <c r="Z213" i="20"/>
  <c r="H7" i="20"/>
  <c r="Y213" i="20"/>
  <c r="C208" i="20"/>
  <c r="B208" i="20"/>
  <c r="G7" i="20"/>
  <c r="W213" i="20"/>
  <c r="E7" i="20"/>
  <c r="S83" i="18"/>
  <c r="P83" i="18"/>
  <c r="K7" i="18"/>
  <c r="B208" i="18"/>
  <c r="E83" i="18"/>
  <c r="V213" i="18"/>
  <c r="D7" i="18"/>
  <c r="C83" i="18"/>
  <c r="Z83" i="19"/>
  <c r="AK213" i="19"/>
  <c r="S7" i="19"/>
  <c r="R83" i="19"/>
  <c r="N83" i="19"/>
  <c r="M83" i="19"/>
  <c r="L83" i="19"/>
  <c r="L7" i="19"/>
  <c r="K7" i="19"/>
  <c r="K83" i="19"/>
  <c r="H7" i="19"/>
  <c r="J7" i="19"/>
  <c r="J83" i="19"/>
  <c r="H83" i="19"/>
  <c r="F83" i="19"/>
  <c r="E83" i="19"/>
  <c r="D83" i="19"/>
  <c r="D7" i="19"/>
  <c r="C83" i="19"/>
  <c r="C7" i="19"/>
  <c r="Y213" i="19"/>
  <c r="C208" i="19"/>
  <c r="B208" i="19"/>
  <c r="G7" i="19"/>
  <c r="AG213" i="19"/>
  <c r="O7" i="19"/>
  <c r="J102" i="19"/>
  <c r="AI213" i="19"/>
  <c r="Q7" i="19"/>
  <c r="Q83" i="19"/>
  <c r="AF213" i="19"/>
  <c r="N7" i="19"/>
  <c r="AE213" i="19"/>
  <c r="M7" i="19"/>
  <c r="E191" i="19"/>
  <c r="F101" i="19"/>
  <c r="AA213" i="19"/>
  <c r="I7" i="19"/>
  <c r="W213" i="19"/>
  <c r="E7" i="19"/>
  <c r="F194" i="19"/>
  <c r="E199" i="19"/>
  <c r="O83" i="19"/>
  <c r="I83" i="19"/>
  <c r="X213" i="19"/>
  <c r="F7" i="19"/>
  <c r="I193" i="19"/>
  <c r="G83" i="19"/>
  <c r="G108" i="19"/>
  <c r="D234" i="19"/>
  <c r="F198" i="19"/>
  <c r="AI82" i="19"/>
  <c r="AH82" i="19"/>
  <c r="AK213" i="18"/>
  <c r="S7" i="18"/>
  <c r="G101" i="18"/>
  <c r="AL213" i="18"/>
  <c r="T7" i="18"/>
  <c r="C208" i="18"/>
  <c r="T83" i="18"/>
  <c r="H198" i="18"/>
  <c r="F234" i="18"/>
  <c r="AI213" i="18"/>
  <c r="Q7" i="18"/>
  <c r="F114" i="18"/>
  <c r="E93" i="18"/>
  <c r="E191" i="18"/>
  <c r="H102" i="18"/>
  <c r="AA213" i="18"/>
  <c r="I7" i="18"/>
  <c r="W213" i="18"/>
  <c r="E7" i="18"/>
  <c r="I83" i="18"/>
  <c r="AD213" i="18"/>
  <c r="L7" i="18"/>
  <c r="G193" i="18"/>
  <c r="F199" i="18"/>
  <c r="U213" i="18"/>
  <c r="C7" i="18"/>
  <c r="Q83" i="18"/>
  <c r="AI82" i="18"/>
  <c r="AH82" i="18"/>
  <c r="Q37" i="17"/>
  <c r="P37" i="17"/>
  <c r="O37" i="17"/>
  <c r="AH99" i="17"/>
  <c r="AI99" i="17" s="1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C234" i="17"/>
  <c r="B234" i="17"/>
  <c r="S209" i="17"/>
  <c r="AG199" i="17"/>
  <c r="C199" i="17"/>
  <c r="E198" i="17"/>
  <c r="F198" i="17" s="1"/>
  <c r="G198" i="17" s="1"/>
  <c r="F234" i="17" s="1"/>
  <c r="D198" i="17"/>
  <c r="J197" i="17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D197" i="17"/>
  <c r="E197" i="17" s="1"/>
  <c r="F197" i="17" s="1"/>
  <c r="G197" i="17" s="1"/>
  <c r="H197" i="17" s="1"/>
  <c r="I197" i="17" s="1"/>
  <c r="M196" i="17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E196" i="17" s="1"/>
  <c r="F196" i="17" s="1"/>
  <c r="G196" i="17" s="1"/>
  <c r="H196" i="17" s="1"/>
  <c r="I196" i="17" s="1"/>
  <c r="J196" i="17" s="1"/>
  <c r="K196" i="17" s="1"/>
  <c r="L196" i="17" s="1"/>
  <c r="F195" i="17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B195" i="17" s="1"/>
  <c r="E195" i="17"/>
  <c r="D195" i="17"/>
  <c r="X194" i="17"/>
  <c r="Y194" i="17" s="1"/>
  <c r="Z194" i="17" s="1"/>
  <c r="AA194" i="17" s="1"/>
  <c r="AB194" i="17" s="1"/>
  <c r="AC194" i="17" s="1"/>
  <c r="AD194" i="17" s="1"/>
  <c r="AE194" i="17" s="1"/>
  <c r="AF194" i="17" s="1"/>
  <c r="B194" i="17" s="1"/>
  <c r="D194" i="17"/>
  <c r="E194" i="17" s="1"/>
  <c r="F194" i="17" s="1"/>
  <c r="G194" i="17" s="1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D193" i="17"/>
  <c r="AG191" i="17"/>
  <c r="C191" i="17"/>
  <c r="D190" i="17"/>
  <c r="E190" i="17" s="1"/>
  <c r="F190" i="17" s="1"/>
  <c r="G190" i="17" s="1"/>
  <c r="H190" i="17" s="1"/>
  <c r="I190" i="17" s="1"/>
  <c r="J190" i="17" s="1"/>
  <c r="K190" i="17" s="1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E189" i="17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9" i="17"/>
  <c r="K188" i="17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D188" i="17"/>
  <c r="E188" i="17" s="1"/>
  <c r="F188" i="17" s="1"/>
  <c r="G188" i="17" s="1"/>
  <c r="H188" i="17" s="1"/>
  <c r="I188" i="17" s="1"/>
  <c r="J188" i="17" s="1"/>
  <c r="D187" i="17"/>
  <c r="E187" i="17" s="1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D186" i="17"/>
  <c r="E186" i="17" s="1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D185" i="17"/>
  <c r="E185" i="17" s="1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D184" i="17"/>
  <c r="E184" i="17" s="1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D183" i="17"/>
  <c r="E183" i="17" s="1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D182" i="17"/>
  <c r="E182" i="17" s="1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E181" i="17"/>
  <c r="F181" i="17" s="1"/>
  <c r="G181" i="17" s="1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D181" i="17"/>
  <c r="D180" i="17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D179" i="17"/>
  <c r="E179" i="17" s="1"/>
  <c r="F179" i="17" s="1"/>
  <c r="G179" i="17" s="1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D178" i="17"/>
  <c r="E178" i="17" s="1"/>
  <c r="F178" i="17" s="1"/>
  <c r="G178" i="17" s="1"/>
  <c r="H178" i="17" s="1"/>
  <c r="I178" i="17" s="1"/>
  <c r="J178" i="17" s="1"/>
  <c r="K178" i="17" s="1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B178" i="17" s="1"/>
  <c r="D176" i="17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D175" i="17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D174" i="17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D173" i="17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D172" i="17"/>
  <c r="E172" i="17" s="1"/>
  <c r="F172" i="17" s="1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F171" i="17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D171" i="17"/>
  <c r="E171" i="17" s="1"/>
  <c r="AA170" i="17"/>
  <c r="AB170" i="17" s="1"/>
  <c r="AC170" i="17" s="1"/>
  <c r="AD170" i="17" s="1"/>
  <c r="AE170" i="17" s="1"/>
  <c r="AF170" i="17" s="1"/>
  <c r="B170" i="17" s="1"/>
  <c r="D170" i="17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D169" i="17"/>
  <c r="E169" i="17" s="1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B169" i="17" s="1"/>
  <c r="E167" i="17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D167" i="17"/>
  <c r="D166" i="17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D165" i="17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D164" i="17"/>
  <c r="E164" i="17" s="1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D163" i="17"/>
  <c r="E163" i="17" s="1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D162" i="17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D161" i="17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D160" i="17"/>
  <c r="E160" i="17" s="1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D159" i="17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E158" i="17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D158" i="17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D156" i="17"/>
  <c r="E156" i="17" s="1"/>
  <c r="F156" i="17" s="1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D155" i="17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B155" i="17" s="1"/>
  <c r="E153" i="17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D153" i="17"/>
  <c r="D152" i="17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D151" i="17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D150" i="17"/>
  <c r="E150" i="17" s="1"/>
  <c r="F150" i="17" s="1"/>
  <c r="G150" i="17" s="1"/>
  <c r="H150" i="17" s="1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B150" i="17" s="1"/>
  <c r="E148" i="17"/>
  <c r="F148" i="17" s="1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D148" i="17"/>
  <c r="D147" i="17"/>
  <c r="E147" i="17" s="1"/>
  <c r="F147" i="17" s="1"/>
  <c r="G147" i="17" s="1"/>
  <c r="H147" i="17" s="1"/>
  <c r="I147" i="17" s="1"/>
  <c r="J147" i="17" s="1"/>
  <c r="K147" i="17" s="1"/>
  <c r="L147" i="17" s="1"/>
  <c r="M147" i="17" s="1"/>
  <c r="N147" i="17" s="1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AE147" i="17" s="1"/>
  <c r="AF147" i="17" s="1"/>
  <c r="B147" i="17" s="1"/>
  <c r="H145" i="17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B145" i="17" s="1"/>
  <c r="D145" i="17"/>
  <c r="E145" i="17" s="1"/>
  <c r="F145" i="17" s="1"/>
  <c r="G145" i="17" s="1"/>
  <c r="D144" i="17"/>
  <c r="E144" i="17" s="1"/>
  <c r="F144" i="17" s="1"/>
  <c r="G144" i="17" s="1"/>
  <c r="H144" i="17" s="1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D143" i="17"/>
  <c r="E143" i="17" s="1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E142" i="17"/>
  <c r="F142" i="17" s="1"/>
  <c r="G142" i="17" s="1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B142" i="17" s="1"/>
  <c r="D142" i="17"/>
  <c r="D141" i="17"/>
  <c r="E141" i="17" s="1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D140" i="17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D139" i="17"/>
  <c r="E139" i="17" s="1"/>
  <c r="F139" i="17" s="1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B139" i="17" s="1"/>
  <c r="D137" i="17"/>
  <c r="E137" i="17" s="1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D136" i="17"/>
  <c r="E136" i="17" s="1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D134" i="17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F133" i="17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E133" i="17"/>
  <c r="D133" i="17"/>
  <c r="D132" i="17"/>
  <c r="E132" i="17" s="1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D131" i="17"/>
  <c r="E131" i="17" s="1"/>
  <c r="F131" i="17" s="1"/>
  <c r="G131" i="17" s="1"/>
  <c r="H131" i="17" s="1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D130" i="17"/>
  <c r="E130" i="17" s="1"/>
  <c r="F130" i="17" s="1"/>
  <c r="G130" i="17" s="1"/>
  <c r="H130" i="17" s="1"/>
  <c r="I130" i="17" s="1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B130" i="17" s="1"/>
  <c r="D128" i="17"/>
  <c r="E128" i="17" s="1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D127" i="17"/>
  <c r="E127" i="17" s="1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E126" i="17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D125" i="17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D123" i="17"/>
  <c r="E123" i="17" s="1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D122" i="17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D121" i="17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E120" i="17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D120" i="17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E118" i="17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D118" i="17"/>
  <c r="D117" i="17"/>
  <c r="E117" i="17" s="1"/>
  <c r="F117" i="17" s="1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D116" i="17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D115" i="17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D114" i="17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K113" i="17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D113" i="17"/>
  <c r="E113" i="17" s="1"/>
  <c r="F113" i="17" s="1"/>
  <c r="G113" i="17" s="1"/>
  <c r="H113" i="17" s="1"/>
  <c r="I113" i="17" s="1"/>
  <c r="D112" i="17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D111" i="17"/>
  <c r="E111" i="17" s="1"/>
  <c r="F111" i="17" s="1"/>
  <c r="G111" i="17" s="1"/>
  <c r="H111" i="17" s="1"/>
  <c r="I111" i="17" s="1"/>
  <c r="J111" i="17" s="1"/>
  <c r="K111" i="17" s="1"/>
  <c r="L111" i="17" s="1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B111" i="17" s="1"/>
  <c r="H109" i="17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D109" i="17"/>
  <c r="E109" i="17" s="1"/>
  <c r="F109" i="17" s="1"/>
  <c r="G109" i="17" s="1"/>
  <c r="E108" i="17"/>
  <c r="F108" i="17" s="1"/>
  <c r="G108" i="17" s="1"/>
  <c r="H108" i="17" s="1"/>
  <c r="I108" i="17" s="1"/>
  <c r="J108" i="17" s="1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B108" i="17" s="1"/>
  <c r="D108" i="17"/>
  <c r="D106" i="17"/>
  <c r="E106" i="17" s="1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D105" i="17"/>
  <c r="E105" i="17" s="1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D104" i="17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D103" i="17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B103" i="17" s="1"/>
  <c r="D102" i="17"/>
  <c r="E102" i="17" s="1"/>
  <c r="F101" i="17"/>
  <c r="G101" i="17" s="1"/>
  <c r="E101" i="17"/>
  <c r="D101" i="17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I74" i="17"/>
  <c r="AH74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I71" i="17"/>
  <c r="AH71" i="17"/>
  <c r="AI70" i="17"/>
  <c r="AH70" i="17"/>
  <c r="AI69" i="17"/>
  <c r="AH69" i="17"/>
  <c r="AG68" i="17"/>
  <c r="AG73" i="17" s="1"/>
  <c r="AF68" i="17"/>
  <c r="AE5" i="17" s="1"/>
  <c r="AE68" i="17"/>
  <c r="AD5" i="17" s="1"/>
  <c r="AD68" i="17"/>
  <c r="AC68" i="17"/>
  <c r="AB5" i="17" s="1"/>
  <c r="AB68" i="17"/>
  <c r="AA5" i="17" s="1"/>
  <c r="AA68" i="17"/>
  <c r="Z5" i="17" s="1"/>
  <c r="Z68" i="17"/>
  <c r="Y5" i="17" s="1"/>
  <c r="Y68" i="17"/>
  <c r="X5" i="17" s="1"/>
  <c r="X68" i="17"/>
  <c r="W5" i="17" s="1"/>
  <c r="W68" i="17"/>
  <c r="V5" i="17" s="1"/>
  <c r="V68" i="17"/>
  <c r="U5" i="17" s="1"/>
  <c r="U68" i="17"/>
  <c r="T5" i="17" s="1"/>
  <c r="T68" i="17"/>
  <c r="S5" i="17" s="1"/>
  <c r="R5" i="17"/>
  <c r="R68" i="17"/>
  <c r="Q68" i="17"/>
  <c r="P5" i="17" s="1"/>
  <c r="P68" i="17"/>
  <c r="O68" i="17"/>
  <c r="N68" i="17"/>
  <c r="M5" i="17" s="1"/>
  <c r="M68" i="17"/>
  <c r="L5" i="17" s="1"/>
  <c r="L68" i="17"/>
  <c r="K5" i="17" s="1"/>
  <c r="K68" i="17"/>
  <c r="J5" i="17" s="1"/>
  <c r="J68" i="17"/>
  <c r="I68" i="17"/>
  <c r="H5" i="17" s="1"/>
  <c r="H68" i="17"/>
  <c r="G68" i="17"/>
  <c r="F5" i="17" s="1"/>
  <c r="F68" i="17"/>
  <c r="E68" i="17"/>
  <c r="D68" i="17"/>
  <c r="C68" i="17"/>
  <c r="B5" i="17" s="1"/>
  <c r="B68" i="17"/>
  <c r="AF5" i="17" s="1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G4" i="17" s="1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I55" i="17"/>
  <c r="AH55" i="17"/>
  <c r="AI54" i="17"/>
  <c r="AH54" i="17"/>
  <c r="AI53" i="17"/>
  <c r="AH53" i="17"/>
  <c r="Z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G51" i="17"/>
  <c r="AG52" i="17" s="1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G2" i="17" s="1"/>
  <c r="AG6" i="17" s="1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C5" i="17"/>
  <c r="O5" i="17"/>
  <c r="N5" i="17"/>
  <c r="G5" i="17"/>
  <c r="E5" i="17"/>
  <c r="D5" i="17"/>
  <c r="C5" i="17"/>
  <c r="K4" i="17"/>
  <c r="B4" i="17"/>
  <c r="AG3" i="17"/>
  <c r="Y95" i="16"/>
  <c r="E4" i="17"/>
  <c r="K6" i="20" l="1"/>
  <c r="G191" i="20"/>
  <c r="H101" i="20"/>
  <c r="H193" i="20"/>
  <c r="G199" i="20"/>
  <c r="H102" i="20"/>
  <c r="G93" i="20"/>
  <c r="F234" i="20"/>
  <c r="H198" i="20"/>
  <c r="K6" i="18"/>
  <c r="K6" i="19"/>
  <c r="S73" i="17"/>
  <c r="D93" i="17"/>
  <c r="V82" i="17"/>
  <c r="D234" i="17"/>
  <c r="AG75" i="17"/>
  <c r="AG83" i="17" s="1"/>
  <c r="J193" i="19"/>
  <c r="G194" i="19"/>
  <c r="F199" i="19"/>
  <c r="E234" i="19"/>
  <c r="G198" i="19"/>
  <c r="F191" i="19"/>
  <c r="G101" i="19"/>
  <c r="F93" i="19"/>
  <c r="K102" i="19"/>
  <c r="H108" i="19"/>
  <c r="G93" i="19"/>
  <c r="G114" i="18"/>
  <c r="F93" i="18"/>
  <c r="G191" i="18"/>
  <c r="H101" i="18"/>
  <c r="F191" i="18"/>
  <c r="H193" i="18"/>
  <c r="G199" i="18"/>
  <c r="G234" i="18"/>
  <c r="I198" i="18"/>
  <c r="I102" i="18"/>
  <c r="AE82" i="17"/>
  <c r="AD82" i="17"/>
  <c r="AC82" i="17"/>
  <c r="AB82" i="17"/>
  <c r="AA82" i="17"/>
  <c r="W82" i="17"/>
  <c r="U82" i="17"/>
  <c r="T82" i="17"/>
  <c r="T73" i="17"/>
  <c r="T75" i="17"/>
  <c r="S82" i="17"/>
  <c r="R73" i="17"/>
  <c r="Q73" i="17"/>
  <c r="Q75" i="17"/>
  <c r="AI213" i="17" s="1"/>
  <c r="P73" i="17"/>
  <c r="P75" i="17"/>
  <c r="AH213" i="17" s="1"/>
  <c r="O82" i="17"/>
  <c r="O75" i="17"/>
  <c r="AG213" i="17" s="1"/>
  <c r="N82" i="17"/>
  <c r="N75" i="17"/>
  <c r="M82" i="17"/>
  <c r="M75" i="17"/>
  <c r="M73" i="17"/>
  <c r="L82" i="17"/>
  <c r="L75" i="17"/>
  <c r="AD213" i="17" s="1"/>
  <c r="L73" i="17"/>
  <c r="K82" i="17"/>
  <c r="J73" i="17"/>
  <c r="I73" i="17"/>
  <c r="I75" i="17"/>
  <c r="H82" i="17"/>
  <c r="H73" i="17"/>
  <c r="AI76" i="17"/>
  <c r="AI77" i="17"/>
  <c r="G82" i="17"/>
  <c r="G75" i="17"/>
  <c r="F82" i="17"/>
  <c r="F75" i="17"/>
  <c r="F7" i="17" s="1"/>
  <c r="E82" i="17"/>
  <c r="E75" i="17"/>
  <c r="W213" i="17" s="1"/>
  <c r="E73" i="17"/>
  <c r="D82" i="17"/>
  <c r="AH80" i="17"/>
  <c r="AI80" i="17"/>
  <c r="AH56" i="17"/>
  <c r="D75" i="17"/>
  <c r="D7" i="17" s="1"/>
  <c r="D73" i="17"/>
  <c r="AH78" i="17"/>
  <c r="C82" i="17"/>
  <c r="AI79" i="17"/>
  <c r="AH38" i="17"/>
  <c r="AI38" i="17"/>
  <c r="H4" i="17"/>
  <c r="AL213" i="17"/>
  <c r="T7" i="17"/>
  <c r="X213" i="17"/>
  <c r="H101" i="17"/>
  <c r="AF213" i="17"/>
  <c r="N7" i="17"/>
  <c r="AI78" i="17"/>
  <c r="AH79" i="17"/>
  <c r="E191" i="17"/>
  <c r="R75" i="17"/>
  <c r="AH72" i="17"/>
  <c r="AI68" i="17"/>
  <c r="S75" i="17"/>
  <c r="S83" i="17" s="1"/>
  <c r="O7" i="17"/>
  <c r="H75" i="17"/>
  <c r="F102" i="17"/>
  <c r="S210" i="17"/>
  <c r="D210" i="17"/>
  <c r="K75" i="17"/>
  <c r="AI72" i="17"/>
  <c r="P7" i="17"/>
  <c r="C73" i="17"/>
  <c r="C75" i="17" s="1"/>
  <c r="Q7" i="17"/>
  <c r="F73" i="17"/>
  <c r="F83" i="17" s="1"/>
  <c r="N73" i="17"/>
  <c r="N83" i="17" s="1"/>
  <c r="Z73" i="17"/>
  <c r="AI56" i="17"/>
  <c r="I5" i="17"/>
  <c r="Q5" i="17"/>
  <c r="G73" i="17"/>
  <c r="O73" i="17"/>
  <c r="O83" i="17" s="1"/>
  <c r="I82" i="17"/>
  <c r="I83" i="17" s="1"/>
  <c r="Q82" i="17"/>
  <c r="Q83" i="17" s="1"/>
  <c r="Y82" i="17"/>
  <c r="AH77" i="17"/>
  <c r="P82" i="17"/>
  <c r="P83" i="17" s="1"/>
  <c r="X82" i="17"/>
  <c r="AF82" i="17"/>
  <c r="AH68" i="17"/>
  <c r="J75" i="17"/>
  <c r="J83" i="17" s="1"/>
  <c r="Z75" i="17"/>
  <c r="F191" i="17"/>
  <c r="K73" i="17"/>
  <c r="B82" i="17"/>
  <c r="AH76" i="17"/>
  <c r="J82" i="17"/>
  <c r="R82" i="17"/>
  <c r="Z82" i="17"/>
  <c r="D191" i="17"/>
  <c r="H198" i="17"/>
  <c r="E234" i="17"/>
  <c r="D199" i="17"/>
  <c r="E193" i="17"/>
  <c r="E93" i="17" s="1"/>
  <c r="G234" i="20" l="1"/>
  <c r="I198" i="20"/>
  <c r="H93" i="20"/>
  <c r="I102" i="20"/>
  <c r="H199" i="20"/>
  <c r="I193" i="20"/>
  <c r="H191" i="20"/>
  <c r="I101" i="20"/>
  <c r="E83" i="17"/>
  <c r="H83" i="17"/>
  <c r="G191" i="19"/>
  <c r="H101" i="19"/>
  <c r="F234" i="19"/>
  <c r="H198" i="19"/>
  <c r="I108" i="19"/>
  <c r="H93" i="19"/>
  <c r="H194" i="19"/>
  <c r="G199" i="19"/>
  <c r="L102" i="19"/>
  <c r="K193" i="19"/>
  <c r="H199" i="18"/>
  <c r="I193" i="18"/>
  <c r="H191" i="18"/>
  <c r="I101" i="18"/>
  <c r="J102" i="18"/>
  <c r="H234" i="18"/>
  <c r="J198" i="18"/>
  <c r="H114" i="18"/>
  <c r="G93" i="18"/>
  <c r="Z83" i="17"/>
  <c r="T83" i="17"/>
  <c r="R83" i="17"/>
  <c r="M83" i="17"/>
  <c r="M7" i="17"/>
  <c r="AE213" i="17"/>
  <c r="L83" i="17"/>
  <c r="L7" i="17"/>
  <c r="K83" i="17"/>
  <c r="AA213" i="17"/>
  <c r="I7" i="17"/>
  <c r="B208" i="17"/>
  <c r="G83" i="17"/>
  <c r="C208" i="17"/>
  <c r="G7" i="17"/>
  <c r="Y213" i="17"/>
  <c r="E7" i="17"/>
  <c r="D83" i="17"/>
  <c r="V213" i="17"/>
  <c r="I101" i="17"/>
  <c r="E199" i="17"/>
  <c r="F193" i="17"/>
  <c r="F93" i="17" s="1"/>
  <c r="G102" i="17"/>
  <c r="AJ213" i="17"/>
  <c r="R7" i="17"/>
  <c r="Z213" i="17"/>
  <c r="H7" i="17"/>
  <c r="C83" i="17"/>
  <c r="U213" i="17"/>
  <c r="C7" i="17"/>
  <c r="AR213" i="17"/>
  <c r="Z7" i="17"/>
  <c r="AB213" i="17"/>
  <c r="J7" i="17"/>
  <c r="AH82" i="17"/>
  <c r="AI82" i="17"/>
  <c r="G234" i="17"/>
  <c r="I198" i="17"/>
  <c r="AC213" i="17"/>
  <c r="K7" i="17"/>
  <c r="AK213" i="17"/>
  <c r="S7" i="17"/>
  <c r="J193" i="20" l="1"/>
  <c r="I199" i="20"/>
  <c r="I93" i="20"/>
  <c r="J102" i="20"/>
  <c r="I191" i="20"/>
  <c r="J101" i="20"/>
  <c r="H234" i="20"/>
  <c r="J198" i="20"/>
  <c r="J108" i="19"/>
  <c r="L193" i="19"/>
  <c r="G234" i="19"/>
  <c r="I198" i="19"/>
  <c r="I194" i="19"/>
  <c r="H199" i="19"/>
  <c r="H191" i="19"/>
  <c r="I101" i="19"/>
  <c r="M102" i="19"/>
  <c r="K102" i="18"/>
  <c r="J101" i="18"/>
  <c r="J193" i="18"/>
  <c r="I199" i="18"/>
  <c r="I234" i="18"/>
  <c r="K198" i="18"/>
  <c r="I114" i="18"/>
  <c r="H93" i="18"/>
  <c r="K6" i="17"/>
  <c r="H234" i="17"/>
  <c r="J198" i="17"/>
  <c r="G193" i="17"/>
  <c r="F199" i="17"/>
  <c r="J101" i="17"/>
  <c r="H102" i="17"/>
  <c r="G93" i="17"/>
  <c r="G191" i="17"/>
  <c r="J191" i="20" l="1"/>
  <c r="K101" i="20"/>
  <c r="K102" i="20"/>
  <c r="J93" i="20"/>
  <c r="I234" i="20"/>
  <c r="K198" i="20"/>
  <c r="J199" i="20"/>
  <c r="K193" i="20"/>
  <c r="H234" i="19"/>
  <c r="J198" i="19"/>
  <c r="I191" i="19"/>
  <c r="J101" i="19"/>
  <c r="I93" i="19"/>
  <c r="N102" i="19"/>
  <c r="K108" i="19"/>
  <c r="J93" i="19"/>
  <c r="M193" i="19"/>
  <c r="J194" i="19"/>
  <c r="I199" i="19"/>
  <c r="J199" i="18"/>
  <c r="K193" i="18"/>
  <c r="K101" i="18"/>
  <c r="J114" i="18"/>
  <c r="I93" i="18"/>
  <c r="I191" i="18"/>
  <c r="L198" i="18"/>
  <c r="J234" i="18"/>
  <c r="L102" i="18"/>
  <c r="H193" i="17"/>
  <c r="G199" i="17"/>
  <c r="K101" i="17"/>
  <c r="K198" i="17"/>
  <c r="I234" i="17"/>
  <c r="I102" i="17"/>
  <c r="H93" i="17"/>
  <c r="H191" i="17"/>
  <c r="K199" i="20" l="1"/>
  <c r="L193" i="20"/>
  <c r="L198" i="20"/>
  <c r="J234" i="20"/>
  <c r="L102" i="20"/>
  <c r="K93" i="20"/>
  <c r="K191" i="20"/>
  <c r="L101" i="20"/>
  <c r="O102" i="19"/>
  <c r="L108" i="19"/>
  <c r="K93" i="19"/>
  <c r="J191" i="19"/>
  <c r="K101" i="19"/>
  <c r="N193" i="19"/>
  <c r="K194" i="19"/>
  <c r="J199" i="19"/>
  <c r="I234" i="19"/>
  <c r="K198" i="19"/>
  <c r="L101" i="18"/>
  <c r="K114" i="18"/>
  <c r="J93" i="18"/>
  <c r="M102" i="18"/>
  <c r="K199" i="18"/>
  <c r="L193" i="18"/>
  <c r="J191" i="18"/>
  <c r="M198" i="18"/>
  <c r="K234" i="18"/>
  <c r="J234" i="17"/>
  <c r="L198" i="17"/>
  <c r="L101" i="17"/>
  <c r="I193" i="17"/>
  <c r="H199" i="17"/>
  <c r="I93" i="17"/>
  <c r="J102" i="17"/>
  <c r="I191" i="17"/>
  <c r="L191" i="20" l="1"/>
  <c r="M101" i="20"/>
  <c r="M102" i="20"/>
  <c r="L93" i="20"/>
  <c r="K234" i="20"/>
  <c r="M198" i="20"/>
  <c r="M193" i="20"/>
  <c r="L199" i="20"/>
  <c r="O193" i="19"/>
  <c r="K191" i="19"/>
  <c r="L101" i="19"/>
  <c r="J234" i="19"/>
  <c r="L198" i="19"/>
  <c r="M108" i="19"/>
  <c r="L93" i="19"/>
  <c r="L194" i="19"/>
  <c r="K199" i="19"/>
  <c r="P102" i="19"/>
  <c r="N102" i="18"/>
  <c r="L114" i="18"/>
  <c r="K93" i="18"/>
  <c r="L199" i="18"/>
  <c r="M193" i="18"/>
  <c r="N198" i="18"/>
  <c r="L234" i="18"/>
  <c r="L191" i="18"/>
  <c r="M101" i="18"/>
  <c r="K191" i="18"/>
  <c r="I199" i="17"/>
  <c r="J193" i="17"/>
  <c r="J93" i="17" s="1"/>
  <c r="M101" i="17"/>
  <c r="K234" i="17"/>
  <c r="M198" i="17"/>
  <c r="K102" i="17"/>
  <c r="J191" i="17"/>
  <c r="M199" i="20" l="1"/>
  <c r="N193" i="20"/>
  <c r="N198" i="20"/>
  <c r="L234" i="20"/>
  <c r="N102" i="20"/>
  <c r="M93" i="20"/>
  <c r="M191" i="20"/>
  <c r="N101" i="20"/>
  <c r="N108" i="19"/>
  <c r="M93" i="19"/>
  <c r="K234" i="19"/>
  <c r="M198" i="19"/>
  <c r="L191" i="19"/>
  <c r="M101" i="19"/>
  <c r="Q102" i="19"/>
  <c r="M194" i="19"/>
  <c r="L199" i="19"/>
  <c r="P193" i="19"/>
  <c r="M199" i="18"/>
  <c r="N193" i="18"/>
  <c r="M114" i="18"/>
  <c r="L93" i="18"/>
  <c r="M191" i="18"/>
  <c r="N101" i="18"/>
  <c r="O102" i="18"/>
  <c r="M234" i="18"/>
  <c r="O198" i="18"/>
  <c r="N101" i="17"/>
  <c r="J199" i="17"/>
  <c r="K193" i="17"/>
  <c r="K93" i="17" s="1"/>
  <c r="L234" i="17"/>
  <c r="N198" i="17"/>
  <c r="L102" i="17"/>
  <c r="K191" i="17"/>
  <c r="N191" i="20" l="1"/>
  <c r="O101" i="20"/>
  <c r="O193" i="20"/>
  <c r="N199" i="20"/>
  <c r="O102" i="20"/>
  <c r="N93" i="20"/>
  <c r="O198" i="20"/>
  <c r="M234" i="20"/>
  <c r="M191" i="19"/>
  <c r="N101" i="19"/>
  <c r="R102" i="19"/>
  <c r="Q193" i="19"/>
  <c r="L234" i="19"/>
  <c r="N198" i="19"/>
  <c r="N194" i="19"/>
  <c r="M199" i="19"/>
  <c r="O108" i="19"/>
  <c r="N93" i="19"/>
  <c r="P102" i="18"/>
  <c r="O101" i="18"/>
  <c r="N199" i="18"/>
  <c r="O193" i="18"/>
  <c r="N114" i="18"/>
  <c r="N191" i="18" s="1"/>
  <c r="M93" i="18"/>
  <c r="N234" i="18"/>
  <c r="P198" i="18"/>
  <c r="M102" i="17"/>
  <c r="L191" i="17"/>
  <c r="M234" i="17"/>
  <c r="O198" i="17"/>
  <c r="K199" i="17"/>
  <c r="L193" i="17"/>
  <c r="O101" i="17"/>
  <c r="N234" i="20" l="1"/>
  <c r="P198" i="20"/>
  <c r="P193" i="20"/>
  <c r="O199" i="20"/>
  <c r="O191" i="20"/>
  <c r="P101" i="20"/>
  <c r="P102" i="20"/>
  <c r="O93" i="20"/>
  <c r="R193" i="19"/>
  <c r="M234" i="19"/>
  <c r="O198" i="19"/>
  <c r="S102" i="19"/>
  <c r="P108" i="19"/>
  <c r="O93" i="19"/>
  <c r="N191" i="19"/>
  <c r="O101" i="19"/>
  <c r="O194" i="19"/>
  <c r="N199" i="19"/>
  <c r="P193" i="18"/>
  <c r="O199" i="18"/>
  <c r="O191" i="18"/>
  <c r="P101" i="18"/>
  <c r="O234" i="18"/>
  <c r="Q198" i="18"/>
  <c r="Q102" i="18"/>
  <c r="O114" i="18"/>
  <c r="N93" i="18"/>
  <c r="L199" i="17"/>
  <c r="M193" i="17"/>
  <c r="M93" i="17" s="1"/>
  <c r="L93" i="17"/>
  <c r="N234" i="17"/>
  <c r="P198" i="17"/>
  <c r="P101" i="17"/>
  <c r="N102" i="17"/>
  <c r="M191" i="17"/>
  <c r="P93" i="20" l="1"/>
  <c r="Q102" i="20"/>
  <c r="P191" i="20"/>
  <c r="Q101" i="20"/>
  <c r="O234" i="20"/>
  <c r="Q198" i="20"/>
  <c r="P199" i="20"/>
  <c r="Q193" i="20"/>
  <c r="Q108" i="19"/>
  <c r="P93" i="19"/>
  <c r="T102" i="19"/>
  <c r="P194" i="19"/>
  <c r="O199" i="19"/>
  <c r="N234" i="19"/>
  <c r="P198" i="19"/>
  <c r="O191" i="19"/>
  <c r="P101" i="19"/>
  <c r="S193" i="19"/>
  <c r="P234" i="18"/>
  <c r="R198" i="18"/>
  <c r="Q101" i="18"/>
  <c r="R102" i="18"/>
  <c r="P114" i="18"/>
  <c r="O93" i="18"/>
  <c r="Q193" i="18"/>
  <c r="P199" i="18"/>
  <c r="Q101" i="17"/>
  <c r="O234" i="17"/>
  <c r="Q198" i="17"/>
  <c r="M199" i="17"/>
  <c r="N193" i="17"/>
  <c r="N93" i="17" s="1"/>
  <c r="O102" i="17"/>
  <c r="N191" i="17"/>
  <c r="Q93" i="20" l="1"/>
  <c r="R102" i="20"/>
  <c r="R193" i="20"/>
  <c r="Q199" i="20"/>
  <c r="P234" i="20"/>
  <c r="R198" i="20"/>
  <c r="Q191" i="20"/>
  <c r="R101" i="20"/>
  <c r="O234" i="19"/>
  <c r="Q198" i="19"/>
  <c r="Q194" i="19"/>
  <c r="P199" i="19"/>
  <c r="T193" i="19"/>
  <c r="U102" i="19"/>
  <c r="P191" i="19"/>
  <c r="Q101" i="19"/>
  <c r="R108" i="19"/>
  <c r="Q93" i="19"/>
  <c r="Q114" i="18"/>
  <c r="P93" i="18"/>
  <c r="S102" i="18"/>
  <c r="Q191" i="18"/>
  <c r="R101" i="18"/>
  <c r="P191" i="18"/>
  <c r="Q234" i="18"/>
  <c r="S198" i="18"/>
  <c r="R193" i="18"/>
  <c r="Q199" i="18"/>
  <c r="O193" i="17"/>
  <c r="O93" i="17" s="1"/>
  <c r="N199" i="17"/>
  <c r="P234" i="17"/>
  <c r="R198" i="17"/>
  <c r="P102" i="17"/>
  <c r="O191" i="17"/>
  <c r="R101" i="17"/>
  <c r="R191" i="20" l="1"/>
  <c r="S101" i="20"/>
  <c r="Q234" i="20"/>
  <c r="S198" i="20"/>
  <c r="R199" i="20"/>
  <c r="S193" i="20"/>
  <c r="S102" i="20"/>
  <c r="R93" i="20"/>
  <c r="V102" i="19"/>
  <c r="U193" i="19"/>
  <c r="R194" i="19"/>
  <c r="Q199" i="19"/>
  <c r="S108" i="19"/>
  <c r="R93" i="19"/>
  <c r="Q191" i="19"/>
  <c r="R101" i="19"/>
  <c r="P234" i="19"/>
  <c r="R198" i="19"/>
  <c r="S101" i="18"/>
  <c r="T102" i="18"/>
  <c r="S193" i="18"/>
  <c r="R199" i="18"/>
  <c r="T198" i="18"/>
  <c r="R234" i="18"/>
  <c r="R114" i="18"/>
  <c r="Q93" i="18"/>
  <c r="Q102" i="17"/>
  <c r="P191" i="17"/>
  <c r="S198" i="17"/>
  <c r="Q234" i="17"/>
  <c r="S101" i="17"/>
  <c r="P193" i="17"/>
  <c r="O199" i="17"/>
  <c r="S199" i="20" l="1"/>
  <c r="T193" i="20"/>
  <c r="T198" i="20"/>
  <c r="R234" i="20"/>
  <c r="S191" i="20"/>
  <c r="T101" i="20"/>
  <c r="T102" i="20"/>
  <c r="S93" i="20"/>
  <c r="S198" i="19"/>
  <c r="Q234" i="19"/>
  <c r="V193" i="19"/>
  <c r="R191" i="19"/>
  <c r="S101" i="19"/>
  <c r="W102" i="19"/>
  <c r="T108" i="19"/>
  <c r="S93" i="19"/>
  <c r="S194" i="19"/>
  <c r="R199" i="19"/>
  <c r="S234" i="18"/>
  <c r="U198" i="18"/>
  <c r="S199" i="18"/>
  <c r="T193" i="18"/>
  <c r="S191" i="18"/>
  <c r="T101" i="18"/>
  <c r="U102" i="18"/>
  <c r="S114" i="18"/>
  <c r="R93" i="18"/>
  <c r="R191" i="18"/>
  <c r="T101" i="17"/>
  <c r="Q193" i="17"/>
  <c r="Q93" i="17" s="1"/>
  <c r="P199" i="17"/>
  <c r="R234" i="17"/>
  <c r="T198" i="17"/>
  <c r="R102" i="17"/>
  <c r="Q191" i="17"/>
  <c r="P93" i="17"/>
  <c r="U102" i="20" l="1"/>
  <c r="T93" i="20"/>
  <c r="T191" i="20"/>
  <c r="U101" i="20"/>
  <c r="T199" i="20"/>
  <c r="U193" i="20"/>
  <c r="S234" i="20"/>
  <c r="U198" i="20"/>
  <c r="X102" i="19"/>
  <c r="S191" i="19"/>
  <c r="T101" i="19"/>
  <c r="T194" i="19"/>
  <c r="S199" i="19"/>
  <c r="W193" i="19"/>
  <c r="U108" i="19"/>
  <c r="T93" i="19"/>
  <c r="R234" i="19"/>
  <c r="T198" i="19"/>
  <c r="U101" i="18"/>
  <c r="V102" i="18"/>
  <c r="T199" i="18"/>
  <c r="U193" i="18"/>
  <c r="V198" i="18"/>
  <c r="T234" i="18"/>
  <c r="T114" i="18"/>
  <c r="S93" i="18"/>
  <c r="S234" i="17"/>
  <c r="U198" i="17"/>
  <c r="R193" i="17"/>
  <c r="Q199" i="17"/>
  <c r="S102" i="17"/>
  <c r="R93" i="17"/>
  <c r="R191" i="17"/>
  <c r="U101" i="17"/>
  <c r="U199" i="20" l="1"/>
  <c r="U51" i="20" s="1"/>
  <c r="U52" i="20" s="1"/>
  <c r="V193" i="20"/>
  <c r="T234" i="20"/>
  <c r="V198" i="20"/>
  <c r="U191" i="20"/>
  <c r="V101" i="20"/>
  <c r="V102" i="20"/>
  <c r="U93" i="20"/>
  <c r="X193" i="19"/>
  <c r="T191" i="19"/>
  <c r="U101" i="19"/>
  <c r="U194" i="19"/>
  <c r="T199" i="19"/>
  <c r="S234" i="19"/>
  <c r="U198" i="19"/>
  <c r="V108" i="19"/>
  <c r="Y102" i="19"/>
  <c r="W198" i="18"/>
  <c r="U234" i="18"/>
  <c r="U199" i="18"/>
  <c r="U51" i="18" s="1"/>
  <c r="U52" i="18" s="1"/>
  <c r="V193" i="18"/>
  <c r="W102" i="18"/>
  <c r="U191" i="18"/>
  <c r="V101" i="18"/>
  <c r="U114" i="18"/>
  <c r="T93" i="18"/>
  <c r="T191" i="18"/>
  <c r="T102" i="17"/>
  <c r="S191" i="17"/>
  <c r="S193" i="17"/>
  <c r="S93" i="17" s="1"/>
  <c r="R199" i="17"/>
  <c r="T234" i="17"/>
  <c r="V198" i="17"/>
  <c r="V101" i="17"/>
  <c r="W193" i="20" l="1"/>
  <c r="V199" i="20"/>
  <c r="V51" i="20" s="1"/>
  <c r="V52" i="20" s="1"/>
  <c r="W102" i="20"/>
  <c r="V93" i="20"/>
  <c r="V191" i="20"/>
  <c r="W101" i="20"/>
  <c r="U234" i="20"/>
  <c r="W198" i="20"/>
  <c r="U73" i="20"/>
  <c r="U75" i="20"/>
  <c r="V194" i="19"/>
  <c r="U199" i="19"/>
  <c r="U51" i="19" s="1"/>
  <c r="U52" i="19" s="1"/>
  <c r="T234" i="19"/>
  <c r="V198" i="19"/>
  <c r="U93" i="19"/>
  <c r="U191" i="19"/>
  <c r="V101" i="19"/>
  <c r="Z102" i="19"/>
  <c r="W108" i="19"/>
  <c r="V93" i="19"/>
  <c r="Y193" i="19"/>
  <c r="X102" i="18"/>
  <c r="V199" i="18"/>
  <c r="V51" i="18" s="1"/>
  <c r="V52" i="18" s="1"/>
  <c r="W193" i="18"/>
  <c r="V191" i="18"/>
  <c r="W101" i="18"/>
  <c r="U73" i="18"/>
  <c r="U75" i="18"/>
  <c r="V114" i="18"/>
  <c r="U93" i="18"/>
  <c r="X198" i="18"/>
  <c r="V234" i="18"/>
  <c r="U234" i="17"/>
  <c r="W198" i="17"/>
  <c r="S199" i="17"/>
  <c r="T193" i="17"/>
  <c r="W101" i="17"/>
  <c r="U102" i="17"/>
  <c r="T93" i="17"/>
  <c r="T191" i="17"/>
  <c r="X102" i="20" l="1"/>
  <c r="W93" i="20"/>
  <c r="V234" i="20"/>
  <c r="X198" i="20"/>
  <c r="W191" i="20"/>
  <c r="X101" i="20"/>
  <c r="AM213" i="20"/>
  <c r="U7" i="20"/>
  <c r="V73" i="20"/>
  <c r="V75" i="20"/>
  <c r="U83" i="20"/>
  <c r="X193" i="20"/>
  <c r="W199" i="20"/>
  <c r="W51" i="20" s="1"/>
  <c r="W52" i="20" s="1"/>
  <c r="V191" i="19"/>
  <c r="W101" i="19"/>
  <c r="Z193" i="19"/>
  <c r="U234" i="19"/>
  <c r="W198" i="19"/>
  <c r="U75" i="19"/>
  <c r="U73" i="19"/>
  <c r="X108" i="19"/>
  <c r="AA102" i="19"/>
  <c r="W194" i="19"/>
  <c r="V199" i="19"/>
  <c r="V51" i="19" s="1"/>
  <c r="V52" i="19" s="1"/>
  <c r="U83" i="18"/>
  <c r="AM213" i="18"/>
  <c r="U7" i="18"/>
  <c r="X101" i="18"/>
  <c r="W234" i="18"/>
  <c r="Y198" i="18"/>
  <c r="Y102" i="18"/>
  <c r="X193" i="18"/>
  <c r="W199" i="18"/>
  <c r="W51" i="18" s="1"/>
  <c r="W52" i="18" s="1"/>
  <c r="V75" i="18"/>
  <c r="V73" i="18"/>
  <c r="V83" i="18" s="1"/>
  <c r="W114" i="18"/>
  <c r="V93" i="18"/>
  <c r="V102" i="17"/>
  <c r="U191" i="17"/>
  <c r="X101" i="17"/>
  <c r="T199" i="17"/>
  <c r="U193" i="17"/>
  <c r="V234" i="17"/>
  <c r="X198" i="17"/>
  <c r="X191" i="20" l="1"/>
  <c r="Y101" i="20"/>
  <c r="W234" i="20"/>
  <c r="Y198" i="20"/>
  <c r="W73" i="20"/>
  <c r="W75" i="20"/>
  <c r="Y193" i="20"/>
  <c r="X199" i="20"/>
  <c r="X52" i="20" s="1"/>
  <c r="AN213" i="20"/>
  <c r="V7" i="20"/>
  <c r="V83" i="20"/>
  <c r="X93" i="20"/>
  <c r="Y102" i="20"/>
  <c r="U83" i="19"/>
  <c r="AM213" i="19"/>
  <c r="U7" i="19"/>
  <c r="V234" i="19"/>
  <c r="X198" i="19"/>
  <c r="X194" i="19"/>
  <c r="W199" i="19"/>
  <c r="W51" i="19" s="1"/>
  <c r="W52" i="19" s="1"/>
  <c r="AA193" i="19"/>
  <c r="AB102" i="19"/>
  <c r="V73" i="19"/>
  <c r="V75" i="19"/>
  <c r="W93" i="19"/>
  <c r="W191" i="19"/>
  <c r="X101" i="19"/>
  <c r="Y108" i="19"/>
  <c r="X234" i="18"/>
  <c r="Z198" i="18"/>
  <c r="Y101" i="18"/>
  <c r="Z102" i="18"/>
  <c r="X114" i="18"/>
  <c r="W93" i="18"/>
  <c r="W75" i="18"/>
  <c r="W73" i="18"/>
  <c r="W83" i="18" s="1"/>
  <c r="X199" i="18"/>
  <c r="X52" i="18" s="1"/>
  <c r="Y193" i="18"/>
  <c r="AN213" i="18"/>
  <c r="V7" i="18"/>
  <c r="W191" i="18"/>
  <c r="U199" i="17"/>
  <c r="U51" i="17" s="1"/>
  <c r="U52" i="17" s="1"/>
  <c r="V193" i="17"/>
  <c r="V93" i="17" s="1"/>
  <c r="U93" i="17"/>
  <c r="Y101" i="17"/>
  <c r="W234" i="17"/>
  <c r="Y198" i="17"/>
  <c r="W102" i="17"/>
  <c r="V191" i="17"/>
  <c r="X73" i="20" l="1"/>
  <c r="X75" i="20"/>
  <c r="AO213" i="20"/>
  <c r="W7" i="20"/>
  <c r="Y93" i="20"/>
  <c r="Z102" i="20"/>
  <c r="X234" i="20"/>
  <c r="Z198" i="20"/>
  <c r="Y191" i="20"/>
  <c r="Z101" i="20"/>
  <c r="Z193" i="20"/>
  <c r="Y199" i="20"/>
  <c r="Y51" i="20" s="1"/>
  <c r="Y52" i="20" s="1"/>
  <c r="W83" i="20"/>
  <c r="AB193" i="19"/>
  <c r="Y194" i="19"/>
  <c r="X199" i="19"/>
  <c r="W234" i="19"/>
  <c r="Y198" i="19"/>
  <c r="V83" i="19"/>
  <c r="AN213" i="19"/>
  <c r="V7" i="19"/>
  <c r="Z108" i="19"/>
  <c r="X191" i="19"/>
  <c r="Y101" i="19"/>
  <c r="W73" i="19"/>
  <c r="W75" i="19"/>
  <c r="X93" i="19"/>
  <c r="AC102" i="19"/>
  <c r="Y114" i="18"/>
  <c r="X93" i="18"/>
  <c r="X75" i="18"/>
  <c r="X73" i="18"/>
  <c r="X83" i="18" s="1"/>
  <c r="Y234" i="18"/>
  <c r="AA198" i="18"/>
  <c r="AA102" i="18"/>
  <c r="Z193" i="18"/>
  <c r="Y199" i="18"/>
  <c r="Y51" i="18" s="1"/>
  <c r="Y52" i="18" s="1"/>
  <c r="Y191" i="18"/>
  <c r="Z101" i="18"/>
  <c r="X191" i="18"/>
  <c r="AO213" i="18"/>
  <c r="W7" i="18"/>
  <c r="Z101" i="17"/>
  <c r="X234" i="17"/>
  <c r="Z198" i="17"/>
  <c r="V199" i="17"/>
  <c r="V51" i="17" s="1"/>
  <c r="V52" i="17" s="1"/>
  <c r="W193" i="17"/>
  <c r="X102" i="17"/>
  <c r="W93" i="17"/>
  <c r="W191" i="17"/>
  <c r="U73" i="17"/>
  <c r="U75" i="17"/>
  <c r="Y234" i="20" l="1"/>
  <c r="AA198" i="20"/>
  <c r="Y73" i="20"/>
  <c r="Y75" i="20"/>
  <c r="Z199" i="20"/>
  <c r="AA193" i="20"/>
  <c r="Z191" i="20"/>
  <c r="AA101" i="20"/>
  <c r="AP213" i="20"/>
  <c r="X7" i="20"/>
  <c r="AA102" i="20"/>
  <c r="Z93" i="20"/>
  <c r="X83" i="20"/>
  <c r="W83" i="19"/>
  <c r="X234" i="19"/>
  <c r="Z198" i="19"/>
  <c r="AO213" i="19"/>
  <c r="W7" i="19"/>
  <c r="Y93" i="19"/>
  <c r="Z194" i="19"/>
  <c r="Y199" i="19"/>
  <c r="Y51" i="19" s="1"/>
  <c r="Y52" i="19" s="1"/>
  <c r="Y191" i="19"/>
  <c r="Z101" i="19"/>
  <c r="AA108" i="19"/>
  <c r="Z93" i="19"/>
  <c r="AC193" i="19"/>
  <c r="X75" i="19"/>
  <c r="X73" i="19"/>
  <c r="X83" i="19" s="1"/>
  <c r="AD102" i="19"/>
  <c r="AB102" i="18"/>
  <c r="AB198" i="18"/>
  <c r="Z234" i="18"/>
  <c r="Z191" i="18"/>
  <c r="AA101" i="18"/>
  <c r="AP213" i="18"/>
  <c r="X7" i="18"/>
  <c r="Y73" i="18"/>
  <c r="Y83" i="18" s="1"/>
  <c r="Y75" i="18"/>
  <c r="Z199" i="18"/>
  <c r="AA193" i="18"/>
  <c r="Z114" i="18"/>
  <c r="Y93" i="18"/>
  <c r="X193" i="17"/>
  <c r="W199" i="17"/>
  <c r="W51" i="17" s="1"/>
  <c r="W52" i="17" s="1"/>
  <c r="V75" i="17"/>
  <c r="V73" i="17"/>
  <c r="V83" i="17" s="1"/>
  <c r="AA198" i="17"/>
  <c r="Y234" i="17"/>
  <c r="AM213" i="17"/>
  <c r="U7" i="17"/>
  <c r="U83" i="17"/>
  <c r="AA101" i="17"/>
  <c r="Y102" i="17"/>
  <c r="X93" i="17"/>
  <c r="X191" i="17"/>
  <c r="AA199" i="20" l="1"/>
  <c r="AA51" i="20" s="1"/>
  <c r="AA52" i="20" s="1"/>
  <c r="AB193" i="20"/>
  <c r="AA191" i="20"/>
  <c r="AB101" i="20"/>
  <c r="AB102" i="20"/>
  <c r="AA93" i="20"/>
  <c r="Z234" i="20"/>
  <c r="AB198" i="20"/>
  <c r="AQ213" i="20"/>
  <c r="Y7" i="20"/>
  <c r="Y83" i="20"/>
  <c r="Y73" i="19"/>
  <c r="Y75" i="19"/>
  <c r="AD193" i="19"/>
  <c r="AP213" i="19"/>
  <c r="X7" i="19"/>
  <c r="AA194" i="19"/>
  <c r="Z199" i="19"/>
  <c r="AB108" i="19"/>
  <c r="AA93" i="19"/>
  <c r="AA198" i="19"/>
  <c r="Y234" i="19"/>
  <c r="AE102" i="19"/>
  <c r="Z191" i="19"/>
  <c r="AA101" i="19"/>
  <c r="AA114" i="18"/>
  <c r="Z93" i="18"/>
  <c r="AA199" i="18"/>
  <c r="AA51" i="18" s="1"/>
  <c r="AA52" i="18" s="1"/>
  <c r="AB193" i="18"/>
  <c r="AQ213" i="18"/>
  <c r="Y7" i="18"/>
  <c r="AC102" i="18"/>
  <c r="AA191" i="18"/>
  <c r="AB101" i="18"/>
  <c r="AA234" i="18"/>
  <c r="AC198" i="18"/>
  <c r="Z234" i="17"/>
  <c r="AB198" i="17"/>
  <c r="Z102" i="17"/>
  <c r="Y191" i="17"/>
  <c r="AB101" i="17"/>
  <c r="AN213" i="17"/>
  <c r="V7" i="17"/>
  <c r="W73" i="17"/>
  <c r="W75" i="17"/>
  <c r="Y193" i="17"/>
  <c r="X199" i="17"/>
  <c r="X52" i="17" s="1"/>
  <c r="AA234" i="20" l="1"/>
  <c r="AC198" i="20"/>
  <c r="AC102" i="20"/>
  <c r="AB93" i="20"/>
  <c r="AB191" i="20"/>
  <c r="AC101" i="20"/>
  <c r="AC193" i="20"/>
  <c r="AB199" i="20"/>
  <c r="AB51" i="20" s="1"/>
  <c r="AB52" i="20" s="1"/>
  <c r="AA73" i="20"/>
  <c r="AA75" i="20"/>
  <c r="AA191" i="19"/>
  <c r="AB101" i="19"/>
  <c r="Z234" i="19"/>
  <c r="AB198" i="19"/>
  <c r="AE193" i="19"/>
  <c r="AQ213" i="19"/>
  <c r="Y7" i="19"/>
  <c r="AB194" i="19"/>
  <c r="AA199" i="19"/>
  <c r="AA51" i="19" s="1"/>
  <c r="AA52" i="19" s="1"/>
  <c r="AF102" i="19"/>
  <c r="AC108" i="19"/>
  <c r="AB93" i="19"/>
  <c r="Y83" i="19"/>
  <c r="AD102" i="18"/>
  <c r="AA73" i="18"/>
  <c r="AA75" i="18"/>
  <c r="AB234" i="18"/>
  <c r="AD198" i="18"/>
  <c r="AB199" i="18"/>
  <c r="AB51" i="18" s="1"/>
  <c r="AB52" i="18" s="1"/>
  <c r="AC193" i="18"/>
  <c r="AC101" i="18"/>
  <c r="AB114" i="18"/>
  <c r="AA93" i="18"/>
  <c r="AC101" i="17"/>
  <c r="X75" i="17"/>
  <c r="X73" i="17"/>
  <c r="X83" i="17" s="1"/>
  <c r="Y199" i="17"/>
  <c r="Y51" i="17" s="1"/>
  <c r="Y52" i="17" s="1"/>
  <c r="Z193" i="17"/>
  <c r="Y93" i="17"/>
  <c r="AO213" i="17"/>
  <c r="W7" i="17"/>
  <c r="AA102" i="17"/>
  <c r="Z191" i="17"/>
  <c r="W83" i="17"/>
  <c r="AC198" i="17"/>
  <c r="AA234" i="17"/>
  <c r="AB73" i="20" l="1"/>
  <c r="AB75" i="20"/>
  <c r="AC199" i="20"/>
  <c r="AC51" i="20" s="1"/>
  <c r="AC52" i="20" s="1"/>
  <c r="AD193" i="20"/>
  <c r="AD102" i="20"/>
  <c r="AC93" i="20"/>
  <c r="AS213" i="20"/>
  <c r="AA7" i="20"/>
  <c r="AB234" i="20"/>
  <c r="AD198" i="20"/>
  <c r="AC191" i="20"/>
  <c r="AD101" i="20"/>
  <c r="AA83" i="20"/>
  <c r="AD108" i="19"/>
  <c r="AC93" i="19"/>
  <c r="AF193" i="19"/>
  <c r="AA75" i="19"/>
  <c r="AA73" i="19"/>
  <c r="AB191" i="19"/>
  <c r="AC101" i="19"/>
  <c r="AA234" i="19"/>
  <c r="AC198" i="19"/>
  <c r="B102" i="19"/>
  <c r="AC194" i="19"/>
  <c r="AB199" i="19"/>
  <c r="AB51" i="19" s="1"/>
  <c r="AB52" i="19" s="1"/>
  <c r="AC199" i="18"/>
  <c r="AC51" i="18" s="1"/>
  <c r="AC52" i="18" s="1"/>
  <c r="AD193" i="18"/>
  <c r="AB75" i="18"/>
  <c r="AB73" i="18"/>
  <c r="AB83" i="18" s="1"/>
  <c r="AC234" i="18"/>
  <c r="AE198" i="18"/>
  <c r="AC114" i="18"/>
  <c r="AB93" i="18"/>
  <c r="AS213" i="18"/>
  <c r="AA7" i="18"/>
  <c r="AA83" i="18"/>
  <c r="AD101" i="18"/>
  <c r="AB191" i="18"/>
  <c r="AE102" i="18"/>
  <c r="AD198" i="17"/>
  <c r="AB234" i="17"/>
  <c r="AA193" i="17"/>
  <c r="Z199" i="17"/>
  <c r="Y73" i="17"/>
  <c r="Y75" i="17"/>
  <c r="Z93" i="17"/>
  <c r="AP213" i="17"/>
  <c r="X7" i="17"/>
  <c r="AB102" i="17"/>
  <c r="AA93" i="17"/>
  <c r="AA191" i="17"/>
  <c r="AD101" i="17"/>
  <c r="AC73" i="20" l="1"/>
  <c r="AC75" i="20"/>
  <c r="AE102" i="20"/>
  <c r="AD93" i="20"/>
  <c r="AD191" i="20"/>
  <c r="AE101" i="20"/>
  <c r="AE193" i="20"/>
  <c r="AD199" i="20"/>
  <c r="AD51" i="20" s="1"/>
  <c r="AD52" i="20" s="1"/>
  <c r="AC234" i="20"/>
  <c r="AE198" i="20"/>
  <c r="AT213" i="20"/>
  <c r="AB7" i="20"/>
  <c r="AB83" i="20"/>
  <c r="AA83" i="19"/>
  <c r="AC191" i="19"/>
  <c r="AD101" i="19"/>
  <c r="AD194" i="19"/>
  <c r="AC199" i="19"/>
  <c r="AC51" i="19" s="1"/>
  <c r="AC52" i="19" s="1"/>
  <c r="B193" i="19"/>
  <c r="AB234" i="19"/>
  <c r="AD198" i="19"/>
  <c r="AB73" i="19"/>
  <c r="AB75" i="19"/>
  <c r="AS213" i="19"/>
  <c r="AA7" i="19"/>
  <c r="AE108" i="19"/>
  <c r="AD93" i="19"/>
  <c r="AF102" i="18"/>
  <c r="AE101" i="18"/>
  <c r="AD114" i="18"/>
  <c r="AC93" i="18"/>
  <c r="AD234" i="18"/>
  <c r="AF198" i="18"/>
  <c r="AE193" i="18"/>
  <c r="AD199" i="18"/>
  <c r="AD51" i="18" s="1"/>
  <c r="AD52" i="18" s="1"/>
  <c r="AC191" i="18"/>
  <c r="AT213" i="18"/>
  <c r="AB7" i="18"/>
  <c r="AC75" i="18"/>
  <c r="AC73" i="18"/>
  <c r="AC83" i="18" s="1"/>
  <c r="AE101" i="17"/>
  <c r="AQ213" i="17"/>
  <c r="Y7" i="17"/>
  <c r="Y83" i="17"/>
  <c r="AA199" i="17"/>
  <c r="AA51" i="17" s="1"/>
  <c r="AA52" i="17" s="1"/>
  <c r="AB193" i="17"/>
  <c r="AB93" i="17" s="1"/>
  <c r="AC102" i="17"/>
  <c r="AB191" i="17"/>
  <c r="AE198" i="17"/>
  <c r="AC234" i="17"/>
  <c r="AD73" i="20" l="1"/>
  <c r="AD75" i="20"/>
  <c r="AE191" i="20"/>
  <c r="AF101" i="20"/>
  <c r="AF193" i="20"/>
  <c r="AE199" i="20"/>
  <c r="AE51" i="20" s="1"/>
  <c r="AE52" i="20" s="1"/>
  <c r="AD234" i="20"/>
  <c r="AF198" i="20"/>
  <c r="AU213" i="20"/>
  <c r="AC7" i="20"/>
  <c r="AF102" i="20"/>
  <c r="AE93" i="20"/>
  <c r="AC83" i="20"/>
  <c r="AF108" i="19"/>
  <c r="AE93" i="19"/>
  <c r="AT213" i="19"/>
  <c r="AB7" i="19"/>
  <c r="AE194" i="19"/>
  <c r="AD199" i="19"/>
  <c r="AD51" i="19" s="1"/>
  <c r="AD52" i="19" s="1"/>
  <c r="AC73" i="19"/>
  <c r="AC75" i="19"/>
  <c r="AB83" i="19"/>
  <c r="AD191" i="19"/>
  <c r="AE101" i="19"/>
  <c r="AC234" i="19"/>
  <c r="AE198" i="19"/>
  <c r="AE234" i="18"/>
  <c r="B198" i="18"/>
  <c r="AF234" i="18" s="1"/>
  <c r="AU213" i="18"/>
  <c r="AC7" i="18"/>
  <c r="AE114" i="18"/>
  <c r="AD93" i="18"/>
  <c r="AE191" i="18"/>
  <c r="AF101" i="18"/>
  <c r="AD191" i="18"/>
  <c r="AD75" i="18"/>
  <c r="AD73" i="18"/>
  <c r="AF193" i="18"/>
  <c r="AE199" i="18"/>
  <c r="AE51" i="18" s="1"/>
  <c r="AE52" i="18" s="1"/>
  <c r="B102" i="18"/>
  <c r="AA75" i="17"/>
  <c r="AA73" i="17"/>
  <c r="AD234" i="17"/>
  <c r="AF198" i="17"/>
  <c r="AF101" i="17"/>
  <c r="AB199" i="17"/>
  <c r="AB51" i="17" s="1"/>
  <c r="AB52" i="17" s="1"/>
  <c r="AC193" i="17"/>
  <c r="AD102" i="17"/>
  <c r="AC191" i="17"/>
  <c r="AE234" i="20" l="1"/>
  <c r="B198" i="20"/>
  <c r="AF234" i="20" s="1"/>
  <c r="AE75" i="20"/>
  <c r="AE73" i="20"/>
  <c r="AF199" i="20"/>
  <c r="AF51" i="20" s="1"/>
  <c r="AF52" i="20" s="1"/>
  <c r="B193" i="20"/>
  <c r="B199" i="20" s="1"/>
  <c r="AV213" i="20"/>
  <c r="AD7" i="20"/>
  <c r="AF191" i="20"/>
  <c r="B101" i="20"/>
  <c r="AF93" i="20"/>
  <c r="B102" i="20"/>
  <c r="B93" i="20" s="1"/>
  <c r="AD83" i="20"/>
  <c r="AD83" i="18"/>
  <c r="AC83" i="19"/>
  <c r="AD234" i="19"/>
  <c r="AF198" i="19"/>
  <c r="AF194" i="19"/>
  <c r="AE199" i="19"/>
  <c r="AE51" i="19" s="1"/>
  <c r="AE52" i="19" s="1"/>
  <c r="AE191" i="19"/>
  <c r="AF101" i="19"/>
  <c r="AU213" i="19"/>
  <c r="AC7" i="19"/>
  <c r="AD75" i="19"/>
  <c r="AD73" i="19"/>
  <c r="B108" i="19"/>
  <c r="AF93" i="19"/>
  <c r="B101" i="18"/>
  <c r="AE75" i="18"/>
  <c r="AE73" i="18"/>
  <c r="AF199" i="18"/>
  <c r="AF51" i="18" s="1"/>
  <c r="AF52" i="18" s="1"/>
  <c r="B193" i="18"/>
  <c r="B199" i="18" s="1"/>
  <c r="B51" i="18" s="1"/>
  <c r="AV213" i="18"/>
  <c r="AD7" i="18"/>
  <c r="AF114" i="18"/>
  <c r="AE93" i="18"/>
  <c r="AA83" i="17"/>
  <c r="AC199" i="17"/>
  <c r="AC51" i="17" s="1"/>
  <c r="AC52" i="17" s="1"/>
  <c r="AD193" i="17"/>
  <c r="B101" i="17"/>
  <c r="AB75" i="17"/>
  <c r="AB73" i="17"/>
  <c r="AB83" i="17" s="1"/>
  <c r="B198" i="17"/>
  <c r="AF234" i="17" s="1"/>
  <c r="AE234" i="17"/>
  <c r="AC93" i="17"/>
  <c r="AD93" i="17"/>
  <c r="AE102" i="17"/>
  <c r="AD191" i="17"/>
  <c r="AS213" i="17"/>
  <c r="AA7" i="17"/>
  <c r="AE83" i="20" l="1"/>
  <c r="B52" i="20"/>
  <c r="AI51" i="20"/>
  <c r="AH51" i="20"/>
  <c r="AI93" i="20"/>
  <c r="AH93" i="20"/>
  <c r="AW213" i="20"/>
  <c r="AE7" i="20"/>
  <c r="AF73" i="20"/>
  <c r="AF75" i="20"/>
  <c r="B191" i="20"/>
  <c r="AE83" i="18"/>
  <c r="AD83" i="19"/>
  <c r="AF191" i="19"/>
  <c r="B101" i="19"/>
  <c r="B191" i="19" s="1"/>
  <c r="AE73" i="19"/>
  <c r="AE75" i="19"/>
  <c r="B194" i="19"/>
  <c r="AF199" i="19"/>
  <c r="AF51" i="19" s="1"/>
  <c r="AF52" i="19" s="1"/>
  <c r="AE234" i="19"/>
  <c r="B198" i="19"/>
  <c r="AF234" i="19" s="1"/>
  <c r="AV213" i="19"/>
  <c r="AD7" i="19"/>
  <c r="AI93" i="19"/>
  <c r="AH93" i="19"/>
  <c r="AF75" i="18"/>
  <c r="AF73" i="18"/>
  <c r="B114" i="18"/>
  <c r="B93" i="18" s="1"/>
  <c r="AF93" i="18"/>
  <c r="B191" i="18"/>
  <c r="B52" i="18"/>
  <c r="AI51" i="18"/>
  <c r="AH51" i="18"/>
  <c r="AW213" i="18"/>
  <c r="AE7" i="18"/>
  <c r="AF191" i="18"/>
  <c r="AT213" i="17"/>
  <c r="AB7" i="17"/>
  <c r="AF102" i="17"/>
  <c r="AE191" i="17"/>
  <c r="AD199" i="17"/>
  <c r="AD51" i="17" s="1"/>
  <c r="AD52" i="17" s="1"/>
  <c r="AE193" i="17"/>
  <c r="AE93" i="17" s="1"/>
  <c r="AC75" i="17"/>
  <c r="AC73" i="17"/>
  <c r="AF83" i="20" l="1"/>
  <c r="AX213" i="20"/>
  <c r="AF7" i="20"/>
  <c r="AH52" i="20"/>
  <c r="AI52" i="20"/>
  <c r="B75" i="20"/>
  <c r="B73" i="20"/>
  <c r="AF83" i="18"/>
  <c r="AW213" i="19"/>
  <c r="AE7" i="19"/>
  <c r="B199" i="19"/>
  <c r="AE83" i="19"/>
  <c r="AF75" i="19"/>
  <c r="AF73" i="19"/>
  <c r="AF83" i="19" s="1"/>
  <c r="B93" i="19"/>
  <c r="AI93" i="18"/>
  <c r="AH93" i="18"/>
  <c r="AH52" i="18"/>
  <c r="B75" i="18"/>
  <c r="AI52" i="18"/>
  <c r="B73" i="18"/>
  <c r="AX213" i="18"/>
  <c r="AF7" i="18"/>
  <c r="AC83" i="17"/>
  <c r="AF193" i="17"/>
  <c r="AE199" i="17"/>
  <c r="AE51" i="17" s="1"/>
  <c r="AE52" i="17" s="1"/>
  <c r="AD75" i="17"/>
  <c r="AD73" i="17"/>
  <c r="AD83" i="17" s="1"/>
  <c r="AF93" i="17"/>
  <c r="B102" i="17"/>
  <c r="AF191" i="17"/>
  <c r="AU213" i="17"/>
  <c r="AC7" i="17"/>
  <c r="T213" i="20" l="1"/>
  <c r="AI75" i="20"/>
  <c r="AH75" i="20"/>
  <c r="B7" i="20"/>
  <c r="A7" i="20" s="1"/>
  <c r="AH73" i="20"/>
  <c r="AI73" i="20"/>
  <c r="B83" i="20"/>
  <c r="AX213" i="19"/>
  <c r="AF7" i="19"/>
  <c r="B52" i="19"/>
  <c r="AI51" i="19"/>
  <c r="AH51" i="19"/>
  <c r="AH73" i="18"/>
  <c r="B83" i="18"/>
  <c r="AI73" i="18"/>
  <c r="T213" i="18"/>
  <c r="AI75" i="18"/>
  <c r="AH75" i="18"/>
  <c r="B7" i="18"/>
  <c r="A7" i="18" s="1"/>
  <c r="B191" i="17"/>
  <c r="AV213" i="17"/>
  <c r="AD7" i="17"/>
  <c r="AI93" i="17"/>
  <c r="AH93" i="17"/>
  <c r="AE73" i="17"/>
  <c r="AE75" i="17"/>
  <c r="AF199" i="17"/>
  <c r="AF51" i="17" s="1"/>
  <c r="AF52" i="17" s="1"/>
  <c r="B193" i="17"/>
  <c r="B199" i="17" s="1"/>
  <c r="B51" i="17" s="1"/>
  <c r="AH83" i="20" l="1"/>
  <c r="AI83" i="20"/>
  <c r="AI52" i="19"/>
  <c r="AH52" i="19"/>
  <c r="B75" i="19"/>
  <c r="B73" i="19"/>
  <c r="AI83" i="18"/>
  <c r="AH83" i="18"/>
  <c r="AW213" i="17"/>
  <c r="AE7" i="17"/>
  <c r="AE83" i="17"/>
  <c r="AI51" i="17"/>
  <c r="AH51" i="17"/>
  <c r="B52" i="17"/>
  <c r="AF73" i="17"/>
  <c r="AF75" i="17"/>
  <c r="B93" i="17"/>
  <c r="AH73" i="19" l="1"/>
  <c r="AI73" i="19"/>
  <c r="B83" i="19"/>
  <c r="T213" i="19"/>
  <c r="B7" i="19"/>
  <c r="A7" i="19" s="1"/>
  <c r="AI75" i="19"/>
  <c r="AH75" i="19"/>
  <c r="AF83" i="17"/>
  <c r="AI52" i="17"/>
  <c r="AH52" i="17"/>
  <c r="B73" i="17"/>
  <c r="B75" i="17"/>
  <c r="AX213" i="17"/>
  <c r="AF7" i="17"/>
  <c r="AI83" i="19" l="1"/>
  <c r="AH83" i="19"/>
  <c r="T213" i="17"/>
  <c r="AI75" i="17"/>
  <c r="AH75" i="17"/>
  <c r="B7" i="17"/>
  <c r="A7" i="17" s="1"/>
  <c r="AI73" i="17"/>
  <c r="AH73" i="17"/>
  <c r="B83" i="17"/>
  <c r="AI83" i="17" l="1"/>
  <c r="AH83" i="17"/>
  <c r="D95" i="16" l="1"/>
  <c r="AH99" i="16"/>
  <c r="AI99" i="16" s="1"/>
  <c r="C95" i="16"/>
  <c r="B95" i="16"/>
  <c r="B93" i="16"/>
  <c r="B80" i="16"/>
  <c r="B79" i="16"/>
  <c r="B78" i="16"/>
  <c r="B77" i="16"/>
  <c r="B76" i="16"/>
  <c r="B82" i="16" s="1"/>
  <c r="B72" i="16"/>
  <c r="B68" i="16"/>
  <c r="B56" i="16"/>
  <c r="B52" i="16"/>
  <c r="B51" i="16"/>
  <c r="B38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E234" i="16"/>
  <c r="D234" i="16"/>
  <c r="C234" i="16"/>
  <c r="B234" i="16"/>
  <c r="S209" i="16"/>
  <c r="AG199" i="16"/>
  <c r="C199" i="16"/>
  <c r="G198" i="16"/>
  <c r="F234" i="16" s="1"/>
  <c r="F198" i="16"/>
  <c r="E198" i="16"/>
  <c r="D198" i="16"/>
  <c r="F197" i="16"/>
  <c r="G197" i="16" s="1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E197" i="16"/>
  <c r="D197" i="16"/>
  <c r="D196" i="16"/>
  <c r="E196" i="16" s="1"/>
  <c r="F196" i="16" s="1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G195" i="16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E195" i="16"/>
  <c r="F195" i="16" s="1"/>
  <c r="D195" i="16"/>
  <c r="F194" i="16"/>
  <c r="G194" i="16" s="1"/>
  <c r="H194" i="16" s="1"/>
  <c r="I194" i="16" s="1"/>
  <c r="J194" i="16" s="1"/>
  <c r="K194" i="16" s="1"/>
  <c r="L194" i="16" s="1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B194" i="16" s="1"/>
  <c r="E194" i="16"/>
  <c r="D194" i="16"/>
  <c r="E193" i="16"/>
  <c r="D193" i="16"/>
  <c r="D199" i="16" s="1"/>
  <c r="AG191" i="16"/>
  <c r="C191" i="16"/>
  <c r="J190" i="16"/>
  <c r="K190" i="16" s="1"/>
  <c r="L190" i="16" s="1"/>
  <c r="M190" i="16" s="1"/>
  <c r="N190" i="16" s="1"/>
  <c r="O190" i="16" s="1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Z190" i="16" s="1"/>
  <c r="AA190" i="16" s="1"/>
  <c r="AB190" i="16" s="1"/>
  <c r="AC190" i="16" s="1"/>
  <c r="AD190" i="16" s="1"/>
  <c r="AE190" i="16" s="1"/>
  <c r="AF190" i="16" s="1"/>
  <c r="B190" i="16" s="1"/>
  <c r="D190" i="16"/>
  <c r="E190" i="16" s="1"/>
  <c r="F190" i="16" s="1"/>
  <c r="G190" i="16" s="1"/>
  <c r="H190" i="16" s="1"/>
  <c r="I190" i="16" s="1"/>
  <c r="E189" i="16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D189" i="16"/>
  <c r="E188" i="16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B188" i="16" s="1"/>
  <c r="D188" i="16"/>
  <c r="D187" i="16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D186" i="16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B186" i="16" s="1"/>
  <c r="R185" i="16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B185" i="16" s="1"/>
  <c r="E185" i="16"/>
  <c r="F185" i="16" s="1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D185" i="16"/>
  <c r="E184" i="16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B184" i="16" s="1"/>
  <c r="D184" i="16"/>
  <c r="E183" i="16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D183" i="16"/>
  <c r="Q182" i="16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B182" i="16" s="1"/>
  <c r="D182" i="16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F181" i="16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E181" i="16"/>
  <c r="D181" i="16"/>
  <c r="E180" i="16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B180" i="16" s="1"/>
  <c r="D180" i="16"/>
  <c r="D179" i="16"/>
  <c r="E179" i="16" s="1"/>
  <c r="F179" i="16" s="1"/>
  <c r="G179" i="16" s="1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O178" i="16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B178" i="16" s="1"/>
  <c r="E178" i="16"/>
  <c r="F178" i="16" s="1"/>
  <c r="G178" i="16" s="1"/>
  <c r="H178" i="16" s="1"/>
  <c r="I178" i="16" s="1"/>
  <c r="J178" i="16" s="1"/>
  <c r="K178" i="16" s="1"/>
  <c r="L178" i="16" s="1"/>
  <c r="M178" i="16" s="1"/>
  <c r="N178" i="16" s="1"/>
  <c r="D178" i="16"/>
  <c r="G176" i="16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E176" i="16"/>
  <c r="F176" i="16" s="1"/>
  <c r="D176" i="16"/>
  <c r="E175" i="16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D175" i="16"/>
  <c r="E174" i="16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D174" i="16"/>
  <c r="AA173" i="16"/>
  <c r="AB173" i="16" s="1"/>
  <c r="AC173" i="16" s="1"/>
  <c r="AD173" i="16" s="1"/>
  <c r="AE173" i="16" s="1"/>
  <c r="AF173" i="16" s="1"/>
  <c r="B173" i="16" s="1"/>
  <c r="G173" i="16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D173" i="16"/>
  <c r="E173" i="16" s="1"/>
  <c r="F173" i="16" s="1"/>
  <c r="U172" i="16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B172" i="16" s="1"/>
  <c r="G172" i="16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E172" i="16"/>
  <c r="F172" i="16" s="1"/>
  <c r="D172" i="16"/>
  <c r="D171" i="16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B171" i="16" s="1"/>
  <c r="Z170" i="16"/>
  <c r="AA170" i="16" s="1"/>
  <c r="AB170" i="16" s="1"/>
  <c r="AC170" i="16" s="1"/>
  <c r="AD170" i="16" s="1"/>
  <c r="AE170" i="16" s="1"/>
  <c r="AF170" i="16" s="1"/>
  <c r="B170" i="16" s="1"/>
  <c r="N170" i="16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E170" i="16"/>
  <c r="F170" i="16" s="1"/>
  <c r="G170" i="16" s="1"/>
  <c r="H170" i="16" s="1"/>
  <c r="I170" i="16" s="1"/>
  <c r="J170" i="16" s="1"/>
  <c r="K170" i="16" s="1"/>
  <c r="L170" i="16" s="1"/>
  <c r="M170" i="16" s="1"/>
  <c r="D170" i="16"/>
  <c r="AA169" i="16"/>
  <c r="AB169" i="16" s="1"/>
  <c r="AC169" i="16" s="1"/>
  <c r="AD169" i="16" s="1"/>
  <c r="AE169" i="16" s="1"/>
  <c r="AF169" i="16" s="1"/>
  <c r="B169" i="16" s="1"/>
  <c r="D169" i="16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D167" i="16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G166" i="16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B166" i="16" s="1"/>
  <c r="D166" i="16"/>
  <c r="E166" i="16" s="1"/>
  <c r="F166" i="16" s="1"/>
  <c r="E165" i="16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B165" i="16" s="1"/>
  <c r="D165" i="16"/>
  <c r="D164" i="16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L163" i="16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B163" i="16" s="1"/>
  <c r="D163" i="16"/>
  <c r="E163" i="16" s="1"/>
  <c r="F163" i="16" s="1"/>
  <c r="G163" i="16" s="1"/>
  <c r="H163" i="16" s="1"/>
  <c r="I163" i="16" s="1"/>
  <c r="J163" i="16" s="1"/>
  <c r="K163" i="16" s="1"/>
  <c r="J162" i="16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B162" i="16" s="1"/>
  <c r="G162" i="16"/>
  <c r="H162" i="16" s="1"/>
  <c r="I162" i="16" s="1"/>
  <c r="D162" i="16"/>
  <c r="E162" i="16" s="1"/>
  <c r="F162" i="16" s="1"/>
  <c r="E161" i="16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B161" i="16" s="1"/>
  <c r="D161" i="16"/>
  <c r="D160" i="16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I159" i="16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E159" i="16"/>
  <c r="F159" i="16" s="1"/>
  <c r="G159" i="16" s="1"/>
  <c r="H159" i="16" s="1"/>
  <c r="D159" i="16"/>
  <c r="O158" i="16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B158" i="16" s="1"/>
  <c r="G158" i="16"/>
  <c r="H158" i="16" s="1"/>
  <c r="I158" i="16" s="1"/>
  <c r="J158" i="16" s="1"/>
  <c r="K158" i="16" s="1"/>
  <c r="L158" i="16" s="1"/>
  <c r="M158" i="16" s="1"/>
  <c r="N158" i="16" s="1"/>
  <c r="D158" i="16"/>
  <c r="E158" i="16" s="1"/>
  <c r="F158" i="16" s="1"/>
  <c r="F157" i="16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B157" i="16" s="1"/>
  <c r="E157" i="16"/>
  <c r="D157" i="16"/>
  <c r="H156" i="16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D156" i="16"/>
  <c r="E156" i="16" s="1"/>
  <c r="F156" i="16" s="1"/>
  <c r="G156" i="16" s="1"/>
  <c r="F155" i="16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B155" i="16" s="1"/>
  <c r="E155" i="16"/>
  <c r="D155" i="16"/>
  <c r="G153" i="16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E153" i="16"/>
  <c r="F153" i="16" s="1"/>
  <c r="D153" i="16"/>
  <c r="F152" i="16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E152" i="16"/>
  <c r="D152" i="16"/>
  <c r="H151" i="16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D151" i="16"/>
  <c r="E151" i="16" s="1"/>
  <c r="F151" i="16" s="1"/>
  <c r="G151" i="16" s="1"/>
  <c r="F150" i="16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B150" i="16" s="1"/>
  <c r="E150" i="16"/>
  <c r="D150" i="16"/>
  <c r="L148" i="16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D148" i="16"/>
  <c r="E148" i="16" s="1"/>
  <c r="F148" i="16" s="1"/>
  <c r="G148" i="16" s="1"/>
  <c r="H148" i="16" s="1"/>
  <c r="I148" i="16" s="1"/>
  <c r="J148" i="16" s="1"/>
  <c r="K148" i="16" s="1"/>
  <c r="J147" i="16"/>
  <c r="K147" i="16" s="1"/>
  <c r="L147" i="16" s="1"/>
  <c r="M147" i="16" s="1"/>
  <c r="N147" i="16" s="1"/>
  <c r="O147" i="16" s="1"/>
  <c r="P147" i="16" s="1"/>
  <c r="Q147" i="16" s="1"/>
  <c r="R147" i="16" s="1"/>
  <c r="S147" i="16" s="1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B147" i="16" s="1"/>
  <c r="F147" i="16"/>
  <c r="G147" i="16" s="1"/>
  <c r="H147" i="16" s="1"/>
  <c r="I147" i="16" s="1"/>
  <c r="E147" i="16"/>
  <c r="D147" i="16"/>
  <c r="S145" i="16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B145" i="16" s="1"/>
  <c r="H145" i="16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D145" i="16"/>
  <c r="E145" i="16" s="1"/>
  <c r="F145" i="16" s="1"/>
  <c r="G145" i="16" s="1"/>
  <c r="F144" i="16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B144" i="16" s="1"/>
  <c r="E144" i="16"/>
  <c r="D144" i="16"/>
  <c r="E143" i="16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B143" i="16" s="1"/>
  <c r="D143" i="16"/>
  <c r="K142" i="16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B142" i="16" s="1"/>
  <c r="E142" i="16"/>
  <c r="F142" i="16" s="1"/>
  <c r="G142" i="16" s="1"/>
  <c r="H142" i="16" s="1"/>
  <c r="I142" i="16" s="1"/>
  <c r="J142" i="16" s="1"/>
  <c r="D142" i="16"/>
  <c r="D141" i="16"/>
  <c r="E141" i="16" s="1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F140" i="16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B140" i="16" s="1"/>
  <c r="E140" i="16"/>
  <c r="D140" i="16"/>
  <c r="D139" i="16"/>
  <c r="E139" i="16" s="1"/>
  <c r="F139" i="16" s="1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B139" i="16" s="1"/>
  <c r="E137" i="16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B137" i="16" s="1"/>
  <c r="D137" i="16"/>
  <c r="I136" i="16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D136" i="16"/>
  <c r="E136" i="16" s="1"/>
  <c r="F136" i="16" s="1"/>
  <c r="G136" i="16" s="1"/>
  <c r="H136" i="16" s="1"/>
  <c r="F135" i="16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E135" i="16"/>
  <c r="D135" i="16"/>
  <c r="X134" i="16"/>
  <c r="Y134" i="16" s="1"/>
  <c r="Z134" i="16" s="1"/>
  <c r="AA134" i="16" s="1"/>
  <c r="AB134" i="16" s="1"/>
  <c r="AC134" i="16" s="1"/>
  <c r="AD134" i="16" s="1"/>
  <c r="AE134" i="16" s="1"/>
  <c r="AF134" i="16" s="1"/>
  <c r="B134" i="16" s="1"/>
  <c r="E134" i="16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D134" i="16"/>
  <c r="M133" i="16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G133" i="16"/>
  <c r="H133" i="16" s="1"/>
  <c r="I133" i="16" s="1"/>
  <c r="J133" i="16" s="1"/>
  <c r="K133" i="16" s="1"/>
  <c r="L133" i="16" s="1"/>
  <c r="F133" i="16"/>
  <c r="E133" i="16"/>
  <c r="D133" i="16"/>
  <c r="D132" i="16"/>
  <c r="E132" i="16" s="1"/>
  <c r="F132" i="16" s="1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N131" i="16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F131" i="16"/>
  <c r="G131" i="16" s="1"/>
  <c r="H131" i="16" s="1"/>
  <c r="I131" i="16" s="1"/>
  <c r="J131" i="16" s="1"/>
  <c r="K131" i="16" s="1"/>
  <c r="L131" i="16" s="1"/>
  <c r="M131" i="16" s="1"/>
  <c r="E131" i="16"/>
  <c r="D131" i="16"/>
  <c r="H130" i="16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B130" i="16" s="1"/>
  <c r="D130" i="16"/>
  <c r="E130" i="16" s="1"/>
  <c r="F130" i="16" s="1"/>
  <c r="G130" i="16" s="1"/>
  <c r="F128" i="16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D128" i="16"/>
  <c r="E128" i="16" s="1"/>
  <c r="H127" i="16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D127" i="16"/>
  <c r="E127" i="16" s="1"/>
  <c r="F127" i="16" s="1"/>
  <c r="G127" i="16" s="1"/>
  <c r="F126" i="16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E126" i="16"/>
  <c r="D126" i="16"/>
  <c r="D125" i="16"/>
  <c r="E125" i="16" s="1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B125" i="16" s="1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B124" i="16" s="1"/>
  <c r="X123" i="16"/>
  <c r="Y123" i="16" s="1"/>
  <c r="Z123" i="16" s="1"/>
  <c r="AA123" i="16" s="1"/>
  <c r="AB123" i="16" s="1"/>
  <c r="AC123" i="16" s="1"/>
  <c r="AD123" i="16" s="1"/>
  <c r="AE123" i="16" s="1"/>
  <c r="AF123" i="16" s="1"/>
  <c r="B123" i="16" s="1"/>
  <c r="L123" i="16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D123" i="16"/>
  <c r="E123" i="16" s="1"/>
  <c r="F123" i="16" s="1"/>
  <c r="G123" i="16" s="1"/>
  <c r="H123" i="16" s="1"/>
  <c r="I123" i="16" s="1"/>
  <c r="J123" i="16" s="1"/>
  <c r="K123" i="16" s="1"/>
  <c r="J122" i="16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F122" i="16"/>
  <c r="G122" i="16" s="1"/>
  <c r="H122" i="16" s="1"/>
  <c r="I122" i="16" s="1"/>
  <c r="E122" i="16"/>
  <c r="D122" i="16"/>
  <c r="AB121" i="16"/>
  <c r="AC121" i="16" s="1"/>
  <c r="AD121" i="16" s="1"/>
  <c r="AE121" i="16" s="1"/>
  <c r="AF121" i="16" s="1"/>
  <c r="B121" i="16" s="1"/>
  <c r="P121" i="16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H121" i="16"/>
  <c r="I121" i="16" s="1"/>
  <c r="J121" i="16" s="1"/>
  <c r="K121" i="16" s="1"/>
  <c r="L121" i="16" s="1"/>
  <c r="M121" i="16" s="1"/>
  <c r="N121" i="16" s="1"/>
  <c r="O121" i="16" s="1"/>
  <c r="D121" i="16"/>
  <c r="E121" i="16" s="1"/>
  <c r="F121" i="16" s="1"/>
  <c r="G121" i="16" s="1"/>
  <c r="N120" i="16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F120" i="16"/>
  <c r="G120" i="16" s="1"/>
  <c r="H120" i="16" s="1"/>
  <c r="I120" i="16" s="1"/>
  <c r="J120" i="16" s="1"/>
  <c r="K120" i="16" s="1"/>
  <c r="L120" i="16" s="1"/>
  <c r="M120" i="16" s="1"/>
  <c r="D120" i="16"/>
  <c r="E120" i="16" s="1"/>
  <c r="D119" i="16"/>
  <c r="E119" i="16" s="1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B119" i="16" s="1"/>
  <c r="J118" i="16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B118" i="16" s="1"/>
  <c r="F118" i="16"/>
  <c r="G118" i="16" s="1"/>
  <c r="H118" i="16" s="1"/>
  <c r="I118" i="16" s="1"/>
  <c r="E118" i="16"/>
  <c r="D118" i="16"/>
  <c r="E117" i="16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D117" i="16"/>
  <c r="D116" i="16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D115" i="16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N114" i="16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K114" i="16"/>
  <c r="L114" i="16" s="1"/>
  <c r="M114" i="16" s="1"/>
  <c r="F114" i="16"/>
  <c r="G114" i="16" s="1"/>
  <c r="H114" i="16" s="1"/>
  <c r="I114" i="16" s="1"/>
  <c r="J114" i="16" s="1"/>
  <c r="E114" i="16"/>
  <c r="D114" i="16"/>
  <c r="T113" i="16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Q113" i="16"/>
  <c r="R113" i="16" s="1"/>
  <c r="S113" i="16" s="1"/>
  <c r="L113" i="16"/>
  <c r="M113" i="16" s="1"/>
  <c r="N113" i="16" s="1"/>
  <c r="O113" i="16" s="1"/>
  <c r="P113" i="16" s="1"/>
  <c r="K113" i="16"/>
  <c r="G113" i="16"/>
  <c r="H113" i="16" s="1"/>
  <c r="I113" i="16" s="1"/>
  <c r="D113" i="16"/>
  <c r="E113" i="16" s="1"/>
  <c r="F113" i="16" s="1"/>
  <c r="H112" i="16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E112" i="16"/>
  <c r="F112" i="16" s="1"/>
  <c r="G112" i="16" s="1"/>
  <c r="D112" i="16"/>
  <c r="I111" i="16"/>
  <c r="J111" i="16" s="1"/>
  <c r="K111" i="16" s="1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B111" i="16" s="1"/>
  <c r="F111" i="16"/>
  <c r="G111" i="16" s="1"/>
  <c r="H111" i="16" s="1"/>
  <c r="D111" i="16"/>
  <c r="E111" i="16" s="1"/>
  <c r="E109" i="16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D109" i="16"/>
  <c r="D108" i="16"/>
  <c r="E108" i="16" s="1"/>
  <c r="F108" i="16" s="1"/>
  <c r="G108" i="16" s="1"/>
  <c r="H108" i="16" s="1"/>
  <c r="I108" i="16" s="1"/>
  <c r="J108" i="16" s="1"/>
  <c r="K108" i="16" s="1"/>
  <c r="L108" i="16" s="1"/>
  <c r="M108" i="16" s="1"/>
  <c r="N108" i="16" s="1"/>
  <c r="O108" i="16" s="1"/>
  <c r="P108" i="16" s="1"/>
  <c r="Q108" i="16" s="1"/>
  <c r="R108" i="16" s="1"/>
  <c r="S108" i="16" s="1"/>
  <c r="T108" i="16" s="1"/>
  <c r="U108" i="16" s="1"/>
  <c r="V108" i="16" s="1"/>
  <c r="W108" i="16" s="1"/>
  <c r="X108" i="16" s="1"/>
  <c r="Y108" i="16" s="1"/>
  <c r="Z108" i="16" s="1"/>
  <c r="AA108" i="16" s="1"/>
  <c r="AB108" i="16" s="1"/>
  <c r="AC108" i="16" s="1"/>
  <c r="AD108" i="16" s="1"/>
  <c r="AE108" i="16" s="1"/>
  <c r="AF108" i="16" s="1"/>
  <c r="B108" i="16" s="1"/>
  <c r="I106" i="16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F106" i="16"/>
  <c r="G106" i="16" s="1"/>
  <c r="H106" i="16" s="1"/>
  <c r="D106" i="16"/>
  <c r="E106" i="16" s="1"/>
  <c r="G105" i="16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D105" i="16"/>
  <c r="E105" i="16" s="1"/>
  <c r="F105" i="16" s="1"/>
  <c r="E104" i="16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D104" i="16"/>
  <c r="F103" i="16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B103" i="16" s="1"/>
  <c r="D103" i="16"/>
  <c r="E103" i="16" s="1"/>
  <c r="F102" i="16"/>
  <c r="G102" i="16" s="1"/>
  <c r="D102" i="16"/>
  <c r="E102" i="16" s="1"/>
  <c r="E93" i="16" s="1"/>
  <c r="D101" i="16"/>
  <c r="AH98" i="16"/>
  <c r="AI98" i="16" s="1"/>
  <c r="AH97" i="16"/>
  <c r="AI97" i="16" s="1"/>
  <c r="AH96" i="16"/>
  <c r="AI96" i="16" s="1"/>
  <c r="AH95" i="16"/>
  <c r="AI95" i="16" s="1"/>
  <c r="AH94" i="16"/>
  <c r="AI94" i="16" s="1"/>
  <c r="D93" i="16"/>
  <c r="C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G82" i="16"/>
  <c r="M82" i="16"/>
  <c r="AI81" i="16"/>
  <c r="AH81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F78" i="16"/>
  <c r="AE78" i="16"/>
  <c r="AD78" i="16"/>
  <c r="AC78" i="16"/>
  <c r="AB78" i="16"/>
  <c r="AA78" i="16"/>
  <c r="Z78" i="16"/>
  <c r="Y78" i="16"/>
  <c r="X78" i="16"/>
  <c r="X82" i="16" s="1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U82" i="16" s="1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F76" i="16"/>
  <c r="AF82" i="16" s="1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Q82" i="16" s="1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I74" i="16"/>
  <c r="AH74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M75" i="16" s="1"/>
  <c r="AE213" i="16" s="1"/>
  <c r="L72" i="16"/>
  <c r="K72" i="16"/>
  <c r="J72" i="16"/>
  <c r="I72" i="16"/>
  <c r="H72" i="16"/>
  <c r="G72" i="16"/>
  <c r="F72" i="16"/>
  <c r="E72" i="16"/>
  <c r="D72" i="16"/>
  <c r="C72" i="16"/>
  <c r="AI71" i="16"/>
  <c r="AH71" i="16"/>
  <c r="AI70" i="16"/>
  <c r="AH70" i="16"/>
  <c r="AI69" i="16"/>
  <c r="AH69" i="16"/>
  <c r="AG68" i="16"/>
  <c r="AF68" i="16"/>
  <c r="AE5" i="16" s="1"/>
  <c r="AE68" i="16"/>
  <c r="AD5" i="16" s="1"/>
  <c r="AD68" i="16"/>
  <c r="AC68" i="16"/>
  <c r="AB68" i="16"/>
  <c r="AA68" i="16"/>
  <c r="Z5" i="16" s="1"/>
  <c r="Z68" i="16"/>
  <c r="Y68" i="16"/>
  <c r="X68" i="16"/>
  <c r="W68" i="16"/>
  <c r="V5" i="16" s="1"/>
  <c r="V68" i="16"/>
  <c r="U5" i="16" s="1"/>
  <c r="U68" i="16"/>
  <c r="T68" i="16"/>
  <c r="S68" i="16"/>
  <c r="R5" i="16" s="1"/>
  <c r="R68" i="16"/>
  <c r="Q68" i="16"/>
  <c r="P68" i="16"/>
  <c r="O5" i="16" s="1"/>
  <c r="O68" i="16"/>
  <c r="N5" i="16" s="1"/>
  <c r="N68" i="16"/>
  <c r="M5" i="16" s="1"/>
  <c r="M68" i="16"/>
  <c r="L68" i="16"/>
  <c r="K68" i="16"/>
  <c r="J5" i="16" s="1"/>
  <c r="J68" i="16"/>
  <c r="I5" i="16" s="1"/>
  <c r="I68" i="16"/>
  <c r="H68" i="16"/>
  <c r="G68" i="16"/>
  <c r="F5" i="16" s="1"/>
  <c r="F68" i="16"/>
  <c r="E5" i="16" s="1"/>
  <c r="E68" i="16"/>
  <c r="D5" i="16" s="1"/>
  <c r="D68" i="16"/>
  <c r="C5" i="16" s="1"/>
  <c r="C68" i="16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G4" i="16" s="1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I54" i="16"/>
  <c r="AH54" i="16"/>
  <c r="AI53" i="16"/>
  <c r="AH53" i="16"/>
  <c r="Z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G51" i="16"/>
  <c r="AG52" i="16" s="1"/>
  <c r="AG3" i="16" s="1"/>
  <c r="AG6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A38" i="16"/>
  <c r="Z38" i="16"/>
  <c r="Z73" i="16" s="1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M73" i="16" s="1"/>
  <c r="L38" i="16"/>
  <c r="K38" i="16"/>
  <c r="J38" i="16"/>
  <c r="I38" i="16"/>
  <c r="H38" i="16"/>
  <c r="G38" i="16"/>
  <c r="F38" i="16"/>
  <c r="F75" i="16" s="1"/>
  <c r="E38" i="16"/>
  <c r="D38" i="16"/>
  <c r="C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C5" i="16"/>
  <c r="AB5" i="16"/>
  <c r="Y5" i="16"/>
  <c r="W5" i="16"/>
  <c r="T5" i="16"/>
  <c r="Q5" i="16"/>
  <c r="L5" i="16"/>
  <c r="H5" i="16"/>
  <c r="G5" i="16"/>
  <c r="B5" i="16"/>
  <c r="K4" i="16"/>
  <c r="B4" i="16"/>
  <c r="AG2" i="16"/>
  <c r="AF95" i="15"/>
  <c r="AE95" i="15"/>
  <c r="R95" i="15"/>
  <c r="E4" i="16"/>
  <c r="AD82" i="16" l="1"/>
  <c r="AC82" i="16"/>
  <c r="Z82" i="16"/>
  <c r="Y82" i="16"/>
  <c r="V82" i="16"/>
  <c r="T73" i="16"/>
  <c r="S75" i="16"/>
  <c r="S73" i="16"/>
  <c r="R82" i="16"/>
  <c r="R73" i="16"/>
  <c r="Q75" i="16"/>
  <c r="P82" i="16"/>
  <c r="P73" i="16"/>
  <c r="K75" i="16"/>
  <c r="J82" i="16"/>
  <c r="AI79" i="16"/>
  <c r="J73" i="16"/>
  <c r="K73" i="16"/>
  <c r="L73" i="16"/>
  <c r="N82" i="16"/>
  <c r="N75" i="16"/>
  <c r="N7" i="16" s="1"/>
  <c r="N73" i="16"/>
  <c r="I82" i="16"/>
  <c r="I75" i="16"/>
  <c r="AA213" i="16" s="1"/>
  <c r="H82" i="16"/>
  <c r="H73" i="16"/>
  <c r="F82" i="16"/>
  <c r="F73" i="16"/>
  <c r="AH79" i="16"/>
  <c r="E82" i="16"/>
  <c r="E73" i="16"/>
  <c r="E75" i="16"/>
  <c r="W213" i="16" s="1"/>
  <c r="AH76" i="16"/>
  <c r="D73" i="16"/>
  <c r="AH78" i="16"/>
  <c r="C73" i="16"/>
  <c r="C75" i="16" s="1"/>
  <c r="C7" i="16" s="1"/>
  <c r="B75" i="16"/>
  <c r="B73" i="16"/>
  <c r="B83" i="16" s="1"/>
  <c r="H4" i="16"/>
  <c r="AC213" i="16"/>
  <c r="K7" i="16"/>
  <c r="AI213" i="16"/>
  <c r="Q7" i="16"/>
  <c r="U213" i="16"/>
  <c r="AG75" i="16"/>
  <c r="X213" i="16"/>
  <c r="F7" i="16"/>
  <c r="H102" i="16"/>
  <c r="Q73" i="16"/>
  <c r="Q83" i="16" s="1"/>
  <c r="P5" i="16"/>
  <c r="X5" i="16"/>
  <c r="AG73" i="16"/>
  <c r="G82" i="16"/>
  <c r="O82" i="16"/>
  <c r="W82" i="16"/>
  <c r="AE82" i="16"/>
  <c r="I73" i="16"/>
  <c r="AI68" i="16"/>
  <c r="D75" i="16"/>
  <c r="D83" i="16" s="1"/>
  <c r="L75" i="16"/>
  <c r="T75" i="16"/>
  <c r="G73" i="16"/>
  <c r="AI78" i="16"/>
  <c r="AI80" i="16"/>
  <c r="F83" i="16"/>
  <c r="AI56" i="16"/>
  <c r="S5" i="16"/>
  <c r="G75" i="16"/>
  <c r="O75" i="16"/>
  <c r="O73" i="16"/>
  <c r="AK213" i="16"/>
  <c r="S7" i="16"/>
  <c r="C82" i="16"/>
  <c r="C83" i="16" s="1"/>
  <c r="K82" i="16"/>
  <c r="S82" i="16"/>
  <c r="S83" i="16" s="1"/>
  <c r="AA82" i="16"/>
  <c r="AH77" i="16"/>
  <c r="AI77" i="16"/>
  <c r="D191" i="16"/>
  <c r="E101" i="16"/>
  <c r="M7" i="16"/>
  <c r="H75" i="16"/>
  <c r="H83" i="16" s="1"/>
  <c r="P75" i="16"/>
  <c r="P83" i="16" s="1"/>
  <c r="D82" i="16"/>
  <c r="L82" i="16"/>
  <c r="T82" i="16"/>
  <c r="AB82" i="16"/>
  <c r="AA5" i="16"/>
  <c r="AI76" i="16"/>
  <c r="K5" i="16"/>
  <c r="AI38" i="16"/>
  <c r="AH38" i="16"/>
  <c r="AG83" i="16"/>
  <c r="S210" i="16"/>
  <c r="D210" i="16"/>
  <c r="AH80" i="16"/>
  <c r="M83" i="16"/>
  <c r="J75" i="16"/>
  <c r="R75" i="16"/>
  <c r="Z75" i="16"/>
  <c r="Z83" i="16" s="1"/>
  <c r="AH56" i="16"/>
  <c r="AH68" i="16"/>
  <c r="AH72" i="16"/>
  <c r="AI72" i="16"/>
  <c r="E199" i="16"/>
  <c r="F193" i="16"/>
  <c r="H198" i="16"/>
  <c r="T83" i="16" l="1"/>
  <c r="O83" i="16"/>
  <c r="AF213" i="16"/>
  <c r="K83" i="16"/>
  <c r="L83" i="16"/>
  <c r="N83" i="16"/>
  <c r="I7" i="16"/>
  <c r="I83" i="16"/>
  <c r="G83" i="16"/>
  <c r="E7" i="16"/>
  <c r="E83" i="16"/>
  <c r="AH213" i="16"/>
  <c r="P7" i="16"/>
  <c r="I102" i="16"/>
  <c r="G234" i="16"/>
  <c r="I198" i="16"/>
  <c r="AJ213" i="16"/>
  <c r="R7" i="16"/>
  <c r="AB213" i="16"/>
  <c r="J7" i="16"/>
  <c r="AG213" i="16"/>
  <c r="O7" i="16"/>
  <c r="F199" i="16"/>
  <c r="G193" i="16"/>
  <c r="E191" i="16"/>
  <c r="F101" i="16"/>
  <c r="AL213" i="16"/>
  <c r="T7" i="16"/>
  <c r="J83" i="16"/>
  <c r="AI82" i="16"/>
  <c r="AH82" i="16"/>
  <c r="Y213" i="16"/>
  <c r="C208" i="16"/>
  <c r="B208" i="16"/>
  <c r="G7" i="16"/>
  <c r="R83" i="16"/>
  <c r="Z213" i="16"/>
  <c r="H7" i="16"/>
  <c r="V213" i="16"/>
  <c r="D7" i="16"/>
  <c r="AR213" i="16"/>
  <c r="Z7" i="16"/>
  <c r="AD213" i="16"/>
  <c r="L7" i="16"/>
  <c r="F93" i="16"/>
  <c r="K6" i="16" l="1"/>
  <c r="F191" i="16"/>
  <c r="G101" i="16"/>
  <c r="H193" i="16"/>
  <c r="G199" i="16"/>
  <c r="G93" i="16"/>
  <c r="H234" i="16"/>
  <c r="J198" i="16"/>
  <c r="J102" i="16"/>
  <c r="H199" i="16" l="1"/>
  <c r="I193" i="16"/>
  <c r="H93" i="16"/>
  <c r="K102" i="16"/>
  <c r="G191" i="16"/>
  <c r="H101" i="16"/>
  <c r="I234" i="16"/>
  <c r="K198" i="16"/>
  <c r="J193" i="16" l="1"/>
  <c r="I199" i="16"/>
  <c r="I93" i="16"/>
  <c r="J234" i="16"/>
  <c r="L198" i="16"/>
  <c r="L102" i="16"/>
  <c r="H191" i="16"/>
  <c r="I101" i="16"/>
  <c r="M102" i="16" l="1"/>
  <c r="K234" i="16"/>
  <c r="M198" i="16"/>
  <c r="I191" i="16"/>
  <c r="J101" i="16"/>
  <c r="J199" i="16"/>
  <c r="K193" i="16"/>
  <c r="J93" i="16"/>
  <c r="K199" i="16" l="1"/>
  <c r="L193" i="16"/>
  <c r="K93" i="16"/>
  <c r="J191" i="16"/>
  <c r="K101" i="16"/>
  <c r="N198" i="16"/>
  <c r="L234" i="16"/>
  <c r="N102" i="16"/>
  <c r="O198" i="16" l="1"/>
  <c r="M234" i="16"/>
  <c r="K191" i="16"/>
  <c r="L101" i="16"/>
  <c r="L199" i="16"/>
  <c r="M193" i="16"/>
  <c r="L93" i="16"/>
  <c r="O102" i="16"/>
  <c r="L191" i="16" l="1"/>
  <c r="M101" i="16"/>
  <c r="M199" i="16"/>
  <c r="N193" i="16"/>
  <c r="M93" i="16"/>
  <c r="P102" i="16"/>
  <c r="P198" i="16"/>
  <c r="N234" i="16"/>
  <c r="Q102" i="16" l="1"/>
  <c r="O234" i="16"/>
  <c r="Q198" i="16"/>
  <c r="N199" i="16"/>
  <c r="O193" i="16"/>
  <c r="N93" i="16"/>
  <c r="M191" i="16"/>
  <c r="N101" i="16"/>
  <c r="P193" i="16" l="1"/>
  <c r="O199" i="16"/>
  <c r="O93" i="16"/>
  <c r="P234" i="16"/>
  <c r="R198" i="16"/>
  <c r="R102" i="16"/>
  <c r="N191" i="16"/>
  <c r="O101" i="16"/>
  <c r="S102" i="16" l="1"/>
  <c r="Q234" i="16"/>
  <c r="S198" i="16"/>
  <c r="O191" i="16"/>
  <c r="P101" i="16"/>
  <c r="Q193" i="16"/>
  <c r="P199" i="16"/>
  <c r="P93" i="16"/>
  <c r="R193" i="16" l="1"/>
  <c r="Q199" i="16"/>
  <c r="Q93" i="16"/>
  <c r="P191" i="16"/>
  <c r="Q101" i="16"/>
  <c r="R234" i="16"/>
  <c r="T198" i="16"/>
  <c r="T102" i="16"/>
  <c r="S234" i="16" l="1"/>
  <c r="U198" i="16"/>
  <c r="Q191" i="16"/>
  <c r="R101" i="16"/>
  <c r="U102" i="16"/>
  <c r="S193" i="16"/>
  <c r="R199" i="16"/>
  <c r="R93" i="16"/>
  <c r="V102" i="16" l="1"/>
  <c r="R191" i="16"/>
  <c r="S101" i="16"/>
  <c r="V198" i="16"/>
  <c r="T234" i="16"/>
  <c r="S199" i="16"/>
  <c r="T193" i="16"/>
  <c r="S93" i="16"/>
  <c r="W198" i="16" l="1"/>
  <c r="U234" i="16"/>
  <c r="S191" i="16"/>
  <c r="T101" i="16"/>
  <c r="T199" i="16"/>
  <c r="U193" i="16"/>
  <c r="T93" i="16"/>
  <c r="W102" i="16"/>
  <c r="X102" i="16" l="1"/>
  <c r="T191" i="16"/>
  <c r="U101" i="16"/>
  <c r="U199" i="16"/>
  <c r="U51" i="16" s="1"/>
  <c r="U52" i="16" s="1"/>
  <c r="V193" i="16"/>
  <c r="U93" i="16"/>
  <c r="X198" i="16"/>
  <c r="V234" i="16"/>
  <c r="V199" i="16" l="1"/>
  <c r="V51" i="16" s="1"/>
  <c r="V52" i="16" s="1"/>
  <c r="W193" i="16"/>
  <c r="V93" i="16"/>
  <c r="U191" i="16"/>
  <c r="V101" i="16"/>
  <c r="U73" i="16"/>
  <c r="U75" i="16"/>
  <c r="W234" i="16"/>
  <c r="Y198" i="16"/>
  <c r="Y102" i="16"/>
  <c r="U83" i="16" l="1"/>
  <c r="Z102" i="16"/>
  <c r="V191" i="16"/>
  <c r="W101" i="16"/>
  <c r="X193" i="16"/>
  <c r="W199" i="16"/>
  <c r="W51" i="16" s="1"/>
  <c r="W52" i="16" s="1"/>
  <c r="W93" i="16"/>
  <c r="AM213" i="16"/>
  <c r="U7" i="16"/>
  <c r="X234" i="16"/>
  <c r="Z198" i="16"/>
  <c r="V75" i="16"/>
  <c r="V73" i="16"/>
  <c r="V83" i="16" s="1"/>
  <c r="W73" i="16" l="1"/>
  <c r="W75" i="16"/>
  <c r="X199" i="16"/>
  <c r="X52" i="16" s="1"/>
  <c r="Y193" i="16"/>
  <c r="X93" i="16"/>
  <c r="AN213" i="16"/>
  <c r="V7" i="16"/>
  <c r="W191" i="16"/>
  <c r="X101" i="16"/>
  <c r="Y234" i="16"/>
  <c r="AA198" i="16"/>
  <c r="AA102" i="16"/>
  <c r="AB102" i="16" l="1"/>
  <c r="Z193" i="16"/>
  <c r="Y199" i="16"/>
  <c r="Y51" i="16" s="1"/>
  <c r="Y52" i="16" s="1"/>
  <c r="Y93" i="16"/>
  <c r="Z234" i="16"/>
  <c r="AB198" i="16"/>
  <c r="X73" i="16"/>
  <c r="X75" i="16"/>
  <c r="AO213" i="16"/>
  <c r="W7" i="16"/>
  <c r="X191" i="16"/>
  <c r="Y101" i="16"/>
  <c r="W83" i="16"/>
  <c r="X83" i="16" l="1"/>
  <c r="AA234" i="16"/>
  <c r="AC198" i="16"/>
  <c r="Y191" i="16"/>
  <c r="Z101" i="16"/>
  <c r="Y73" i="16"/>
  <c r="Y75" i="16"/>
  <c r="Z199" i="16"/>
  <c r="AA193" i="16"/>
  <c r="Z93" i="16"/>
  <c r="AC102" i="16"/>
  <c r="AP213" i="16"/>
  <c r="X7" i="16"/>
  <c r="AA199" i="16" l="1"/>
  <c r="AA51" i="16" s="1"/>
  <c r="AA52" i="16" s="1"/>
  <c r="AB193" i="16"/>
  <c r="AA93" i="16"/>
  <c r="AQ213" i="16"/>
  <c r="Y7" i="16"/>
  <c r="Y83" i="16"/>
  <c r="Z191" i="16"/>
  <c r="AA101" i="16"/>
  <c r="AD102" i="16"/>
  <c r="AD198" i="16"/>
  <c r="AB234" i="16"/>
  <c r="AA191" i="16" l="1"/>
  <c r="AB101" i="16"/>
  <c r="AC234" i="16"/>
  <c r="AE198" i="16"/>
  <c r="AE102" i="16"/>
  <c r="AC193" i="16"/>
  <c r="AB199" i="16"/>
  <c r="AB51" i="16" s="1"/>
  <c r="AB52" i="16" s="1"/>
  <c r="AB93" i="16"/>
  <c r="AA75" i="16"/>
  <c r="AA73" i="16"/>
  <c r="AA83" i="16" l="1"/>
  <c r="AB75" i="16"/>
  <c r="AB73" i="16"/>
  <c r="AB83" i="16" s="1"/>
  <c r="AF102" i="16"/>
  <c r="AD234" i="16"/>
  <c r="AF198" i="16"/>
  <c r="AS213" i="16"/>
  <c r="AA7" i="16"/>
  <c r="AB191" i="16"/>
  <c r="AC101" i="16"/>
  <c r="AC199" i="16"/>
  <c r="AC51" i="16" s="1"/>
  <c r="AC52" i="16" s="1"/>
  <c r="AD193" i="16"/>
  <c r="AC93" i="16"/>
  <c r="AC73" i="16" l="1"/>
  <c r="AC75" i="16"/>
  <c r="B102" i="16"/>
  <c r="AE234" i="16"/>
  <c r="B198" i="16"/>
  <c r="AF234" i="16" s="1"/>
  <c r="AD199" i="16"/>
  <c r="AD51" i="16" s="1"/>
  <c r="AD52" i="16" s="1"/>
  <c r="AE193" i="16"/>
  <c r="AD93" i="16"/>
  <c r="AC191" i="16"/>
  <c r="AD101" i="16"/>
  <c r="AT213" i="16"/>
  <c r="AB7" i="16"/>
  <c r="AD75" i="16" l="1"/>
  <c r="AD73" i="16"/>
  <c r="AD83" i="16" s="1"/>
  <c r="AF193" i="16"/>
  <c r="AE199" i="16"/>
  <c r="AE51" i="16" s="1"/>
  <c r="AE52" i="16" s="1"/>
  <c r="AE93" i="16"/>
  <c r="AU213" i="16"/>
  <c r="AC7" i="16"/>
  <c r="AD191" i="16"/>
  <c r="AE101" i="16"/>
  <c r="AC83" i="16"/>
  <c r="AE73" i="16" l="1"/>
  <c r="AE75" i="16"/>
  <c r="AF199" i="16"/>
  <c r="AF51" i="16" s="1"/>
  <c r="AF52" i="16" s="1"/>
  <c r="B193" i="16"/>
  <c r="AF93" i="16"/>
  <c r="AE191" i="16"/>
  <c r="AF101" i="16"/>
  <c r="AV213" i="16"/>
  <c r="AD7" i="16"/>
  <c r="AH93" i="16" l="1"/>
  <c r="AI93" i="16"/>
  <c r="B199" i="16"/>
  <c r="AF191" i="16"/>
  <c r="B101" i="16"/>
  <c r="B191" i="16" s="1"/>
  <c r="AF73" i="16"/>
  <c r="AF75" i="16"/>
  <c r="AW213" i="16"/>
  <c r="AE7" i="16"/>
  <c r="AE83" i="16"/>
  <c r="AF83" i="16" l="1"/>
  <c r="AX213" i="16"/>
  <c r="AF7" i="16"/>
  <c r="AH51" i="16"/>
  <c r="AI51" i="16"/>
  <c r="AI52" i="16" l="1"/>
  <c r="AH52" i="16"/>
  <c r="T213" i="16" l="1"/>
  <c r="AH75" i="16"/>
  <c r="AI75" i="16"/>
  <c r="B7" i="16"/>
  <c r="A7" i="16" s="1"/>
  <c r="AI73" i="16"/>
  <c r="AH73" i="16"/>
  <c r="AH83" i="16" l="1"/>
  <c r="AI83" i="16"/>
  <c r="P95" i="15" l="1"/>
  <c r="O95" i="15"/>
  <c r="N95" i="15"/>
  <c r="AH99" i="15" l="1"/>
  <c r="AI99" i="15" s="1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C234" i="15"/>
  <c r="B234" i="15"/>
  <c r="S209" i="15"/>
  <c r="AG199" i="15"/>
  <c r="D199" i="15"/>
  <c r="C199" i="15"/>
  <c r="F198" i="15"/>
  <c r="E234" i="15" s="1"/>
  <c r="E198" i="15"/>
  <c r="D234" i="15" s="1"/>
  <c r="D198" i="15"/>
  <c r="D197" i="15"/>
  <c r="E197" i="15" s="1"/>
  <c r="F197" i="15" s="1"/>
  <c r="G197" i="15" s="1"/>
  <c r="H197" i="15" s="1"/>
  <c r="I197" i="15" s="1"/>
  <c r="J197" i="15" s="1"/>
  <c r="K197" i="15" s="1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B197" i="15" s="1"/>
  <c r="AE196" i="15"/>
  <c r="AF196" i="15" s="1"/>
  <c r="B196" i="15" s="1"/>
  <c r="G196" i="15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E196" i="15"/>
  <c r="F196" i="15" s="1"/>
  <c r="D196" i="15"/>
  <c r="M195" i="15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E195" i="15"/>
  <c r="F195" i="15" s="1"/>
  <c r="G195" i="15" s="1"/>
  <c r="H195" i="15" s="1"/>
  <c r="I195" i="15" s="1"/>
  <c r="J195" i="15" s="1"/>
  <c r="K195" i="15" s="1"/>
  <c r="L195" i="15" s="1"/>
  <c r="D195" i="15"/>
  <c r="G194" i="15"/>
  <c r="H194" i="15" s="1"/>
  <c r="I194" i="15" s="1"/>
  <c r="J194" i="15" s="1"/>
  <c r="K194" i="15" s="1"/>
  <c r="L194" i="15" s="1"/>
  <c r="M194" i="15" s="1"/>
  <c r="N194" i="15" s="1"/>
  <c r="O194" i="15" s="1"/>
  <c r="P194" i="15" s="1"/>
  <c r="Q194" i="15" s="1"/>
  <c r="R194" i="15" s="1"/>
  <c r="S194" i="15" s="1"/>
  <c r="T194" i="15" s="1"/>
  <c r="U194" i="15" s="1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B194" i="15" s="1"/>
  <c r="F194" i="15"/>
  <c r="E194" i="15"/>
  <c r="D194" i="15"/>
  <c r="E193" i="15"/>
  <c r="F193" i="15" s="1"/>
  <c r="D193" i="15"/>
  <c r="AG191" i="15"/>
  <c r="C191" i="15"/>
  <c r="G190" i="15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E190" i="15"/>
  <c r="F190" i="15" s="1"/>
  <c r="D190" i="15"/>
  <c r="H189" i="15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E189" i="15"/>
  <c r="F189" i="15" s="1"/>
  <c r="G189" i="15" s="1"/>
  <c r="D189" i="15"/>
  <c r="AE188" i="15"/>
  <c r="AF188" i="15" s="1"/>
  <c r="B188" i="15" s="1"/>
  <c r="D188" i="15"/>
  <c r="E188" i="15" s="1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U187" i="15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L187" i="15"/>
  <c r="M187" i="15" s="1"/>
  <c r="N187" i="15" s="1"/>
  <c r="O187" i="15" s="1"/>
  <c r="P187" i="15" s="1"/>
  <c r="Q187" i="15" s="1"/>
  <c r="R187" i="15" s="1"/>
  <c r="S187" i="15" s="1"/>
  <c r="T187" i="15" s="1"/>
  <c r="E187" i="15"/>
  <c r="F187" i="15" s="1"/>
  <c r="G187" i="15" s="1"/>
  <c r="H187" i="15" s="1"/>
  <c r="I187" i="15" s="1"/>
  <c r="J187" i="15" s="1"/>
  <c r="K187" i="15" s="1"/>
  <c r="D187" i="15"/>
  <c r="E186" i="15"/>
  <c r="F186" i="15" s="1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D186" i="15"/>
  <c r="J185" i="15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F185" i="15"/>
  <c r="G185" i="15" s="1"/>
  <c r="H185" i="15" s="1"/>
  <c r="I185" i="15" s="1"/>
  <c r="E185" i="15"/>
  <c r="D185" i="15"/>
  <c r="K184" i="15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G184" i="15"/>
  <c r="H184" i="15" s="1"/>
  <c r="I184" i="15" s="1"/>
  <c r="J184" i="15" s="1"/>
  <c r="D184" i="15"/>
  <c r="E184" i="15" s="1"/>
  <c r="F184" i="15" s="1"/>
  <c r="J183" i="15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D183" i="15"/>
  <c r="E183" i="15" s="1"/>
  <c r="F183" i="15" s="1"/>
  <c r="G183" i="15" s="1"/>
  <c r="H183" i="15" s="1"/>
  <c r="I183" i="15" s="1"/>
  <c r="D182" i="15"/>
  <c r="E182" i="15" s="1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O181" i="15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I181" i="15"/>
  <c r="J181" i="15" s="1"/>
  <c r="K181" i="15" s="1"/>
  <c r="L181" i="15" s="1"/>
  <c r="M181" i="15" s="1"/>
  <c r="N181" i="15" s="1"/>
  <c r="F181" i="15"/>
  <c r="G181" i="15" s="1"/>
  <c r="H181" i="15" s="1"/>
  <c r="E181" i="15"/>
  <c r="D181" i="15"/>
  <c r="D180" i="15"/>
  <c r="E180" i="15" s="1"/>
  <c r="F180" i="15" s="1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L179" i="15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F179" i="15"/>
  <c r="G179" i="15" s="1"/>
  <c r="H179" i="15" s="1"/>
  <c r="I179" i="15" s="1"/>
  <c r="J179" i="15" s="1"/>
  <c r="K179" i="15" s="1"/>
  <c r="D179" i="15"/>
  <c r="E179" i="15" s="1"/>
  <c r="I178" i="15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B178" i="15" s="1"/>
  <c r="E178" i="15"/>
  <c r="F178" i="15" s="1"/>
  <c r="G178" i="15" s="1"/>
  <c r="H178" i="15" s="1"/>
  <c r="D178" i="15"/>
  <c r="AD176" i="15"/>
  <c r="AE176" i="15" s="1"/>
  <c r="AF176" i="15" s="1"/>
  <c r="B176" i="15" s="1"/>
  <c r="I176" i="15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D176" i="15"/>
  <c r="E176" i="15" s="1"/>
  <c r="F176" i="15" s="1"/>
  <c r="G176" i="15" s="1"/>
  <c r="H176" i="15" s="1"/>
  <c r="Z175" i="15"/>
  <c r="AA175" i="15" s="1"/>
  <c r="AB175" i="15" s="1"/>
  <c r="AC175" i="15" s="1"/>
  <c r="AD175" i="15" s="1"/>
  <c r="AE175" i="15" s="1"/>
  <c r="AF175" i="15" s="1"/>
  <c r="J175" i="15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G175" i="15"/>
  <c r="H175" i="15" s="1"/>
  <c r="I175" i="15" s="1"/>
  <c r="D175" i="15"/>
  <c r="E175" i="15" s="1"/>
  <c r="F175" i="15" s="1"/>
  <c r="B175" i="15"/>
  <c r="M174" i="15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E174" i="15"/>
  <c r="F174" i="15" s="1"/>
  <c r="G174" i="15" s="1"/>
  <c r="H174" i="15" s="1"/>
  <c r="I174" i="15" s="1"/>
  <c r="J174" i="15" s="1"/>
  <c r="K174" i="15" s="1"/>
  <c r="L174" i="15" s="1"/>
  <c r="D174" i="15"/>
  <c r="D173" i="15"/>
  <c r="E173" i="15" s="1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M172" i="15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D172" i="15"/>
  <c r="E172" i="15" s="1"/>
  <c r="F172" i="15" s="1"/>
  <c r="G172" i="15" s="1"/>
  <c r="H172" i="15" s="1"/>
  <c r="I172" i="15" s="1"/>
  <c r="J172" i="15" s="1"/>
  <c r="K172" i="15" s="1"/>
  <c r="L172" i="15" s="1"/>
  <c r="J171" i="15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G171" i="15"/>
  <c r="H171" i="15" s="1"/>
  <c r="I171" i="15" s="1"/>
  <c r="D171" i="15"/>
  <c r="E171" i="15" s="1"/>
  <c r="F171" i="15" s="1"/>
  <c r="H170" i="15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E170" i="15"/>
  <c r="F170" i="15" s="1"/>
  <c r="G170" i="15" s="1"/>
  <c r="D170" i="15"/>
  <c r="W169" i="15"/>
  <c r="X169" i="15" s="1"/>
  <c r="Y169" i="15" s="1"/>
  <c r="Z169" i="15" s="1"/>
  <c r="AA169" i="15" s="1"/>
  <c r="AB169" i="15" s="1"/>
  <c r="AC169" i="15" s="1"/>
  <c r="AD169" i="15" s="1"/>
  <c r="AE169" i="15" s="1"/>
  <c r="AF169" i="15" s="1"/>
  <c r="B169" i="15" s="1"/>
  <c r="D169" i="15"/>
  <c r="E169" i="15" s="1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D167" i="15"/>
  <c r="E167" i="15" s="1"/>
  <c r="F167" i="15" s="1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J166" i="15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G166" i="15"/>
  <c r="H166" i="15" s="1"/>
  <c r="I166" i="15" s="1"/>
  <c r="E166" i="15"/>
  <c r="F166" i="15" s="1"/>
  <c r="D166" i="15"/>
  <c r="P165" i="15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E165" i="15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D165" i="15"/>
  <c r="G164" i="15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D164" i="15"/>
  <c r="E164" i="15" s="1"/>
  <c r="F164" i="15" s="1"/>
  <c r="L163" i="15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E163" i="15"/>
  <c r="F163" i="15" s="1"/>
  <c r="G163" i="15" s="1"/>
  <c r="H163" i="15" s="1"/>
  <c r="I163" i="15" s="1"/>
  <c r="J163" i="15" s="1"/>
  <c r="K163" i="15" s="1"/>
  <c r="D163" i="15"/>
  <c r="F162" i="15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E162" i="15"/>
  <c r="D162" i="15"/>
  <c r="I161" i="15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D161" i="15"/>
  <c r="E161" i="15" s="1"/>
  <c r="F161" i="15" s="1"/>
  <c r="G161" i="15" s="1"/>
  <c r="H161" i="15" s="1"/>
  <c r="G160" i="15"/>
  <c r="H160" i="15" s="1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E160" i="15"/>
  <c r="F160" i="15" s="1"/>
  <c r="D160" i="15"/>
  <c r="M159" i="15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H159" i="15"/>
  <c r="I159" i="15" s="1"/>
  <c r="J159" i="15" s="1"/>
  <c r="K159" i="15" s="1"/>
  <c r="L159" i="15" s="1"/>
  <c r="E159" i="15"/>
  <c r="F159" i="15" s="1"/>
  <c r="G159" i="15" s="1"/>
  <c r="D159" i="15"/>
  <c r="N158" i="15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K158" i="15"/>
  <c r="L158" i="15" s="1"/>
  <c r="M158" i="15" s="1"/>
  <c r="F158" i="15"/>
  <c r="G158" i="15" s="1"/>
  <c r="H158" i="15" s="1"/>
  <c r="I158" i="15" s="1"/>
  <c r="J158" i="15" s="1"/>
  <c r="E158" i="15"/>
  <c r="D158" i="15"/>
  <c r="D157" i="15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E156" i="15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B156" i="15" s="1"/>
  <c r="D156" i="15"/>
  <c r="I155" i="15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B155" i="15" s="1"/>
  <c r="H155" i="15"/>
  <c r="E155" i="15"/>
  <c r="F155" i="15" s="1"/>
  <c r="G155" i="15" s="1"/>
  <c r="D155" i="15"/>
  <c r="G153" i="15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F153" i="15"/>
  <c r="E153" i="15"/>
  <c r="D153" i="15"/>
  <c r="M152" i="15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B152" i="15" s="1"/>
  <c r="D152" i="15"/>
  <c r="E152" i="15" s="1"/>
  <c r="F152" i="15" s="1"/>
  <c r="G152" i="15" s="1"/>
  <c r="H152" i="15" s="1"/>
  <c r="I152" i="15" s="1"/>
  <c r="J152" i="15" s="1"/>
  <c r="K152" i="15" s="1"/>
  <c r="L152" i="15" s="1"/>
  <c r="E151" i="15"/>
  <c r="F151" i="15" s="1"/>
  <c r="G151" i="15" s="1"/>
  <c r="H151" i="15" s="1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D151" i="15"/>
  <c r="E150" i="15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B150" i="15" s="1"/>
  <c r="D150" i="15"/>
  <c r="F148" i="15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B148" i="15" s="1"/>
  <c r="E148" i="15"/>
  <c r="D148" i="15"/>
  <c r="T147" i="15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B147" i="15" s="1"/>
  <c r="E147" i="15"/>
  <c r="F147" i="15" s="1"/>
  <c r="G147" i="15" s="1"/>
  <c r="H147" i="15" s="1"/>
  <c r="I147" i="15" s="1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D147" i="15"/>
  <c r="M145" i="15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E145" i="15"/>
  <c r="F145" i="15" s="1"/>
  <c r="G145" i="15" s="1"/>
  <c r="H145" i="15" s="1"/>
  <c r="I145" i="15" s="1"/>
  <c r="J145" i="15" s="1"/>
  <c r="K145" i="15" s="1"/>
  <c r="L145" i="15" s="1"/>
  <c r="D145" i="15"/>
  <c r="AF144" i="15"/>
  <c r="B144" i="15" s="1"/>
  <c r="E144" i="15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D144" i="15"/>
  <c r="AA143" i="15"/>
  <c r="AB143" i="15" s="1"/>
  <c r="AC143" i="15" s="1"/>
  <c r="AD143" i="15" s="1"/>
  <c r="AE143" i="15" s="1"/>
  <c r="AF143" i="15" s="1"/>
  <c r="B143" i="15" s="1"/>
  <c r="O143" i="15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J143" i="15"/>
  <c r="K143" i="15" s="1"/>
  <c r="L143" i="15" s="1"/>
  <c r="M143" i="15" s="1"/>
  <c r="N143" i="15" s="1"/>
  <c r="D143" i="15"/>
  <c r="E143" i="15" s="1"/>
  <c r="F143" i="15" s="1"/>
  <c r="G143" i="15" s="1"/>
  <c r="H143" i="15" s="1"/>
  <c r="I143" i="15" s="1"/>
  <c r="U142" i="15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T142" i="15"/>
  <c r="I142" i="15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H142" i="15"/>
  <c r="D142" i="15"/>
  <c r="E142" i="15" s="1"/>
  <c r="F142" i="15" s="1"/>
  <c r="G142" i="15" s="1"/>
  <c r="D141" i="15"/>
  <c r="E141" i="15" s="1"/>
  <c r="F141" i="15" s="1"/>
  <c r="G141" i="15" s="1"/>
  <c r="H141" i="15" s="1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I140" i="15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E140" i="15"/>
  <c r="F140" i="15" s="1"/>
  <c r="G140" i="15" s="1"/>
  <c r="H140" i="15" s="1"/>
  <c r="D140" i="15"/>
  <c r="G139" i="15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B139" i="15" s="1"/>
  <c r="D139" i="15"/>
  <c r="E139" i="15" s="1"/>
  <c r="F139" i="15" s="1"/>
  <c r="M137" i="15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I137" i="15"/>
  <c r="J137" i="15" s="1"/>
  <c r="K137" i="15" s="1"/>
  <c r="L137" i="15" s="1"/>
  <c r="F137" i="15"/>
  <c r="G137" i="15" s="1"/>
  <c r="H137" i="15" s="1"/>
  <c r="E137" i="15"/>
  <c r="D137" i="15"/>
  <c r="L136" i="15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K136" i="15"/>
  <c r="F136" i="15"/>
  <c r="G136" i="15" s="1"/>
  <c r="H136" i="15" s="1"/>
  <c r="I136" i="15" s="1"/>
  <c r="J136" i="15" s="1"/>
  <c r="D136" i="15"/>
  <c r="E136" i="15" s="1"/>
  <c r="I135" i="15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D135" i="15"/>
  <c r="E135" i="15" s="1"/>
  <c r="F135" i="15" s="1"/>
  <c r="G135" i="15" s="1"/>
  <c r="H135" i="15" s="1"/>
  <c r="H134" i="15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G134" i="15"/>
  <c r="D134" i="15"/>
  <c r="E134" i="15" s="1"/>
  <c r="F134" i="15" s="1"/>
  <c r="F133" i="15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B133" i="15" s="1"/>
  <c r="E133" i="15"/>
  <c r="D133" i="15"/>
  <c r="G132" i="15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F132" i="15"/>
  <c r="D132" i="15"/>
  <c r="E132" i="15" s="1"/>
  <c r="J131" i="15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E131" i="15"/>
  <c r="F131" i="15" s="1"/>
  <c r="G131" i="15" s="1"/>
  <c r="H131" i="15" s="1"/>
  <c r="I131" i="15" s="1"/>
  <c r="D131" i="15"/>
  <c r="J130" i="15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B130" i="15" s="1"/>
  <c r="D130" i="15"/>
  <c r="E130" i="15" s="1"/>
  <c r="F130" i="15" s="1"/>
  <c r="G130" i="15" s="1"/>
  <c r="H130" i="15" s="1"/>
  <c r="I130" i="15" s="1"/>
  <c r="G128" i="15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F128" i="15"/>
  <c r="E128" i="15"/>
  <c r="D128" i="15"/>
  <c r="H127" i="15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F127" i="15"/>
  <c r="G127" i="15" s="1"/>
  <c r="E127" i="15"/>
  <c r="D127" i="15"/>
  <c r="F126" i="15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D126" i="15"/>
  <c r="E126" i="15" s="1"/>
  <c r="G125" i="15"/>
  <c r="H125" i="15" s="1"/>
  <c r="I125" i="15" s="1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D125" i="15"/>
  <c r="E125" i="15" s="1"/>
  <c r="F125" i="15" s="1"/>
  <c r="J124" i="15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E124" i="15"/>
  <c r="F124" i="15" s="1"/>
  <c r="G124" i="15" s="1"/>
  <c r="H124" i="15" s="1"/>
  <c r="I124" i="15" s="1"/>
  <c r="D124" i="15"/>
  <c r="D123" i="15"/>
  <c r="E123" i="15" s="1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J122" i="15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E122" i="15"/>
  <c r="F122" i="15" s="1"/>
  <c r="G122" i="15" s="1"/>
  <c r="H122" i="15" s="1"/>
  <c r="I122" i="15" s="1"/>
  <c r="D122" i="15"/>
  <c r="J121" i="15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H121" i="15"/>
  <c r="I121" i="15" s="1"/>
  <c r="D121" i="15"/>
  <c r="E121" i="15" s="1"/>
  <c r="F121" i="15" s="1"/>
  <c r="G121" i="15" s="1"/>
  <c r="H120" i="15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F120" i="15"/>
  <c r="G120" i="15" s="1"/>
  <c r="E120" i="15"/>
  <c r="D120" i="15"/>
  <c r="F119" i="15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D119" i="15"/>
  <c r="E119" i="15" s="1"/>
  <c r="J118" i="15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E118" i="15"/>
  <c r="F118" i="15" s="1"/>
  <c r="G118" i="15" s="1"/>
  <c r="H118" i="15" s="1"/>
  <c r="I118" i="15" s="1"/>
  <c r="D118" i="15"/>
  <c r="J117" i="15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H117" i="15"/>
  <c r="I117" i="15" s="1"/>
  <c r="D117" i="15"/>
  <c r="E117" i="15" s="1"/>
  <c r="F117" i="15" s="1"/>
  <c r="G117" i="15" s="1"/>
  <c r="H116" i="15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F116" i="15"/>
  <c r="G116" i="15" s="1"/>
  <c r="E116" i="15"/>
  <c r="D116" i="15"/>
  <c r="F115" i="15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D115" i="15"/>
  <c r="E115" i="15" s="1"/>
  <c r="J114" i="15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E114" i="15"/>
  <c r="F114" i="15" s="1"/>
  <c r="G114" i="15" s="1"/>
  <c r="H114" i="15" s="1"/>
  <c r="I114" i="15" s="1"/>
  <c r="D114" i="15"/>
  <c r="R113" i="15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P113" i="15"/>
  <c r="Q113" i="15" s="1"/>
  <c r="K113" i="15"/>
  <c r="L113" i="15" s="1"/>
  <c r="M113" i="15" s="1"/>
  <c r="N113" i="15" s="1"/>
  <c r="O113" i="15" s="1"/>
  <c r="I113" i="15"/>
  <c r="G113" i="15"/>
  <c r="H113" i="15" s="1"/>
  <c r="D113" i="15"/>
  <c r="E113" i="15" s="1"/>
  <c r="F113" i="15" s="1"/>
  <c r="G112" i="15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E112" i="15"/>
  <c r="F112" i="15" s="1"/>
  <c r="D112" i="15"/>
  <c r="K111" i="15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B111" i="15" s="1"/>
  <c r="F111" i="15"/>
  <c r="G111" i="15" s="1"/>
  <c r="H111" i="15" s="1"/>
  <c r="I111" i="15" s="1"/>
  <c r="J111" i="15" s="1"/>
  <c r="E111" i="15"/>
  <c r="D111" i="15"/>
  <c r="D109" i="15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I108" i="15"/>
  <c r="J108" i="15" s="1"/>
  <c r="K108" i="15" s="1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B108" i="15" s="1"/>
  <c r="G108" i="15"/>
  <c r="H108" i="15" s="1"/>
  <c r="D108" i="15"/>
  <c r="E108" i="15" s="1"/>
  <c r="F108" i="15" s="1"/>
  <c r="H106" i="15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G106" i="15"/>
  <c r="E106" i="15"/>
  <c r="F106" i="15" s="1"/>
  <c r="D106" i="15"/>
  <c r="G105" i="15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F105" i="15"/>
  <c r="E105" i="15"/>
  <c r="D105" i="15"/>
  <c r="D104" i="15"/>
  <c r="E104" i="15" s="1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D103" i="15"/>
  <c r="E103" i="15" s="1"/>
  <c r="F103" i="15" s="1"/>
  <c r="G103" i="15" s="1"/>
  <c r="H103" i="15" s="1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B103" i="15" s="1"/>
  <c r="E102" i="15"/>
  <c r="F102" i="15" s="1"/>
  <c r="G102" i="15" s="1"/>
  <c r="D102" i="15"/>
  <c r="G101" i="15"/>
  <c r="F101" i="15"/>
  <c r="E101" i="15"/>
  <c r="D101" i="15"/>
  <c r="AH98" i="15"/>
  <c r="AI98" i="15" s="1"/>
  <c r="AH97" i="15"/>
  <c r="AI97" i="15" s="1"/>
  <c r="AH96" i="15"/>
  <c r="AI96" i="15" s="1"/>
  <c r="AH95" i="15"/>
  <c r="AI95" i="15" s="1"/>
  <c r="AH94" i="15"/>
  <c r="AI94" i="15" s="1"/>
  <c r="F93" i="15"/>
  <c r="E93" i="15"/>
  <c r="D93" i="15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AI81" i="15"/>
  <c r="AH81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C82" i="15" s="1"/>
  <c r="AB76" i="15"/>
  <c r="AB82" i="15" s="1"/>
  <c r="AA76" i="15"/>
  <c r="AA82" i="15" s="1"/>
  <c r="Z76" i="15"/>
  <c r="Y76" i="15"/>
  <c r="X76" i="15"/>
  <c r="W76" i="15"/>
  <c r="W82" i="15" s="1"/>
  <c r="V76" i="15"/>
  <c r="U76" i="15"/>
  <c r="T76" i="15"/>
  <c r="S76" i="15"/>
  <c r="S82" i="15" s="1"/>
  <c r="R76" i="15"/>
  <c r="Q76" i="15"/>
  <c r="P76" i="15"/>
  <c r="O76" i="15"/>
  <c r="N76" i="15"/>
  <c r="M76" i="15"/>
  <c r="L76" i="15"/>
  <c r="L82" i="15" s="1"/>
  <c r="K76" i="15"/>
  <c r="K82" i="15" s="1"/>
  <c r="J76" i="15"/>
  <c r="I76" i="15"/>
  <c r="H76" i="15"/>
  <c r="G76" i="15"/>
  <c r="F76" i="15"/>
  <c r="E76" i="15"/>
  <c r="D76" i="15"/>
  <c r="C76" i="15"/>
  <c r="B76" i="15"/>
  <c r="AI74" i="15"/>
  <c r="AH74" i="15"/>
  <c r="AG72" i="15"/>
  <c r="AG75" i="15" s="1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I71" i="15"/>
  <c r="AH71" i="15"/>
  <c r="AI70" i="15"/>
  <c r="AH70" i="15"/>
  <c r="AI69" i="15"/>
  <c r="AH69" i="15"/>
  <c r="AG68" i="15"/>
  <c r="AG73" i="15" s="1"/>
  <c r="AF68" i="15"/>
  <c r="AE68" i="15"/>
  <c r="AD5" i="15" s="1"/>
  <c r="AD68" i="15"/>
  <c r="AC68" i="15"/>
  <c r="AB5" i="15" s="1"/>
  <c r="AB68" i="15"/>
  <c r="AA68" i="15"/>
  <c r="Z5" i="15" s="1"/>
  <c r="Z68" i="15"/>
  <c r="Y68" i="15"/>
  <c r="X5" i="15" s="1"/>
  <c r="X68" i="15"/>
  <c r="W68" i="15"/>
  <c r="V5" i="15" s="1"/>
  <c r="V68" i="15"/>
  <c r="U5" i="15" s="1"/>
  <c r="U68" i="15"/>
  <c r="T5" i="15" s="1"/>
  <c r="T68" i="15"/>
  <c r="S68" i="15"/>
  <c r="R68" i="15"/>
  <c r="Q5" i="15" s="1"/>
  <c r="Q68" i="15"/>
  <c r="P5" i="15" s="1"/>
  <c r="P68" i="15"/>
  <c r="O5" i="15" s="1"/>
  <c r="O68" i="15"/>
  <c r="N5" i="15" s="1"/>
  <c r="N68" i="15"/>
  <c r="M68" i="15"/>
  <c r="L5" i="15" s="1"/>
  <c r="L68" i="15"/>
  <c r="K68" i="15"/>
  <c r="J68" i="15"/>
  <c r="I5" i="15" s="1"/>
  <c r="I68" i="15"/>
  <c r="H5" i="15" s="1"/>
  <c r="H68" i="15"/>
  <c r="G68" i="15"/>
  <c r="F68" i="15"/>
  <c r="E68" i="15"/>
  <c r="D68" i="15"/>
  <c r="C68" i="15"/>
  <c r="B5" i="15" s="1"/>
  <c r="B68" i="15"/>
  <c r="AF5" i="15" s="1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I55" i="15"/>
  <c r="AH55" i="15"/>
  <c r="AI54" i="15"/>
  <c r="AH54" i="15"/>
  <c r="AI53" i="15"/>
  <c r="AH53" i="15"/>
  <c r="AG52" i="15"/>
  <c r="AG3" i="15" s="1"/>
  <c r="Z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G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G2" i="15" s="1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E5" i="15"/>
  <c r="AC5" i="15"/>
  <c r="Y5" i="15"/>
  <c r="W5" i="15"/>
  <c r="R5" i="15"/>
  <c r="M5" i="15"/>
  <c r="J5" i="15"/>
  <c r="G5" i="15"/>
  <c r="F5" i="15"/>
  <c r="E5" i="15"/>
  <c r="D5" i="15"/>
  <c r="AG4" i="15"/>
  <c r="K4" i="15"/>
  <c r="B4" i="15"/>
  <c r="E4" i="15"/>
  <c r="AF82" i="15" l="1"/>
  <c r="AD82" i="15"/>
  <c r="AE82" i="15"/>
  <c r="Z82" i="15"/>
  <c r="Z75" i="15"/>
  <c r="AR213" i="15" s="1"/>
  <c r="Z73" i="15"/>
  <c r="Y82" i="15"/>
  <c r="X82" i="15"/>
  <c r="V82" i="15"/>
  <c r="U82" i="15"/>
  <c r="T82" i="15"/>
  <c r="T75" i="15"/>
  <c r="AL213" i="15" s="1"/>
  <c r="T73" i="15"/>
  <c r="S73" i="15"/>
  <c r="S75" i="15"/>
  <c r="AK213" i="15" s="1"/>
  <c r="R82" i="15"/>
  <c r="R73" i="15"/>
  <c r="R83" i="15" s="1"/>
  <c r="R75" i="15"/>
  <c r="R7" i="15" s="1"/>
  <c r="Q82" i="15"/>
  <c r="Q75" i="15"/>
  <c r="Q7" i="15" s="1"/>
  <c r="P82" i="15"/>
  <c r="P73" i="15"/>
  <c r="P75" i="15"/>
  <c r="P7" i="15" s="1"/>
  <c r="O82" i="15"/>
  <c r="O73" i="15"/>
  <c r="N82" i="15"/>
  <c r="N75" i="15"/>
  <c r="AF213" i="15" s="1"/>
  <c r="N73" i="15"/>
  <c r="M82" i="15"/>
  <c r="M73" i="15"/>
  <c r="L75" i="15"/>
  <c r="AD213" i="15" s="1"/>
  <c r="L73" i="15"/>
  <c r="K73" i="15"/>
  <c r="K75" i="15"/>
  <c r="AC213" i="15" s="1"/>
  <c r="J82" i="15"/>
  <c r="J73" i="15"/>
  <c r="J75" i="15"/>
  <c r="AB213" i="15" s="1"/>
  <c r="I82" i="15"/>
  <c r="I75" i="15"/>
  <c r="AA213" i="15" s="1"/>
  <c r="H73" i="15"/>
  <c r="H82" i="15"/>
  <c r="H75" i="15"/>
  <c r="H7" i="15" s="1"/>
  <c r="AI80" i="15"/>
  <c r="G82" i="15"/>
  <c r="G73" i="15"/>
  <c r="F75" i="15"/>
  <c r="X213" i="15" s="1"/>
  <c r="F82" i="15"/>
  <c r="F73" i="15"/>
  <c r="F83" i="15" s="1"/>
  <c r="AI78" i="15"/>
  <c r="AI79" i="15"/>
  <c r="E82" i="15"/>
  <c r="AH77" i="15"/>
  <c r="AI77" i="15"/>
  <c r="E73" i="15"/>
  <c r="D82" i="15"/>
  <c r="D75" i="15"/>
  <c r="V213" i="15" s="1"/>
  <c r="D73" i="15"/>
  <c r="C82" i="15"/>
  <c r="AH56" i="15"/>
  <c r="C73" i="15"/>
  <c r="C75" i="15" s="1"/>
  <c r="C7" i="15" s="1"/>
  <c r="AH38" i="15"/>
  <c r="B82" i="15"/>
  <c r="AH80" i="15"/>
  <c r="H4" i="15"/>
  <c r="L83" i="15"/>
  <c r="D83" i="15"/>
  <c r="H102" i="15"/>
  <c r="Z213" i="15"/>
  <c r="AG6" i="15"/>
  <c r="F191" i="15"/>
  <c r="AI38" i="15"/>
  <c r="AH68" i="15"/>
  <c r="AG83" i="15"/>
  <c r="G191" i="15"/>
  <c r="C5" i="15"/>
  <c r="K5" i="15"/>
  <c r="S5" i="15"/>
  <c r="AA5" i="15"/>
  <c r="AI56" i="15"/>
  <c r="AI68" i="15"/>
  <c r="AI72" i="15"/>
  <c r="I73" i="15"/>
  <c r="Q73" i="15"/>
  <c r="E75" i="15"/>
  <c r="M75" i="15"/>
  <c r="AH78" i="15"/>
  <c r="H101" i="15"/>
  <c r="AH79" i="15"/>
  <c r="AH76" i="15"/>
  <c r="G75" i="15"/>
  <c r="G83" i="15" s="1"/>
  <c r="O75" i="15"/>
  <c r="S210" i="15"/>
  <c r="D210" i="15"/>
  <c r="L7" i="15"/>
  <c r="AH72" i="15"/>
  <c r="AI76" i="15"/>
  <c r="F7" i="15"/>
  <c r="E191" i="15"/>
  <c r="D191" i="15"/>
  <c r="G193" i="15"/>
  <c r="F199" i="15"/>
  <c r="E199" i="15"/>
  <c r="G198" i="15"/>
  <c r="P95" i="14"/>
  <c r="O95" i="14"/>
  <c r="AH213" i="15" l="1"/>
  <c r="Z83" i="15"/>
  <c r="Z7" i="15"/>
  <c r="T83" i="15"/>
  <c r="T7" i="15"/>
  <c r="S7" i="15"/>
  <c r="S83" i="15"/>
  <c r="AJ213" i="15"/>
  <c r="AI213" i="15"/>
  <c r="Q83" i="15"/>
  <c r="P83" i="15"/>
  <c r="O83" i="15"/>
  <c r="N7" i="15"/>
  <c r="N83" i="15"/>
  <c r="K83" i="15"/>
  <c r="K7" i="15"/>
  <c r="J7" i="15"/>
  <c r="J83" i="15"/>
  <c r="I7" i="15"/>
  <c r="I83" i="15"/>
  <c r="H83" i="15"/>
  <c r="AH82" i="15"/>
  <c r="AI82" i="15"/>
  <c r="D7" i="15"/>
  <c r="C83" i="15"/>
  <c r="U213" i="15"/>
  <c r="F234" i="15"/>
  <c r="H198" i="15"/>
  <c r="H191" i="15"/>
  <c r="I101" i="15"/>
  <c r="AE213" i="15"/>
  <c r="M7" i="15"/>
  <c r="W213" i="15"/>
  <c r="E7" i="15"/>
  <c r="AG213" i="15"/>
  <c r="O7" i="15"/>
  <c r="H193" i="15"/>
  <c r="G199" i="15"/>
  <c r="Y213" i="15"/>
  <c r="C208" i="15"/>
  <c r="B208" i="15"/>
  <c r="G7" i="15"/>
  <c r="I102" i="15"/>
  <c r="G93" i="15"/>
  <c r="M83" i="15"/>
  <c r="E83" i="15"/>
  <c r="J56" i="14"/>
  <c r="E56" i="14"/>
  <c r="AH99" i="14"/>
  <c r="AI99" i="14" s="1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B234" i="14"/>
  <c r="S209" i="14"/>
  <c r="AG199" i="14"/>
  <c r="C199" i="14"/>
  <c r="D198" i="14"/>
  <c r="D197" i="14"/>
  <c r="E197" i="14" s="1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D196" i="14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D195" i="14"/>
  <c r="E195" i="14" s="1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B195" i="14" s="1"/>
  <c r="D194" i="14"/>
  <c r="E194" i="14" s="1"/>
  <c r="F194" i="14" s="1"/>
  <c r="G194" i="14" s="1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U194" i="14" s="1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B194" i="14" s="1"/>
  <c r="D193" i="14"/>
  <c r="E193" i="14" s="1"/>
  <c r="F193" i="14" s="1"/>
  <c r="G193" i="14" s="1"/>
  <c r="AG191" i="14"/>
  <c r="C191" i="14"/>
  <c r="P190" i="14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B190" i="14" s="1"/>
  <c r="D190" i="14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D189" i="14"/>
  <c r="E189" i="14" s="1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P188" i="14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D188" i="14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D187" i="14"/>
  <c r="E187" i="14" s="1"/>
  <c r="F187" i="14" s="1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B187" i="14" s="1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D185" i="14"/>
  <c r="E185" i="14" s="1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D184" i="14"/>
  <c r="E184" i="14" s="1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E183" i="14"/>
  <c r="F183" i="14" s="1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D183" i="14"/>
  <c r="D182" i="14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E181" i="14"/>
  <c r="F181" i="14" s="1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D181" i="14"/>
  <c r="D180" i="14"/>
  <c r="E180" i="14" s="1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B180" i="14" s="1"/>
  <c r="E179" i="14"/>
  <c r="F179" i="14" s="1"/>
  <c r="G179" i="14" s="1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D179" i="14"/>
  <c r="D178" i="14"/>
  <c r="E178" i="14" s="1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B178" i="14" s="1"/>
  <c r="F176" i="14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B176" i="14" s="1"/>
  <c r="D176" i="14"/>
  <c r="E176" i="14" s="1"/>
  <c r="L175" i="14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I175" i="14"/>
  <c r="J175" i="14" s="1"/>
  <c r="K175" i="14" s="1"/>
  <c r="D175" i="14"/>
  <c r="E175" i="14" s="1"/>
  <c r="F175" i="14" s="1"/>
  <c r="G175" i="14" s="1"/>
  <c r="H175" i="14" s="1"/>
  <c r="D174" i="14"/>
  <c r="E174" i="14" s="1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F173" i="14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E173" i="14"/>
  <c r="D173" i="14"/>
  <c r="D172" i="14"/>
  <c r="E172" i="14" s="1"/>
  <c r="F172" i="14" s="1"/>
  <c r="G172" i="14" s="1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E171" i="14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B171" i="14" s="1"/>
  <c r="D171" i="14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F169" i="14"/>
  <c r="G169" i="14" s="1"/>
  <c r="H169" i="14" s="1"/>
  <c r="I169" i="14" s="1"/>
  <c r="J169" i="14" s="1"/>
  <c r="K169" i="14" s="1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B169" i="14" s="1"/>
  <c r="E169" i="14"/>
  <c r="D169" i="14"/>
  <c r="D167" i="14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B167" i="14" s="1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D165" i="14"/>
  <c r="E165" i="14" s="1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D164" i="14"/>
  <c r="E164" i="14" s="1"/>
  <c r="F164" i="14" s="1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D163" i="14"/>
  <c r="E163" i="14" s="1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E162" i="14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D162" i="14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B161" i="14" s="1"/>
  <c r="D160" i="14"/>
  <c r="E160" i="14" s="1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B160" i="14" s="1"/>
  <c r="M159" i="14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D159" i="14"/>
  <c r="E159" i="14" s="1"/>
  <c r="F159" i="14" s="1"/>
  <c r="G159" i="14" s="1"/>
  <c r="H159" i="14" s="1"/>
  <c r="I159" i="14" s="1"/>
  <c r="J159" i="14" s="1"/>
  <c r="K159" i="14" s="1"/>
  <c r="L159" i="14" s="1"/>
  <c r="E158" i="14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B158" i="14" s="1"/>
  <c r="D158" i="14"/>
  <c r="D157" i="14"/>
  <c r="E157" i="14" s="1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F156" i="14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D156" i="14"/>
  <c r="E156" i="14" s="1"/>
  <c r="E155" i="14"/>
  <c r="F155" i="14" s="1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B155" i="14" s="1"/>
  <c r="D155" i="14"/>
  <c r="D153" i="14"/>
  <c r="E153" i="14" s="1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B153" i="14" s="1"/>
  <c r="H152" i="14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B152" i="14" s="1"/>
  <c r="D152" i="14"/>
  <c r="E152" i="14" s="1"/>
  <c r="F152" i="14" s="1"/>
  <c r="G152" i="14" s="1"/>
  <c r="F151" i="14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D151" i="14"/>
  <c r="E151" i="14" s="1"/>
  <c r="D150" i="14"/>
  <c r="E150" i="14" s="1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B150" i="14" s="1"/>
  <c r="E148" i="14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B148" i="14" s="1"/>
  <c r="D148" i="14"/>
  <c r="D147" i="14"/>
  <c r="E147" i="14" s="1"/>
  <c r="F147" i="14" s="1"/>
  <c r="G147" i="14" s="1"/>
  <c r="H147" i="14" s="1"/>
  <c r="I147" i="14" s="1"/>
  <c r="J147" i="14" s="1"/>
  <c r="K147" i="14" s="1"/>
  <c r="L147" i="14" s="1"/>
  <c r="M147" i="14" s="1"/>
  <c r="N147" i="14" s="1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B147" i="14" s="1"/>
  <c r="N145" i="14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B145" i="14" s="1"/>
  <c r="E145" i="14"/>
  <c r="F145" i="14" s="1"/>
  <c r="G145" i="14" s="1"/>
  <c r="H145" i="14" s="1"/>
  <c r="I145" i="14" s="1"/>
  <c r="J145" i="14" s="1"/>
  <c r="K145" i="14" s="1"/>
  <c r="L145" i="14" s="1"/>
  <c r="M145" i="14" s="1"/>
  <c r="D145" i="14"/>
  <c r="D144" i="14"/>
  <c r="E144" i="14" s="1"/>
  <c r="F144" i="14" s="1"/>
  <c r="G144" i="14" s="1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B144" i="14" s="1"/>
  <c r="E143" i="14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D143" i="14"/>
  <c r="E142" i="14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D142" i="14"/>
  <c r="D141" i="14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B141" i="14" s="1"/>
  <c r="D140" i="14"/>
  <c r="E140" i="14" s="1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E139" i="14"/>
  <c r="F139" i="14" s="1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B139" i="14" s="1"/>
  <c r="D139" i="14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D136" i="14"/>
  <c r="E136" i="14" s="1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D135" i="14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D134" i="14"/>
  <c r="E134" i="14" s="1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B134" i="14" s="1"/>
  <c r="D133" i="14"/>
  <c r="E133" i="14" s="1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2" i="14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B132" i="14" s="1"/>
  <c r="D131" i="14"/>
  <c r="E131" i="14" s="1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B131" i="14" s="1"/>
  <c r="D130" i="14"/>
  <c r="E130" i="14" s="1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AF130" i="14" s="1"/>
  <c r="B130" i="14" s="1"/>
  <c r="D128" i="14"/>
  <c r="E128" i="14" s="1"/>
  <c r="F128" i="14" s="1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D127" i="14"/>
  <c r="E127" i="14" s="1"/>
  <c r="F127" i="14" s="1"/>
  <c r="G127" i="14" s="1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D126" i="14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D125" i="14"/>
  <c r="E125" i="14" s="1"/>
  <c r="F125" i="14" s="1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D124" i="14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D123" i="14"/>
  <c r="D122" i="14"/>
  <c r="E122" i="14" s="1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X121" i="14"/>
  <c r="Y121" i="14" s="1"/>
  <c r="Z121" i="14" s="1"/>
  <c r="AA121" i="14" s="1"/>
  <c r="AB121" i="14" s="1"/>
  <c r="AC121" i="14" s="1"/>
  <c r="AD121" i="14" s="1"/>
  <c r="AE121" i="14" s="1"/>
  <c r="AF121" i="14" s="1"/>
  <c r="B121" i="14" s="1"/>
  <c r="D121" i="14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D120" i="14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D119" i="14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D117" i="14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D116" i="14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D115" i="14"/>
  <c r="E115" i="14" s="1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E114" i="14"/>
  <c r="F114" i="14" s="1"/>
  <c r="G114" i="14" s="1"/>
  <c r="H114" i="14" s="1"/>
  <c r="I114" i="14" s="1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B114" i="14" s="1"/>
  <c r="D114" i="14"/>
  <c r="K113" i="14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G113" i="14"/>
  <c r="H113" i="14" s="1"/>
  <c r="I113" i="14" s="1"/>
  <c r="D113" i="14"/>
  <c r="E113" i="14" s="1"/>
  <c r="F113" i="14" s="1"/>
  <c r="D112" i="14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D111" i="14"/>
  <c r="E111" i="14" s="1"/>
  <c r="F111" i="14" s="1"/>
  <c r="G111" i="14" s="1"/>
  <c r="H111" i="14" s="1"/>
  <c r="I111" i="14" s="1"/>
  <c r="J111" i="14" s="1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B111" i="14" s="1"/>
  <c r="G109" i="14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D109" i="14"/>
  <c r="E109" i="14" s="1"/>
  <c r="F109" i="14" s="1"/>
  <c r="D108" i="14"/>
  <c r="E108" i="14" s="1"/>
  <c r="F108" i="14" s="1"/>
  <c r="G108" i="14" s="1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B108" i="14" s="1"/>
  <c r="D106" i="14"/>
  <c r="E106" i="14" s="1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E105" i="14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D105" i="14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D103" i="14"/>
  <c r="E103" i="14" s="1"/>
  <c r="F103" i="14" s="1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B103" i="14" s="1"/>
  <c r="D102" i="14"/>
  <c r="E102" i="14" s="1"/>
  <c r="F102" i="14" s="1"/>
  <c r="G102" i="14" s="1"/>
  <c r="D101" i="14"/>
  <c r="AH98" i="14"/>
  <c r="AI98" i="14" s="1"/>
  <c r="AH97" i="14"/>
  <c r="AI97" i="14" s="1"/>
  <c r="AH96" i="14"/>
  <c r="AI96" i="14" s="1"/>
  <c r="AH95" i="14"/>
  <c r="AI95" i="14" s="1"/>
  <c r="AH94" i="14"/>
  <c r="AI94" i="14" s="1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I74" i="14"/>
  <c r="AH74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I71" i="14"/>
  <c r="AH71" i="14"/>
  <c r="AI70" i="14"/>
  <c r="AH70" i="14"/>
  <c r="AI69" i="14"/>
  <c r="AH69" i="14"/>
  <c r="AG68" i="14"/>
  <c r="AF68" i="14"/>
  <c r="AE5" i="14" s="1"/>
  <c r="AE68" i="14"/>
  <c r="AD68" i="14"/>
  <c r="AC68" i="14"/>
  <c r="AB68" i="14"/>
  <c r="AA5" i="14" s="1"/>
  <c r="AA68" i="14"/>
  <c r="Z5" i="14" s="1"/>
  <c r="Z68" i="14"/>
  <c r="Y5" i="14" s="1"/>
  <c r="Y68" i="14"/>
  <c r="X68" i="14"/>
  <c r="W5" i="14" s="1"/>
  <c r="W68" i="14"/>
  <c r="V68" i="14"/>
  <c r="U5" i="14" s="1"/>
  <c r="U68" i="14"/>
  <c r="T68" i="14"/>
  <c r="S5" i="14" s="1"/>
  <c r="S68" i="14"/>
  <c r="R68" i="14"/>
  <c r="Q5" i="14" s="1"/>
  <c r="Q68" i="14"/>
  <c r="P68" i="14"/>
  <c r="O68" i="14"/>
  <c r="N68" i="14"/>
  <c r="M68" i="14"/>
  <c r="L5" i="14" s="1"/>
  <c r="L68" i="14"/>
  <c r="K5" i="14" s="1"/>
  <c r="K68" i="14"/>
  <c r="J5" i="14" s="1"/>
  <c r="J68" i="14"/>
  <c r="I5" i="14" s="1"/>
  <c r="I68" i="14"/>
  <c r="H68" i="14"/>
  <c r="G5" i="14" s="1"/>
  <c r="G68" i="14"/>
  <c r="F68" i="14"/>
  <c r="E5" i="14" s="1"/>
  <c r="E68" i="14"/>
  <c r="D5" i="14" s="1"/>
  <c r="D68" i="14"/>
  <c r="C5" i="14" s="1"/>
  <c r="C68" i="14"/>
  <c r="B5" i="14" s="1"/>
  <c r="B68" i="14"/>
  <c r="AF5" i="14" s="1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G4" i="14" s="1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I56" i="14"/>
  <c r="H56" i="14"/>
  <c r="G56" i="14"/>
  <c r="F56" i="14"/>
  <c r="D56" i="14"/>
  <c r="C56" i="14"/>
  <c r="B56" i="14"/>
  <c r="AI55" i="14"/>
  <c r="AH55" i="14"/>
  <c r="AI54" i="14"/>
  <c r="AH54" i="14"/>
  <c r="AI53" i="14"/>
  <c r="AH53" i="14"/>
  <c r="Z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G51" i="14"/>
  <c r="AG52" i="14" s="1"/>
  <c r="AG3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C5" i="14"/>
  <c r="AB5" i="14"/>
  <c r="T5" i="14"/>
  <c r="M5" i="14"/>
  <c r="K4" i="14"/>
  <c r="B4" i="14"/>
  <c r="E4" i="14"/>
  <c r="K6" i="15" l="1"/>
  <c r="I191" i="15"/>
  <c r="J101" i="15"/>
  <c r="H199" i="15"/>
  <c r="I193" i="15"/>
  <c r="I93" i="15"/>
  <c r="J102" i="15"/>
  <c r="G234" i="15"/>
  <c r="I198" i="15"/>
  <c r="H93" i="15"/>
  <c r="AF82" i="14"/>
  <c r="X82" i="14"/>
  <c r="S82" i="14"/>
  <c r="S75" i="14"/>
  <c r="AK213" i="14" s="1"/>
  <c r="P82" i="14"/>
  <c r="P73" i="14"/>
  <c r="Q73" i="14"/>
  <c r="AG73" i="14"/>
  <c r="Z82" i="14"/>
  <c r="O5" i="14"/>
  <c r="R73" i="14"/>
  <c r="Z73" i="14"/>
  <c r="R82" i="14"/>
  <c r="N73" i="14"/>
  <c r="AA82" i="14"/>
  <c r="L82" i="14"/>
  <c r="AB82" i="14"/>
  <c r="R5" i="14"/>
  <c r="T82" i="14"/>
  <c r="S73" i="14"/>
  <c r="S83" i="14" s="1"/>
  <c r="N82" i="14"/>
  <c r="V82" i="14"/>
  <c r="AD82" i="14"/>
  <c r="D93" i="14"/>
  <c r="M73" i="14"/>
  <c r="O73" i="14"/>
  <c r="D191" i="14"/>
  <c r="T75" i="14"/>
  <c r="AL213" i="14" s="1"/>
  <c r="O75" i="14"/>
  <c r="AG213" i="14" s="1"/>
  <c r="P75" i="14"/>
  <c r="AH213" i="14" s="1"/>
  <c r="K82" i="14"/>
  <c r="K73" i="14"/>
  <c r="AI77" i="14"/>
  <c r="AH77" i="14"/>
  <c r="J82" i="14"/>
  <c r="J73" i="14"/>
  <c r="F82" i="14"/>
  <c r="H82" i="14"/>
  <c r="AH76" i="14"/>
  <c r="E73" i="14"/>
  <c r="AH78" i="14"/>
  <c r="AI78" i="14"/>
  <c r="AI79" i="14"/>
  <c r="D82" i="14"/>
  <c r="AI68" i="14"/>
  <c r="C82" i="14"/>
  <c r="AI56" i="14"/>
  <c r="C73" i="14"/>
  <c r="C75" i="14" s="1"/>
  <c r="U213" i="14" s="1"/>
  <c r="I73" i="14"/>
  <c r="H75" i="14"/>
  <c r="Z213" i="14" s="1"/>
  <c r="G73" i="14"/>
  <c r="F75" i="14"/>
  <c r="F7" i="14" s="1"/>
  <c r="H73" i="14"/>
  <c r="AH38" i="14"/>
  <c r="B82" i="14"/>
  <c r="AH80" i="14"/>
  <c r="H4" i="14"/>
  <c r="C7" i="14"/>
  <c r="H102" i="14"/>
  <c r="T7" i="14"/>
  <c r="AG6" i="14"/>
  <c r="M75" i="14"/>
  <c r="I82" i="14"/>
  <c r="Q82" i="14"/>
  <c r="Y82" i="14"/>
  <c r="E101" i="14"/>
  <c r="E123" i="14"/>
  <c r="F123" i="14" s="1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S210" i="14"/>
  <c r="D210" i="14"/>
  <c r="S7" i="14"/>
  <c r="F5" i="14"/>
  <c r="N5" i="14"/>
  <c r="V5" i="14"/>
  <c r="AD5" i="14"/>
  <c r="D73" i="14"/>
  <c r="L73" i="14"/>
  <c r="T73" i="14"/>
  <c r="D75" i="14"/>
  <c r="N75" i="14"/>
  <c r="AI76" i="14"/>
  <c r="E75" i="14"/>
  <c r="H5" i="14"/>
  <c r="P5" i="14"/>
  <c r="X5" i="14"/>
  <c r="F73" i="14"/>
  <c r="I75" i="14"/>
  <c r="G75" i="14"/>
  <c r="AI80" i="14"/>
  <c r="Q75" i="14"/>
  <c r="AG75" i="14"/>
  <c r="AG83" i="14" s="1"/>
  <c r="E82" i="14"/>
  <c r="M82" i="14"/>
  <c r="U82" i="14"/>
  <c r="AC82" i="14"/>
  <c r="AH79" i="14"/>
  <c r="AI38" i="14"/>
  <c r="AH56" i="14"/>
  <c r="AH68" i="14"/>
  <c r="J75" i="14"/>
  <c r="R75" i="14"/>
  <c r="Z75" i="14"/>
  <c r="Z83" i="14" s="1"/>
  <c r="AH72" i="14"/>
  <c r="L75" i="14"/>
  <c r="C83" i="14"/>
  <c r="AI72" i="14"/>
  <c r="K75" i="14"/>
  <c r="K83" i="14" s="1"/>
  <c r="G82" i="14"/>
  <c r="O82" i="14"/>
  <c r="W82" i="14"/>
  <c r="AE82" i="14"/>
  <c r="D199" i="14"/>
  <c r="H193" i="14"/>
  <c r="C234" i="14"/>
  <c r="E198" i="14"/>
  <c r="O95" i="13"/>
  <c r="D95" i="13"/>
  <c r="AH99" i="13"/>
  <c r="AI99" i="13" s="1"/>
  <c r="C95" i="13"/>
  <c r="B95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C234" i="13"/>
  <c r="B234" i="13"/>
  <c r="S209" i="13"/>
  <c r="AG199" i="13"/>
  <c r="C199" i="13"/>
  <c r="F198" i="13"/>
  <c r="E234" i="13" s="1"/>
  <c r="E198" i="13"/>
  <c r="D234" i="13" s="1"/>
  <c r="D198" i="13"/>
  <c r="D197" i="13"/>
  <c r="E197" i="13" s="1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G196" i="13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E196" i="13"/>
  <c r="F196" i="13" s="1"/>
  <c r="D196" i="13"/>
  <c r="E195" i="13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D195" i="13"/>
  <c r="F194" i="13"/>
  <c r="G194" i="13" s="1"/>
  <c r="H194" i="13" s="1"/>
  <c r="I194" i="13" s="1"/>
  <c r="J194" i="13" s="1"/>
  <c r="K194" i="13" s="1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B194" i="13" s="1"/>
  <c r="E194" i="13"/>
  <c r="D194" i="13"/>
  <c r="D193" i="13"/>
  <c r="E193" i="13" s="1"/>
  <c r="AG191" i="13"/>
  <c r="C191" i="13"/>
  <c r="G190" i="13"/>
  <c r="H190" i="13" s="1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E190" i="13"/>
  <c r="F190" i="13" s="1"/>
  <c r="D190" i="13"/>
  <c r="V189" i="13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K189" i="13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H189" i="13"/>
  <c r="I189" i="13" s="1"/>
  <c r="J189" i="13" s="1"/>
  <c r="F189" i="13"/>
  <c r="G189" i="13" s="1"/>
  <c r="E189" i="13"/>
  <c r="D189" i="13"/>
  <c r="AE188" i="13"/>
  <c r="AF188" i="13" s="1"/>
  <c r="B188" i="13" s="1"/>
  <c r="E188" i="13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D188" i="13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W186" i="13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E186" i="13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D186" i="13"/>
  <c r="Q185" i="13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D185" i="13"/>
  <c r="E185" i="13" s="1"/>
  <c r="F185" i="13" s="1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F184" i="13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D184" i="13"/>
  <c r="E184" i="13" s="1"/>
  <c r="M183" i="13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L183" i="13"/>
  <c r="E183" i="13"/>
  <c r="F183" i="13" s="1"/>
  <c r="G183" i="13" s="1"/>
  <c r="H183" i="13" s="1"/>
  <c r="I183" i="13" s="1"/>
  <c r="J183" i="13" s="1"/>
  <c r="K183" i="13" s="1"/>
  <c r="D183" i="13"/>
  <c r="G182" i="13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F182" i="13"/>
  <c r="E182" i="13"/>
  <c r="D182" i="13"/>
  <c r="D181" i="13"/>
  <c r="E181" i="13" s="1"/>
  <c r="F181" i="13" s="1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D180" i="13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G179" i="13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E179" i="13"/>
  <c r="F179" i="13" s="1"/>
  <c r="D179" i="13"/>
  <c r="H178" i="13"/>
  <c r="I178" i="13" s="1"/>
  <c r="J178" i="13" s="1"/>
  <c r="K178" i="13" s="1"/>
  <c r="L178" i="13" s="1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B178" i="13" s="1"/>
  <c r="G178" i="13"/>
  <c r="E178" i="13"/>
  <c r="F178" i="13" s="1"/>
  <c r="D178" i="13"/>
  <c r="D176" i="13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P175" i="13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N175" i="13"/>
  <c r="O175" i="13" s="1"/>
  <c r="D175" i="13"/>
  <c r="E175" i="13" s="1"/>
  <c r="F175" i="13" s="1"/>
  <c r="G175" i="13" s="1"/>
  <c r="H175" i="13" s="1"/>
  <c r="I175" i="13" s="1"/>
  <c r="J175" i="13" s="1"/>
  <c r="K175" i="13" s="1"/>
  <c r="L175" i="13" s="1"/>
  <c r="M175" i="13" s="1"/>
  <c r="G174" i="13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D174" i="13"/>
  <c r="E174" i="13" s="1"/>
  <c r="F174" i="13" s="1"/>
  <c r="L173" i="13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D173" i="13"/>
  <c r="E173" i="13" s="1"/>
  <c r="F173" i="13" s="1"/>
  <c r="G173" i="13" s="1"/>
  <c r="H173" i="13" s="1"/>
  <c r="I173" i="13" s="1"/>
  <c r="J173" i="13" s="1"/>
  <c r="K173" i="13" s="1"/>
  <c r="AB172" i="13"/>
  <c r="AC172" i="13" s="1"/>
  <c r="AD172" i="13" s="1"/>
  <c r="AE172" i="13" s="1"/>
  <c r="AF172" i="13" s="1"/>
  <c r="B172" i="13" s="1"/>
  <c r="R172" i="13"/>
  <c r="S172" i="13" s="1"/>
  <c r="T172" i="13" s="1"/>
  <c r="U172" i="13" s="1"/>
  <c r="V172" i="13" s="1"/>
  <c r="W172" i="13" s="1"/>
  <c r="X172" i="13" s="1"/>
  <c r="Y172" i="13" s="1"/>
  <c r="Z172" i="13" s="1"/>
  <c r="AA172" i="13" s="1"/>
  <c r="P172" i="13"/>
  <c r="Q172" i="13" s="1"/>
  <c r="D172" i="13"/>
  <c r="E172" i="13" s="1"/>
  <c r="F172" i="13" s="1"/>
  <c r="G172" i="13" s="1"/>
  <c r="H172" i="13" s="1"/>
  <c r="I172" i="13" s="1"/>
  <c r="J172" i="13" s="1"/>
  <c r="K172" i="13" s="1"/>
  <c r="L172" i="13" s="1"/>
  <c r="M172" i="13" s="1"/>
  <c r="N172" i="13" s="1"/>
  <c r="O172" i="13" s="1"/>
  <c r="I171" i="13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F171" i="13"/>
  <c r="G171" i="13" s="1"/>
  <c r="H171" i="13" s="1"/>
  <c r="E171" i="13"/>
  <c r="D171" i="13"/>
  <c r="P170" i="13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O170" i="13"/>
  <c r="H170" i="13"/>
  <c r="I170" i="13" s="1"/>
  <c r="J170" i="13" s="1"/>
  <c r="K170" i="13" s="1"/>
  <c r="L170" i="13" s="1"/>
  <c r="M170" i="13" s="1"/>
  <c r="N170" i="13" s="1"/>
  <c r="G170" i="13"/>
  <c r="D170" i="13"/>
  <c r="E170" i="13" s="1"/>
  <c r="F170" i="13" s="1"/>
  <c r="E169" i="13"/>
  <c r="F169" i="13" s="1"/>
  <c r="G169" i="13" s="1"/>
  <c r="H169" i="13" s="1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B169" i="13" s="1"/>
  <c r="D169" i="13"/>
  <c r="L167" i="13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K167" i="13"/>
  <c r="H167" i="13"/>
  <c r="I167" i="13" s="1"/>
  <c r="J167" i="13" s="1"/>
  <c r="D167" i="13"/>
  <c r="E167" i="13" s="1"/>
  <c r="F167" i="13" s="1"/>
  <c r="G167" i="13" s="1"/>
  <c r="V166" i="13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D166" i="13"/>
  <c r="E166" i="13" s="1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AF165" i="13"/>
  <c r="B165" i="13" s="1"/>
  <c r="L165" i="13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H165" i="13"/>
  <c r="I165" i="13" s="1"/>
  <c r="J165" i="13" s="1"/>
  <c r="K165" i="13" s="1"/>
  <c r="G165" i="13"/>
  <c r="D165" i="13"/>
  <c r="E165" i="13" s="1"/>
  <c r="F165" i="13" s="1"/>
  <c r="W164" i="13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M164" i="13"/>
  <c r="N164" i="13" s="1"/>
  <c r="O164" i="13" s="1"/>
  <c r="P164" i="13" s="1"/>
  <c r="Q164" i="13" s="1"/>
  <c r="R164" i="13" s="1"/>
  <c r="S164" i="13" s="1"/>
  <c r="T164" i="13" s="1"/>
  <c r="U164" i="13" s="1"/>
  <c r="V164" i="13" s="1"/>
  <c r="E164" i="13"/>
  <c r="F164" i="13" s="1"/>
  <c r="G164" i="13" s="1"/>
  <c r="H164" i="13" s="1"/>
  <c r="I164" i="13" s="1"/>
  <c r="J164" i="13" s="1"/>
  <c r="K164" i="13" s="1"/>
  <c r="L164" i="13" s="1"/>
  <c r="D164" i="13"/>
  <c r="P163" i="13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G163" i="13"/>
  <c r="H163" i="13" s="1"/>
  <c r="I163" i="13" s="1"/>
  <c r="J163" i="13" s="1"/>
  <c r="K163" i="13" s="1"/>
  <c r="L163" i="13" s="1"/>
  <c r="M163" i="13" s="1"/>
  <c r="N163" i="13" s="1"/>
  <c r="O163" i="13" s="1"/>
  <c r="D163" i="13"/>
  <c r="E163" i="13" s="1"/>
  <c r="F163" i="13" s="1"/>
  <c r="D162" i="13"/>
  <c r="E162" i="13" s="1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U161" i="13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L161" i="13"/>
  <c r="M161" i="13" s="1"/>
  <c r="N161" i="13" s="1"/>
  <c r="O161" i="13" s="1"/>
  <c r="P161" i="13" s="1"/>
  <c r="Q161" i="13" s="1"/>
  <c r="R161" i="13" s="1"/>
  <c r="S161" i="13" s="1"/>
  <c r="T161" i="13" s="1"/>
  <c r="D161" i="13"/>
  <c r="E161" i="13" s="1"/>
  <c r="F161" i="13" s="1"/>
  <c r="G161" i="13" s="1"/>
  <c r="H161" i="13" s="1"/>
  <c r="I161" i="13" s="1"/>
  <c r="J161" i="13" s="1"/>
  <c r="K161" i="13" s="1"/>
  <c r="F160" i="13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E160" i="13"/>
  <c r="D160" i="13"/>
  <c r="I159" i="13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D159" i="13"/>
  <c r="E159" i="13" s="1"/>
  <c r="F159" i="13" s="1"/>
  <c r="G159" i="13" s="1"/>
  <c r="H159" i="13" s="1"/>
  <c r="D158" i="13"/>
  <c r="E158" i="13" s="1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G157" i="13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E157" i="13"/>
  <c r="F157" i="13" s="1"/>
  <c r="D157" i="13"/>
  <c r="H156" i="13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E156" i="13"/>
  <c r="F156" i="13" s="1"/>
  <c r="G156" i="13" s="1"/>
  <c r="D156" i="13"/>
  <c r="E155" i="13"/>
  <c r="F155" i="13" s="1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B155" i="13" s="1"/>
  <c r="D155" i="13"/>
  <c r="L153" i="13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D153" i="13"/>
  <c r="E153" i="13" s="1"/>
  <c r="F153" i="13" s="1"/>
  <c r="G153" i="13" s="1"/>
  <c r="H153" i="13" s="1"/>
  <c r="I153" i="13" s="1"/>
  <c r="J153" i="13" s="1"/>
  <c r="K153" i="13" s="1"/>
  <c r="H152" i="13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D152" i="13"/>
  <c r="E152" i="13" s="1"/>
  <c r="F152" i="13" s="1"/>
  <c r="G152" i="13" s="1"/>
  <c r="H151" i="13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F151" i="13"/>
  <c r="G151" i="13" s="1"/>
  <c r="D151" i="13"/>
  <c r="E151" i="13" s="1"/>
  <c r="U150" i="13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B150" i="13" s="1"/>
  <c r="F150" i="13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R150" i="13" s="1"/>
  <c r="S150" i="13" s="1"/>
  <c r="T150" i="13" s="1"/>
  <c r="E150" i="13"/>
  <c r="D150" i="13"/>
  <c r="D148" i="13"/>
  <c r="E148" i="13" s="1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I147" i="13"/>
  <c r="J147" i="13" s="1"/>
  <c r="K147" i="13" s="1"/>
  <c r="L147" i="13" s="1"/>
  <c r="M147" i="13" s="1"/>
  <c r="N147" i="13" s="1"/>
  <c r="O147" i="13" s="1"/>
  <c r="P147" i="13" s="1"/>
  <c r="Q147" i="13" s="1"/>
  <c r="R147" i="13" s="1"/>
  <c r="S147" i="13" s="1"/>
  <c r="T147" i="13" s="1"/>
  <c r="U147" i="13" s="1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B147" i="13" s="1"/>
  <c r="H147" i="13"/>
  <c r="D147" i="13"/>
  <c r="E147" i="13" s="1"/>
  <c r="F147" i="13" s="1"/>
  <c r="G147" i="13" s="1"/>
  <c r="G145" i="13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F145" i="13"/>
  <c r="D145" i="13"/>
  <c r="E145" i="13" s="1"/>
  <c r="P144" i="13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L144" i="13"/>
  <c r="M144" i="13" s="1"/>
  <c r="N144" i="13" s="1"/>
  <c r="O144" i="13" s="1"/>
  <c r="F144" i="13"/>
  <c r="G144" i="13" s="1"/>
  <c r="H144" i="13" s="1"/>
  <c r="I144" i="13" s="1"/>
  <c r="J144" i="13" s="1"/>
  <c r="K144" i="13" s="1"/>
  <c r="E144" i="13"/>
  <c r="D144" i="13"/>
  <c r="J143" i="13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F143" i="13"/>
  <c r="G143" i="13" s="1"/>
  <c r="H143" i="13" s="1"/>
  <c r="I143" i="13" s="1"/>
  <c r="D143" i="13"/>
  <c r="E143" i="13" s="1"/>
  <c r="D142" i="13"/>
  <c r="E142" i="13" s="1"/>
  <c r="F142" i="13" s="1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G141" i="13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E141" i="13"/>
  <c r="F141" i="13" s="1"/>
  <c r="D141" i="13"/>
  <c r="E140" i="13"/>
  <c r="F140" i="13" s="1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D140" i="13"/>
  <c r="F139" i="13"/>
  <c r="G139" i="13" s="1"/>
  <c r="H139" i="13" s="1"/>
  <c r="I139" i="13" s="1"/>
  <c r="J139" i="13" s="1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B139" i="13" s="1"/>
  <c r="D139" i="13"/>
  <c r="E139" i="13" s="1"/>
  <c r="I137" i="13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D137" i="13"/>
  <c r="E137" i="13" s="1"/>
  <c r="F137" i="13" s="1"/>
  <c r="G137" i="13" s="1"/>
  <c r="H137" i="13" s="1"/>
  <c r="G136" i="13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E136" i="13"/>
  <c r="F136" i="13" s="1"/>
  <c r="D136" i="13"/>
  <c r="M135" i="13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E135" i="13"/>
  <c r="F135" i="13" s="1"/>
  <c r="G135" i="13" s="1"/>
  <c r="H135" i="13" s="1"/>
  <c r="I135" i="13" s="1"/>
  <c r="J135" i="13" s="1"/>
  <c r="K135" i="13" s="1"/>
  <c r="L135" i="13" s="1"/>
  <c r="D135" i="13"/>
  <c r="Y134" i="13"/>
  <c r="Z134" i="13" s="1"/>
  <c r="AA134" i="13" s="1"/>
  <c r="AB134" i="13" s="1"/>
  <c r="AC134" i="13" s="1"/>
  <c r="AD134" i="13" s="1"/>
  <c r="AE134" i="13" s="1"/>
  <c r="AF134" i="13" s="1"/>
  <c r="B134" i="13" s="1"/>
  <c r="D134" i="13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O133" i="13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D133" i="13"/>
  <c r="E133" i="13" s="1"/>
  <c r="F133" i="13" s="1"/>
  <c r="G133" i="13" s="1"/>
  <c r="H133" i="13" s="1"/>
  <c r="I133" i="13" s="1"/>
  <c r="J133" i="13" s="1"/>
  <c r="K133" i="13" s="1"/>
  <c r="L133" i="13" s="1"/>
  <c r="M133" i="13" s="1"/>
  <c r="N133" i="13" s="1"/>
  <c r="G132" i="13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E132" i="13"/>
  <c r="F132" i="13" s="1"/>
  <c r="D132" i="13"/>
  <c r="M131" i="13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E131" i="13"/>
  <c r="F131" i="13" s="1"/>
  <c r="G131" i="13" s="1"/>
  <c r="H131" i="13" s="1"/>
  <c r="I131" i="13" s="1"/>
  <c r="J131" i="13" s="1"/>
  <c r="K131" i="13" s="1"/>
  <c r="L131" i="13" s="1"/>
  <c r="D131" i="13"/>
  <c r="D130" i="13"/>
  <c r="E130" i="13" s="1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B130" i="13" s="1"/>
  <c r="T128" i="13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F128" i="13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E128" i="13"/>
  <c r="D128" i="13"/>
  <c r="D127" i="13"/>
  <c r="E127" i="13" s="1"/>
  <c r="F127" i="13" s="1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T126" i="13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J126" i="13"/>
  <c r="K126" i="13" s="1"/>
  <c r="L126" i="13" s="1"/>
  <c r="M126" i="13" s="1"/>
  <c r="N126" i="13" s="1"/>
  <c r="O126" i="13" s="1"/>
  <c r="P126" i="13" s="1"/>
  <c r="Q126" i="13" s="1"/>
  <c r="R126" i="13" s="1"/>
  <c r="S126" i="13" s="1"/>
  <c r="D126" i="13"/>
  <c r="E126" i="13" s="1"/>
  <c r="F126" i="13" s="1"/>
  <c r="G126" i="13" s="1"/>
  <c r="H126" i="13" s="1"/>
  <c r="I126" i="13" s="1"/>
  <c r="D125" i="13"/>
  <c r="E125" i="13" s="1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Q124" i="13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G124" i="13"/>
  <c r="H124" i="13" s="1"/>
  <c r="I124" i="13" s="1"/>
  <c r="J124" i="13" s="1"/>
  <c r="K124" i="13" s="1"/>
  <c r="L124" i="13" s="1"/>
  <c r="M124" i="13" s="1"/>
  <c r="N124" i="13" s="1"/>
  <c r="O124" i="13" s="1"/>
  <c r="P124" i="13" s="1"/>
  <c r="D124" i="13"/>
  <c r="E124" i="13" s="1"/>
  <c r="F124" i="13" s="1"/>
  <c r="E123" i="13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D123" i="13"/>
  <c r="N122" i="13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E122" i="13"/>
  <c r="F122" i="13" s="1"/>
  <c r="G122" i="13" s="1"/>
  <c r="H122" i="13" s="1"/>
  <c r="I122" i="13" s="1"/>
  <c r="J122" i="13" s="1"/>
  <c r="K122" i="13" s="1"/>
  <c r="L122" i="13" s="1"/>
  <c r="M122" i="13" s="1"/>
  <c r="D122" i="13"/>
  <c r="E121" i="13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D121" i="13"/>
  <c r="I120" i="13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D120" i="13"/>
  <c r="E120" i="13" s="1"/>
  <c r="F120" i="13" s="1"/>
  <c r="G120" i="13" s="1"/>
  <c r="H120" i="13" s="1"/>
  <c r="I119" i="13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G119" i="13"/>
  <c r="H119" i="13" s="1"/>
  <c r="D119" i="13"/>
  <c r="E119" i="13" s="1"/>
  <c r="F119" i="13" s="1"/>
  <c r="M118" i="13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G118" i="13"/>
  <c r="H118" i="13" s="1"/>
  <c r="I118" i="13" s="1"/>
  <c r="J118" i="13" s="1"/>
  <c r="K118" i="13" s="1"/>
  <c r="L118" i="13" s="1"/>
  <c r="E118" i="13"/>
  <c r="F118" i="13" s="1"/>
  <c r="D118" i="13"/>
  <c r="M117" i="13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K117" i="13"/>
  <c r="L117" i="13" s="1"/>
  <c r="E117" i="13"/>
  <c r="F117" i="13" s="1"/>
  <c r="G117" i="13" s="1"/>
  <c r="H117" i="13" s="1"/>
  <c r="I117" i="13" s="1"/>
  <c r="J117" i="13" s="1"/>
  <c r="D117" i="13"/>
  <c r="Q116" i="13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K116" i="13"/>
  <c r="L116" i="13" s="1"/>
  <c r="M116" i="13" s="1"/>
  <c r="N116" i="13" s="1"/>
  <c r="O116" i="13" s="1"/>
  <c r="P116" i="13" s="1"/>
  <c r="I116" i="13"/>
  <c r="J116" i="13" s="1"/>
  <c r="D116" i="13"/>
  <c r="E116" i="13" s="1"/>
  <c r="F116" i="13" s="1"/>
  <c r="G116" i="13" s="1"/>
  <c r="H116" i="13" s="1"/>
  <c r="D115" i="13"/>
  <c r="E115" i="13" s="1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D114" i="13"/>
  <c r="E114" i="13" s="1"/>
  <c r="F114" i="13" s="1"/>
  <c r="G114" i="13" s="1"/>
  <c r="H114" i="13" s="1"/>
  <c r="I114" i="13" s="1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R113" i="13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N113" i="13"/>
  <c r="O113" i="13" s="1"/>
  <c r="P113" i="13" s="1"/>
  <c r="Q113" i="13" s="1"/>
  <c r="M113" i="13"/>
  <c r="K113" i="13"/>
  <c r="L113" i="13" s="1"/>
  <c r="D113" i="13"/>
  <c r="E113" i="13" s="1"/>
  <c r="F113" i="13" s="1"/>
  <c r="G113" i="13" s="1"/>
  <c r="H113" i="13" s="1"/>
  <c r="I113" i="13" s="1"/>
  <c r="D112" i="13"/>
  <c r="E112" i="13" s="1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E111" i="13"/>
  <c r="F111" i="13" s="1"/>
  <c r="G111" i="13" s="1"/>
  <c r="H111" i="13" s="1"/>
  <c r="I111" i="13" s="1"/>
  <c r="J111" i="13" s="1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B111" i="13" s="1"/>
  <c r="D111" i="13"/>
  <c r="D109" i="13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I108" i="13"/>
  <c r="J108" i="13" s="1"/>
  <c r="K108" i="13" s="1"/>
  <c r="L108" i="13" s="1"/>
  <c r="M108" i="13" s="1"/>
  <c r="N108" i="13" s="1"/>
  <c r="O108" i="13" s="1"/>
  <c r="P108" i="13" s="1"/>
  <c r="Q108" i="13" s="1"/>
  <c r="R108" i="13" s="1"/>
  <c r="S108" i="13" s="1"/>
  <c r="T108" i="13" s="1"/>
  <c r="U108" i="13" s="1"/>
  <c r="V108" i="13" s="1"/>
  <c r="W108" i="13" s="1"/>
  <c r="X108" i="13" s="1"/>
  <c r="Y108" i="13" s="1"/>
  <c r="Z108" i="13" s="1"/>
  <c r="AA108" i="13" s="1"/>
  <c r="AB108" i="13" s="1"/>
  <c r="AC108" i="13" s="1"/>
  <c r="AD108" i="13" s="1"/>
  <c r="AE108" i="13" s="1"/>
  <c r="AF108" i="13" s="1"/>
  <c r="B108" i="13" s="1"/>
  <c r="F108" i="13"/>
  <c r="G108" i="13" s="1"/>
  <c r="H108" i="13" s="1"/>
  <c r="E108" i="13"/>
  <c r="D108" i="13"/>
  <c r="D106" i="13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H105" i="13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F105" i="13"/>
  <c r="G105" i="13" s="1"/>
  <c r="E105" i="13"/>
  <c r="D105" i="13"/>
  <c r="I104" i="13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H104" i="13"/>
  <c r="G104" i="13"/>
  <c r="F104" i="13"/>
  <c r="D104" i="13"/>
  <c r="E104" i="13" s="1"/>
  <c r="E103" i="13"/>
  <c r="F103" i="13" s="1"/>
  <c r="G103" i="13" s="1"/>
  <c r="H103" i="13" s="1"/>
  <c r="I103" i="13" s="1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B103" i="13" s="1"/>
  <c r="D103" i="13"/>
  <c r="E102" i="13"/>
  <c r="D102" i="13"/>
  <c r="D93" i="13" s="1"/>
  <c r="D101" i="13"/>
  <c r="AH98" i="13"/>
  <c r="AI98" i="13" s="1"/>
  <c r="AH97" i="13"/>
  <c r="AI97" i="13" s="1"/>
  <c r="AH96" i="13"/>
  <c r="AI96" i="13" s="1"/>
  <c r="AH95" i="13"/>
  <c r="AI95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AI81" i="13"/>
  <c r="AH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D76" i="13"/>
  <c r="AC76" i="13"/>
  <c r="AC82" i="13" s="1"/>
  <c r="AB76" i="13"/>
  <c r="AA76" i="13"/>
  <c r="Z76" i="13"/>
  <c r="Y76" i="13"/>
  <c r="X76" i="13"/>
  <c r="X82" i="13" s="1"/>
  <c r="W76" i="13"/>
  <c r="V76" i="13"/>
  <c r="U76" i="13"/>
  <c r="T76" i="13"/>
  <c r="S76" i="13"/>
  <c r="S82" i="13" s="1"/>
  <c r="R76" i="13"/>
  <c r="Q76" i="13"/>
  <c r="P76" i="13"/>
  <c r="P82" i="13" s="1"/>
  <c r="O76" i="13"/>
  <c r="N76" i="13"/>
  <c r="M76" i="13"/>
  <c r="L76" i="13"/>
  <c r="L82" i="13" s="1"/>
  <c r="K76" i="13"/>
  <c r="J76" i="13"/>
  <c r="J82" i="13" s="1"/>
  <c r="I76" i="13"/>
  <c r="H76" i="13"/>
  <c r="G76" i="13"/>
  <c r="G82" i="13" s="1"/>
  <c r="F76" i="13"/>
  <c r="E76" i="13"/>
  <c r="D76" i="13"/>
  <c r="C76" i="13"/>
  <c r="B76" i="13"/>
  <c r="AI74" i="13"/>
  <c r="AH74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I71" i="13"/>
  <c r="AH71" i="13"/>
  <c r="AI70" i="13"/>
  <c r="AH70" i="13"/>
  <c r="AI69" i="13"/>
  <c r="AH69" i="13"/>
  <c r="AG68" i="13"/>
  <c r="AF68" i="13"/>
  <c r="AE5" i="13" s="1"/>
  <c r="AE68" i="13"/>
  <c r="AD5" i="13" s="1"/>
  <c r="AD68" i="13"/>
  <c r="AC68" i="13"/>
  <c r="AB68" i="13"/>
  <c r="AA5" i="13" s="1"/>
  <c r="AA68" i="13"/>
  <c r="Z5" i="13" s="1"/>
  <c r="Z68" i="13"/>
  <c r="Y5" i="13" s="1"/>
  <c r="Y68" i="13"/>
  <c r="X5" i="13" s="1"/>
  <c r="X68" i="13"/>
  <c r="W5" i="13" s="1"/>
  <c r="W68" i="13"/>
  <c r="V5" i="13" s="1"/>
  <c r="V68" i="13"/>
  <c r="U5" i="13" s="1"/>
  <c r="U68" i="13"/>
  <c r="T68" i="13"/>
  <c r="S68" i="13"/>
  <c r="R5" i="13" s="1"/>
  <c r="R68" i="13"/>
  <c r="Q5" i="13" s="1"/>
  <c r="Q68" i="13"/>
  <c r="P5" i="13" s="1"/>
  <c r="P68" i="13"/>
  <c r="O68" i="13"/>
  <c r="N68" i="13"/>
  <c r="M68" i="13"/>
  <c r="L68" i="13"/>
  <c r="K5" i="13" s="1"/>
  <c r="K68" i="13"/>
  <c r="J5" i="13" s="1"/>
  <c r="J68" i="13"/>
  <c r="I68" i="13"/>
  <c r="H5" i="13" s="1"/>
  <c r="H68" i="13"/>
  <c r="G5" i="13" s="1"/>
  <c r="G68" i="13"/>
  <c r="F5" i="13" s="1"/>
  <c r="F68" i="13"/>
  <c r="E68" i="13"/>
  <c r="D68" i="13"/>
  <c r="C5" i="13" s="1"/>
  <c r="C68" i="13"/>
  <c r="B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AG52" i="13"/>
  <c r="Z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G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G73" i="13" s="1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P75" i="13" s="1"/>
  <c r="AH213" i="13" s="1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C5" i="13"/>
  <c r="S5" i="13"/>
  <c r="O5" i="13"/>
  <c r="N5" i="13"/>
  <c r="M5" i="13"/>
  <c r="I5" i="13"/>
  <c r="E5" i="13"/>
  <c r="B5" i="13"/>
  <c r="AG4" i="13"/>
  <c r="K4" i="13"/>
  <c r="B4" i="13"/>
  <c r="AG3" i="13"/>
  <c r="AG2" i="13"/>
  <c r="AG6" i="13" s="1"/>
  <c r="AF95" i="12"/>
  <c r="AE95" i="12"/>
  <c r="AD95" i="12"/>
  <c r="AC95" i="12"/>
  <c r="AB95" i="12"/>
  <c r="Y95" i="12"/>
  <c r="X68" i="12"/>
  <c r="W37" i="12"/>
  <c r="V37" i="12"/>
  <c r="U38" i="12"/>
  <c r="U73" i="12" s="1"/>
  <c r="U51" i="12"/>
  <c r="U52" i="12"/>
  <c r="U56" i="12"/>
  <c r="U68" i="12"/>
  <c r="U72" i="12"/>
  <c r="U37" i="12"/>
  <c r="T37" i="12"/>
  <c r="E4" i="13"/>
  <c r="I199" i="15" l="1"/>
  <c r="J193" i="15"/>
  <c r="H234" i="15"/>
  <c r="J198" i="15"/>
  <c r="J191" i="15"/>
  <c r="K101" i="15"/>
  <c r="K102" i="15"/>
  <c r="T83" i="14"/>
  <c r="Q83" i="14"/>
  <c r="P83" i="14"/>
  <c r="N83" i="14"/>
  <c r="P7" i="14"/>
  <c r="O7" i="14"/>
  <c r="E83" i="14"/>
  <c r="O83" i="14"/>
  <c r="J83" i="14"/>
  <c r="I83" i="14"/>
  <c r="F83" i="14"/>
  <c r="X213" i="14"/>
  <c r="H7" i="14"/>
  <c r="H83" i="14"/>
  <c r="D83" i="14"/>
  <c r="L83" i="14"/>
  <c r="G83" i="14"/>
  <c r="D234" i="14"/>
  <c r="F198" i="14"/>
  <c r="E199" i="14"/>
  <c r="AJ213" i="14"/>
  <c r="R7" i="14"/>
  <c r="AB213" i="14"/>
  <c r="J7" i="14"/>
  <c r="AD213" i="14"/>
  <c r="L7" i="14"/>
  <c r="Y213" i="14"/>
  <c r="C208" i="14"/>
  <c r="B208" i="14"/>
  <c r="G7" i="14"/>
  <c r="AE213" i="14"/>
  <c r="M7" i="14"/>
  <c r="I193" i="14"/>
  <c r="AC213" i="14"/>
  <c r="K7" i="14"/>
  <c r="AF213" i="14"/>
  <c r="N7" i="14"/>
  <c r="AA213" i="14"/>
  <c r="I7" i="14"/>
  <c r="V213" i="14"/>
  <c r="D7" i="14"/>
  <c r="R83" i="14"/>
  <c r="AI213" i="14"/>
  <c r="Q7" i="14"/>
  <c r="E93" i="14"/>
  <c r="I102" i="14"/>
  <c r="AI82" i="14"/>
  <c r="W213" i="14"/>
  <c r="E7" i="14"/>
  <c r="E191" i="14"/>
  <c r="F101" i="14"/>
  <c r="M83" i="14"/>
  <c r="AH82" i="14"/>
  <c r="AR213" i="14"/>
  <c r="Z7" i="14"/>
  <c r="AF82" i="13"/>
  <c r="AE82" i="13"/>
  <c r="AD82" i="13"/>
  <c r="AB82" i="13"/>
  <c r="AA82" i="13"/>
  <c r="Z82" i="13"/>
  <c r="Z73" i="13"/>
  <c r="Y82" i="13"/>
  <c r="W82" i="13"/>
  <c r="V82" i="13"/>
  <c r="U82" i="13"/>
  <c r="T82" i="13"/>
  <c r="T73" i="13"/>
  <c r="S73" i="13"/>
  <c r="R73" i="13"/>
  <c r="R82" i="13"/>
  <c r="Q82" i="13"/>
  <c r="Q73" i="13"/>
  <c r="P73" i="13"/>
  <c r="O82" i="13"/>
  <c r="O75" i="13"/>
  <c r="N82" i="13"/>
  <c r="M82" i="13"/>
  <c r="L73" i="13"/>
  <c r="K82" i="13"/>
  <c r="K73" i="13"/>
  <c r="J73" i="13"/>
  <c r="I73" i="13"/>
  <c r="H75" i="13"/>
  <c r="Z213" i="13" s="1"/>
  <c r="H82" i="13"/>
  <c r="G75" i="13"/>
  <c r="T75" i="13"/>
  <c r="AL213" i="13" s="1"/>
  <c r="Z75" i="13"/>
  <c r="AR213" i="13" s="1"/>
  <c r="O73" i="13"/>
  <c r="O83" i="13" s="1"/>
  <c r="R75" i="13"/>
  <c r="R83" i="13" s="1"/>
  <c r="H73" i="13"/>
  <c r="G73" i="13"/>
  <c r="J75" i="13"/>
  <c r="AB213" i="13" s="1"/>
  <c r="L75" i="13"/>
  <c r="L83" i="13" s="1"/>
  <c r="F82" i="13"/>
  <c r="E82" i="13"/>
  <c r="D73" i="13"/>
  <c r="D82" i="13"/>
  <c r="AH68" i="13"/>
  <c r="D75" i="13"/>
  <c r="D7" i="13" s="1"/>
  <c r="AH80" i="13"/>
  <c r="AI80" i="13"/>
  <c r="C82" i="13"/>
  <c r="C73" i="13"/>
  <c r="C75" i="13" s="1"/>
  <c r="U213" i="13" s="1"/>
  <c r="AH56" i="13"/>
  <c r="C83" i="13"/>
  <c r="AF5" i="13"/>
  <c r="AI68" i="13"/>
  <c r="AH78" i="13"/>
  <c r="H4" i="13"/>
  <c r="E75" i="13"/>
  <c r="M75" i="13"/>
  <c r="Y213" i="13"/>
  <c r="G7" i="13"/>
  <c r="AG213" i="13"/>
  <c r="O7" i="13"/>
  <c r="F75" i="13"/>
  <c r="AI56" i="13"/>
  <c r="D5" i="13"/>
  <c r="E73" i="13"/>
  <c r="L5" i="13"/>
  <c r="M73" i="13"/>
  <c r="T5" i="13"/>
  <c r="AB5" i="13"/>
  <c r="AH79" i="13"/>
  <c r="AI79" i="13"/>
  <c r="AI38" i="13"/>
  <c r="F73" i="13"/>
  <c r="N73" i="13"/>
  <c r="P83" i="13"/>
  <c r="AI78" i="13"/>
  <c r="N75" i="13"/>
  <c r="I82" i="13"/>
  <c r="AI77" i="13"/>
  <c r="D210" i="13"/>
  <c r="S210" i="13"/>
  <c r="AI76" i="13"/>
  <c r="E93" i="13"/>
  <c r="I75" i="13"/>
  <c r="Q75" i="13"/>
  <c r="AG75" i="13"/>
  <c r="AG83" i="13" s="1"/>
  <c r="F102" i="13"/>
  <c r="AH38" i="13"/>
  <c r="K75" i="13"/>
  <c r="S75" i="13"/>
  <c r="AH76" i="13"/>
  <c r="B82" i="13"/>
  <c r="D191" i="13"/>
  <c r="H7" i="13"/>
  <c r="P7" i="13"/>
  <c r="AH72" i="13"/>
  <c r="AH77" i="13"/>
  <c r="E101" i="13"/>
  <c r="AI72" i="13"/>
  <c r="F193" i="13"/>
  <c r="E199" i="13"/>
  <c r="G198" i="13"/>
  <c r="D199" i="13"/>
  <c r="K191" i="15" l="1"/>
  <c r="L101" i="15"/>
  <c r="I234" i="15"/>
  <c r="K198" i="15"/>
  <c r="J199" i="15"/>
  <c r="K193" i="15"/>
  <c r="J93" i="15"/>
  <c r="K93" i="15"/>
  <c r="L102" i="15"/>
  <c r="J193" i="14"/>
  <c r="J102" i="14"/>
  <c r="F191" i="14"/>
  <c r="G101" i="14"/>
  <c r="K6" i="14"/>
  <c r="E234" i="14"/>
  <c r="G198" i="14"/>
  <c r="F199" i="14"/>
  <c r="F93" i="14"/>
  <c r="Z83" i="13"/>
  <c r="Z7" i="13"/>
  <c r="T7" i="13"/>
  <c r="T83" i="13"/>
  <c r="R7" i="13"/>
  <c r="AJ213" i="13"/>
  <c r="N83" i="13"/>
  <c r="M83" i="13"/>
  <c r="AD213" i="13"/>
  <c r="L7" i="13"/>
  <c r="K83" i="13"/>
  <c r="J83" i="13"/>
  <c r="J7" i="13"/>
  <c r="C7" i="13"/>
  <c r="G83" i="13"/>
  <c r="H83" i="13"/>
  <c r="F83" i="13"/>
  <c r="E83" i="13"/>
  <c r="D83" i="13"/>
  <c r="V213" i="13"/>
  <c r="AK213" i="13"/>
  <c r="S7" i="13"/>
  <c r="X213" i="13"/>
  <c r="F7" i="13"/>
  <c r="B208" i="13"/>
  <c r="S83" i="13"/>
  <c r="AI213" i="13"/>
  <c r="Q7" i="13"/>
  <c r="F93" i="13"/>
  <c r="G102" i="13"/>
  <c r="AA213" i="13"/>
  <c r="I7" i="13"/>
  <c r="Q83" i="13"/>
  <c r="C208" i="13"/>
  <c r="AE213" i="13"/>
  <c r="M7" i="13"/>
  <c r="AC213" i="13"/>
  <c r="K7" i="13"/>
  <c r="G193" i="13"/>
  <c r="F199" i="13"/>
  <c r="AI82" i="13"/>
  <c r="AH82" i="13"/>
  <c r="I83" i="13"/>
  <c r="H198" i="13"/>
  <c r="F234" i="13"/>
  <c r="W213" i="13"/>
  <c r="E7" i="13"/>
  <c r="E191" i="13"/>
  <c r="F101" i="13"/>
  <c r="AF213" i="13"/>
  <c r="N7" i="13"/>
  <c r="J234" i="15" l="1"/>
  <c r="L198" i="15"/>
  <c r="K199" i="15"/>
  <c r="L193" i="15"/>
  <c r="L191" i="15"/>
  <c r="M101" i="15"/>
  <c r="L93" i="15"/>
  <c r="M102" i="15"/>
  <c r="K102" i="14"/>
  <c r="G191" i="14"/>
  <c r="H101" i="14"/>
  <c r="F234" i="14"/>
  <c r="H198" i="14"/>
  <c r="G93" i="14"/>
  <c r="G199" i="14"/>
  <c r="K193" i="14"/>
  <c r="K6" i="13"/>
  <c r="G93" i="13"/>
  <c r="H102" i="13"/>
  <c r="F191" i="13"/>
  <c r="G101" i="13"/>
  <c r="H193" i="13"/>
  <c r="G199" i="13"/>
  <c r="G234" i="13"/>
  <c r="I198" i="13"/>
  <c r="S37" i="12"/>
  <c r="R37" i="12"/>
  <c r="Q37" i="12"/>
  <c r="M191" i="15" l="1"/>
  <c r="N101" i="15"/>
  <c r="M193" i="15"/>
  <c r="L199" i="15"/>
  <c r="K234" i="15"/>
  <c r="M198" i="15"/>
  <c r="M93" i="15" s="1"/>
  <c r="N102" i="15"/>
  <c r="G234" i="14"/>
  <c r="I198" i="14"/>
  <c r="H199" i="14"/>
  <c r="H93" i="14"/>
  <c r="H191" i="14"/>
  <c r="I101" i="14"/>
  <c r="L193" i="14"/>
  <c r="L102" i="14"/>
  <c r="I193" i="13"/>
  <c r="H199" i="13"/>
  <c r="I102" i="13"/>
  <c r="H93" i="13"/>
  <c r="G191" i="13"/>
  <c r="H101" i="13"/>
  <c r="J198" i="13"/>
  <c r="H234" i="13"/>
  <c r="L234" i="15" l="1"/>
  <c r="N198" i="15"/>
  <c r="N193" i="15"/>
  <c r="M199" i="15"/>
  <c r="N191" i="15"/>
  <c r="O101" i="15"/>
  <c r="O102" i="15"/>
  <c r="N93" i="15"/>
  <c r="I191" i="14"/>
  <c r="J101" i="14"/>
  <c r="H234" i="14"/>
  <c r="J198" i="14"/>
  <c r="I199" i="14"/>
  <c r="I93" i="14"/>
  <c r="M102" i="14"/>
  <c r="M193" i="14"/>
  <c r="H191" i="13"/>
  <c r="I101" i="13"/>
  <c r="I234" i="13"/>
  <c r="K198" i="13"/>
  <c r="I93" i="13"/>
  <c r="J102" i="13"/>
  <c r="I199" i="13"/>
  <c r="J193" i="13"/>
  <c r="O191" i="15" l="1"/>
  <c r="P101" i="15"/>
  <c r="O193" i="15"/>
  <c r="N199" i="15"/>
  <c r="M234" i="15"/>
  <c r="O198" i="15"/>
  <c r="P102" i="15"/>
  <c r="O93" i="15"/>
  <c r="N102" i="14"/>
  <c r="K198" i="14"/>
  <c r="I234" i="14"/>
  <c r="J199" i="14"/>
  <c r="J93" i="14"/>
  <c r="N193" i="14"/>
  <c r="J191" i="14"/>
  <c r="K101" i="14"/>
  <c r="K102" i="13"/>
  <c r="J93" i="13"/>
  <c r="L198" i="13"/>
  <c r="J234" i="13"/>
  <c r="I191" i="13"/>
  <c r="J101" i="13"/>
  <c r="J199" i="13"/>
  <c r="K193" i="13"/>
  <c r="Q102" i="15" l="1"/>
  <c r="P93" i="15"/>
  <c r="N234" i="15"/>
  <c r="P198" i="15"/>
  <c r="P193" i="15"/>
  <c r="O199" i="15"/>
  <c r="P191" i="15"/>
  <c r="Q101" i="15"/>
  <c r="O193" i="14"/>
  <c r="J234" i="14"/>
  <c r="L198" i="14"/>
  <c r="K93" i="14"/>
  <c r="K199" i="14"/>
  <c r="K191" i="14"/>
  <c r="L101" i="14"/>
  <c r="O102" i="14"/>
  <c r="K199" i="13"/>
  <c r="L193" i="13"/>
  <c r="J191" i="13"/>
  <c r="K101" i="13"/>
  <c r="M198" i="13"/>
  <c r="K234" i="13"/>
  <c r="L102" i="13"/>
  <c r="K93" i="13"/>
  <c r="O234" i="15" l="1"/>
  <c r="Q198" i="15"/>
  <c r="Q191" i="15"/>
  <c r="R101" i="15"/>
  <c r="P199" i="15"/>
  <c r="Q193" i="15"/>
  <c r="Q93" i="15"/>
  <c r="R102" i="15"/>
  <c r="K234" i="14"/>
  <c r="M198" i="14"/>
  <c r="L93" i="14"/>
  <c r="L199" i="14"/>
  <c r="L191" i="14"/>
  <c r="M101" i="14"/>
  <c r="P102" i="14"/>
  <c r="P193" i="14"/>
  <c r="N198" i="13"/>
  <c r="L234" i="13"/>
  <c r="K191" i="13"/>
  <c r="L101" i="13"/>
  <c r="L93" i="13"/>
  <c r="M102" i="13"/>
  <c r="L199" i="13"/>
  <c r="M193" i="13"/>
  <c r="S102" i="15" l="1"/>
  <c r="Q199" i="15"/>
  <c r="R193" i="15"/>
  <c r="R191" i="15"/>
  <c r="S101" i="15"/>
  <c r="P234" i="15"/>
  <c r="R198" i="15"/>
  <c r="Q102" i="14"/>
  <c r="M191" i="14"/>
  <c r="N101" i="14"/>
  <c r="L234" i="14"/>
  <c r="N198" i="14"/>
  <c r="M93" i="14"/>
  <c r="M199" i="14"/>
  <c r="Q193" i="14"/>
  <c r="N193" i="13"/>
  <c r="M199" i="13"/>
  <c r="M93" i="13"/>
  <c r="N102" i="13"/>
  <c r="L191" i="13"/>
  <c r="M101" i="13"/>
  <c r="M234" i="13"/>
  <c r="O198" i="13"/>
  <c r="Q234" i="15" l="1"/>
  <c r="S198" i="15"/>
  <c r="R199" i="15"/>
  <c r="S193" i="15"/>
  <c r="S191" i="15"/>
  <c r="T101" i="15"/>
  <c r="R93" i="15"/>
  <c r="S93" i="15"/>
  <c r="T102" i="15"/>
  <c r="N191" i="14"/>
  <c r="O101" i="14"/>
  <c r="M234" i="14"/>
  <c r="O198" i="14"/>
  <c r="N93" i="14"/>
  <c r="N199" i="14"/>
  <c r="R193" i="14"/>
  <c r="R102" i="14"/>
  <c r="P198" i="13"/>
  <c r="N234" i="13"/>
  <c r="M191" i="13"/>
  <c r="N101" i="13"/>
  <c r="N93" i="13"/>
  <c r="O102" i="13"/>
  <c r="O193" i="13"/>
  <c r="N199" i="13"/>
  <c r="T191" i="15" l="1"/>
  <c r="U101" i="15"/>
  <c r="R234" i="15"/>
  <c r="T198" i="15"/>
  <c r="S199" i="15"/>
  <c r="T193" i="15"/>
  <c r="T93" i="15"/>
  <c r="U102" i="15"/>
  <c r="S193" i="14"/>
  <c r="N234" i="14"/>
  <c r="P198" i="14"/>
  <c r="O199" i="14"/>
  <c r="O93" i="14"/>
  <c r="S102" i="14"/>
  <c r="O191" i="14"/>
  <c r="P101" i="14"/>
  <c r="O93" i="13"/>
  <c r="P102" i="13"/>
  <c r="N191" i="13"/>
  <c r="O101" i="13"/>
  <c r="P193" i="13"/>
  <c r="O199" i="13"/>
  <c r="O234" i="13"/>
  <c r="Q198" i="13"/>
  <c r="V102" i="15" l="1"/>
  <c r="U93" i="15"/>
  <c r="U193" i="15"/>
  <c r="T199" i="15"/>
  <c r="S234" i="15"/>
  <c r="U198" i="15"/>
  <c r="U191" i="15"/>
  <c r="V101" i="15"/>
  <c r="T102" i="14"/>
  <c r="P191" i="14"/>
  <c r="Q101" i="14"/>
  <c r="T193" i="14"/>
  <c r="O234" i="14"/>
  <c r="Q198" i="14"/>
  <c r="P199" i="14"/>
  <c r="P93" i="14"/>
  <c r="O191" i="13"/>
  <c r="P101" i="13"/>
  <c r="R198" i="13"/>
  <c r="P234" i="13"/>
  <c r="Q193" i="13"/>
  <c r="P199" i="13"/>
  <c r="Q102" i="13"/>
  <c r="P93" i="13"/>
  <c r="V191" i="15" l="1"/>
  <c r="W101" i="15"/>
  <c r="T234" i="15"/>
  <c r="V198" i="15"/>
  <c r="V193" i="15"/>
  <c r="U199" i="15"/>
  <c r="U51" i="15" s="1"/>
  <c r="U52" i="15" s="1"/>
  <c r="W102" i="15"/>
  <c r="V93" i="15"/>
  <c r="P234" i="14"/>
  <c r="R198" i="14"/>
  <c r="Q93" i="14"/>
  <c r="Q199" i="14"/>
  <c r="Q191" i="14"/>
  <c r="R101" i="14"/>
  <c r="U193" i="14"/>
  <c r="U102" i="14"/>
  <c r="Q199" i="13"/>
  <c r="R193" i="13"/>
  <c r="Q234" i="13"/>
  <c r="S198" i="13"/>
  <c r="Q93" i="13"/>
  <c r="R102" i="13"/>
  <c r="P191" i="13"/>
  <c r="Q101" i="13"/>
  <c r="X102" i="15" l="1"/>
  <c r="W191" i="15"/>
  <c r="X101" i="15"/>
  <c r="U73" i="15"/>
  <c r="U75" i="15"/>
  <c r="W193" i="15"/>
  <c r="V199" i="15"/>
  <c r="V51" i="15" s="1"/>
  <c r="V52" i="15" s="1"/>
  <c r="U234" i="15"/>
  <c r="W198" i="15"/>
  <c r="V193" i="14"/>
  <c r="R191" i="14"/>
  <c r="S101" i="14"/>
  <c r="S198" i="14"/>
  <c r="Q234" i="14"/>
  <c r="R199" i="14"/>
  <c r="R93" i="14"/>
  <c r="V102" i="14"/>
  <c r="Q191" i="13"/>
  <c r="R101" i="13"/>
  <c r="S102" i="13"/>
  <c r="R93" i="13"/>
  <c r="S193" i="13"/>
  <c r="R199" i="13"/>
  <c r="T198" i="13"/>
  <c r="R234" i="13"/>
  <c r="U83" i="15" l="1"/>
  <c r="V75" i="15"/>
  <c r="V73" i="15"/>
  <c r="V83" i="15" s="1"/>
  <c r="X193" i="15"/>
  <c r="W199" i="15"/>
  <c r="W51" i="15" s="1"/>
  <c r="W52" i="15" s="1"/>
  <c r="AM213" i="15"/>
  <c r="U7" i="15"/>
  <c r="X191" i="15"/>
  <c r="Y101" i="15"/>
  <c r="V234" i="15"/>
  <c r="X198" i="15"/>
  <c r="W93" i="15"/>
  <c r="Y102" i="15"/>
  <c r="X93" i="15"/>
  <c r="R234" i="14"/>
  <c r="T198" i="14"/>
  <c r="S93" i="14"/>
  <c r="S199" i="14"/>
  <c r="S191" i="14"/>
  <c r="T101" i="14"/>
  <c r="W102" i="14"/>
  <c r="W193" i="14"/>
  <c r="S234" i="13"/>
  <c r="U198" i="13"/>
  <c r="S199" i="13"/>
  <c r="T193" i="13"/>
  <c r="T102" i="13"/>
  <c r="S93" i="13"/>
  <c r="R191" i="13"/>
  <c r="S101" i="13"/>
  <c r="Y191" i="15" l="1"/>
  <c r="Z101" i="15"/>
  <c r="Z102" i="15"/>
  <c r="W73" i="15"/>
  <c r="W75" i="15"/>
  <c r="X199" i="15"/>
  <c r="X52" i="15" s="1"/>
  <c r="Y193" i="15"/>
  <c r="W234" i="15"/>
  <c r="Y198" i="15"/>
  <c r="AN213" i="15"/>
  <c r="V7" i="15"/>
  <c r="X102" i="14"/>
  <c r="T191" i="14"/>
  <c r="U101" i="14"/>
  <c r="S234" i="14"/>
  <c r="U198" i="14"/>
  <c r="T93" i="14"/>
  <c r="T199" i="14"/>
  <c r="X193" i="14"/>
  <c r="S191" i="13"/>
  <c r="T101" i="13"/>
  <c r="U102" i="13"/>
  <c r="T93" i="13"/>
  <c r="U193" i="13"/>
  <c r="T199" i="13"/>
  <c r="T234" i="13"/>
  <c r="V198" i="13"/>
  <c r="Y199" i="15" l="1"/>
  <c r="Y51" i="15" s="1"/>
  <c r="Y52" i="15" s="1"/>
  <c r="Z193" i="15"/>
  <c r="AA102" i="15"/>
  <c r="W83" i="15"/>
  <c r="X234" i="15"/>
  <c r="Z198" i="15"/>
  <c r="Z93" i="15" s="1"/>
  <c r="Z191" i="15"/>
  <c r="AA101" i="15"/>
  <c r="X73" i="15"/>
  <c r="X75" i="15"/>
  <c r="AO213" i="15"/>
  <c r="W7" i="15"/>
  <c r="Y93" i="15"/>
  <c r="T234" i="14"/>
  <c r="V198" i="14"/>
  <c r="U93" i="14"/>
  <c r="U199" i="14"/>
  <c r="U51" i="14" s="1"/>
  <c r="U52" i="14" s="1"/>
  <c r="U191" i="14"/>
  <c r="V101" i="14"/>
  <c r="Y193" i="14"/>
  <c r="Y102" i="14"/>
  <c r="V193" i="13"/>
  <c r="U199" i="13"/>
  <c r="U51" i="13" s="1"/>
  <c r="U52" i="13" s="1"/>
  <c r="U234" i="13"/>
  <c r="W198" i="13"/>
  <c r="U93" i="13"/>
  <c r="V102" i="13"/>
  <c r="T191" i="13"/>
  <c r="U101" i="13"/>
  <c r="X83" i="15" l="1"/>
  <c r="AP213" i="15"/>
  <c r="X7" i="15"/>
  <c r="AB102" i="15"/>
  <c r="Z199" i="15"/>
  <c r="AA193" i="15"/>
  <c r="AA93" i="15" s="1"/>
  <c r="Y234" i="15"/>
  <c r="AA198" i="15"/>
  <c r="AA191" i="15"/>
  <c r="AB101" i="15"/>
  <c r="Y75" i="15"/>
  <c r="Y73" i="15"/>
  <c r="Y83" i="15" s="1"/>
  <c r="Z193" i="14"/>
  <c r="V191" i="14"/>
  <c r="W101" i="14"/>
  <c r="U73" i="14"/>
  <c r="U75" i="14"/>
  <c r="U234" i="14"/>
  <c r="W198" i="14"/>
  <c r="V199" i="14"/>
  <c r="V51" i="14" s="1"/>
  <c r="V52" i="14" s="1"/>
  <c r="V93" i="14"/>
  <c r="Z102" i="14"/>
  <c r="U191" i="13"/>
  <c r="V101" i="13"/>
  <c r="V93" i="13"/>
  <c r="W102" i="13"/>
  <c r="X198" i="13"/>
  <c r="V234" i="13"/>
  <c r="U73" i="13"/>
  <c r="U75" i="13"/>
  <c r="V199" i="13"/>
  <c r="V51" i="13" s="1"/>
  <c r="V52" i="13" s="1"/>
  <c r="W193" i="13"/>
  <c r="Z234" i="15" l="1"/>
  <c r="AB198" i="15"/>
  <c r="AA199" i="15"/>
  <c r="AA51" i="15" s="1"/>
  <c r="AA52" i="15" s="1"/>
  <c r="AB193" i="15"/>
  <c r="AQ213" i="15"/>
  <c r="Y7" i="15"/>
  <c r="AB93" i="15"/>
  <c r="AC102" i="15"/>
  <c r="AB191" i="15"/>
  <c r="AC101" i="15"/>
  <c r="AM213" i="14"/>
  <c r="U7" i="14"/>
  <c r="AA102" i="14"/>
  <c r="W191" i="14"/>
  <c r="X101" i="14"/>
  <c r="V234" i="14"/>
  <c r="X198" i="14"/>
  <c r="W199" i="14"/>
  <c r="W51" i="14" s="1"/>
  <c r="W52" i="14" s="1"/>
  <c r="W93" i="14"/>
  <c r="AA193" i="14"/>
  <c r="U83" i="14"/>
  <c r="V75" i="14"/>
  <c r="V73" i="14"/>
  <c r="U83" i="13"/>
  <c r="W234" i="13"/>
  <c r="Y198" i="13"/>
  <c r="W93" i="13"/>
  <c r="X102" i="13"/>
  <c r="AM213" i="13"/>
  <c r="U7" i="13"/>
  <c r="X193" i="13"/>
  <c r="W199" i="13"/>
  <c r="W51" i="13" s="1"/>
  <c r="W52" i="13" s="1"/>
  <c r="V191" i="13"/>
  <c r="W101" i="13"/>
  <c r="V73" i="13"/>
  <c r="V75" i="13"/>
  <c r="AD102" i="15" l="1"/>
  <c r="AA75" i="15"/>
  <c r="AA73" i="15"/>
  <c r="AA83" i="15" s="1"/>
  <c r="AC191" i="15"/>
  <c r="AD101" i="15"/>
  <c r="AA234" i="15"/>
  <c r="AC198" i="15"/>
  <c r="AC193" i="15"/>
  <c r="AB199" i="15"/>
  <c r="AB51" i="15" s="1"/>
  <c r="AB52" i="15" s="1"/>
  <c r="V83" i="14"/>
  <c r="AN213" i="14"/>
  <c r="V7" i="14"/>
  <c r="X191" i="14"/>
  <c r="Y101" i="14"/>
  <c r="W234" i="14"/>
  <c r="Y198" i="14"/>
  <c r="X93" i="14"/>
  <c r="X199" i="14"/>
  <c r="X52" i="14" s="1"/>
  <c r="AB193" i="14"/>
  <c r="AB102" i="14"/>
  <c r="W73" i="14"/>
  <c r="W75" i="14"/>
  <c r="Y102" i="13"/>
  <c r="X93" i="13"/>
  <c r="X199" i="13"/>
  <c r="X52" i="13" s="1"/>
  <c r="Y193" i="13"/>
  <c r="V83" i="13"/>
  <c r="AN213" i="13"/>
  <c r="V7" i="13"/>
  <c r="W191" i="13"/>
  <c r="X101" i="13"/>
  <c r="Z198" i="13"/>
  <c r="X234" i="13"/>
  <c r="W75" i="13"/>
  <c r="W73" i="13"/>
  <c r="AB234" i="15" l="1"/>
  <c r="AD198" i="15"/>
  <c r="AD191" i="15"/>
  <c r="AE101" i="15"/>
  <c r="AS213" i="15"/>
  <c r="AA7" i="15"/>
  <c r="AC93" i="15"/>
  <c r="AB75" i="15"/>
  <c r="AB73" i="15"/>
  <c r="AD193" i="15"/>
  <c r="AC199" i="15"/>
  <c r="AC51" i="15" s="1"/>
  <c r="AC52" i="15" s="1"/>
  <c r="AD93" i="15"/>
  <c r="AE102" i="15"/>
  <c r="X73" i="14"/>
  <c r="X75" i="14"/>
  <c r="AC102" i="14"/>
  <c r="Y191" i="14"/>
  <c r="Z101" i="14"/>
  <c r="AO213" i="14"/>
  <c r="W7" i="14"/>
  <c r="X234" i="14"/>
  <c r="Z198" i="14"/>
  <c r="Y199" i="14"/>
  <c r="Y52" i="14" s="1"/>
  <c r="Y93" i="14"/>
  <c r="W83" i="14"/>
  <c r="AC193" i="14"/>
  <c r="W83" i="13"/>
  <c r="X75" i="13"/>
  <c r="X73" i="13"/>
  <c r="X83" i="13" s="1"/>
  <c r="Y234" i="13"/>
  <c r="AA198" i="13"/>
  <c r="AO213" i="13"/>
  <c r="W7" i="13"/>
  <c r="Y199" i="13"/>
  <c r="Y51" i="13" s="1"/>
  <c r="Y52" i="13" s="1"/>
  <c r="Z193" i="13"/>
  <c r="X191" i="13"/>
  <c r="Y101" i="13"/>
  <c r="Y93" i="13"/>
  <c r="Z102" i="13"/>
  <c r="AT213" i="15" l="1"/>
  <c r="AB7" i="15"/>
  <c r="AF102" i="15"/>
  <c r="AE191" i="15"/>
  <c r="AF101" i="15"/>
  <c r="AC73" i="15"/>
  <c r="AC75" i="15"/>
  <c r="AE193" i="15"/>
  <c r="AD199" i="15"/>
  <c r="AD51" i="15" s="1"/>
  <c r="AD52" i="15" s="1"/>
  <c r="AC234" i="15"/>
  <c r="AE198" i="15"/>
  <c r="AB83" i="15"/>
  <c r="Z191" i="14"/>
  <c r="AA101" i="14"/>
  <c r="AD193" i="14"/>
  <c r="AP213" i="14"/>
  <c r="X7" i="14"/>
  <c r="Y73" i="14"/>
  <c r="Y75" i="14"/>
  <c r="AD102" i="14"/>
  <c r="AA198" i="14"/>
  <c r="Y234" i="14"/>
  <c r="Z199" i="14"/>
  <c r="Z93" i="14"/>
  <c r="X83" i="14"/>
  <c r="AA193" i="13"/>
  <c r="Z199" i="13"/>
  <c r="Y73" i="13"/>
  <c r="Y75" i="13"/>
  <c r="AA102" i="13"/>
  <c r="Z93" i="13"/>
  <c r="AB198" i="13"/>
  <c r="Z234" i="13"/>
  <c r="Y191" i="13"/>
  <c r="Z101" i="13"/>
  <c r="AP213" i="13"/>
  <c r="X7" i="13"/>
  <c r="AU213" i="15" l="1"/>
  <c r="AC7" i="15"/>
  <c r="AC83" i="15"/>
  <c r="AF191" i="15"/>
  <c r="B101" i="15"/>
  <c r="B191" i="15" s="1"/>
  <c r="AD234" i="15"/>
  <c r="AF198" i="15"/>
  <c r="AE93" i="15"/>
  <c r="B102" i="15"/>
  <c r="AD75" i="15"/>
  <c r="AD73" i="15"/>
  <c r="AF193" i="15"/>
  <c r="AE199" i="15"/>
  <c r="AE51" i="15" s="1"/>
  <c r="AE52" i="15" s="1"/>
  <c r="AQ213" i="14"/>
  <c r="Y7" i="14"/>
  <c r="Y83" i="14"/>
  <c r="Z234" i="14"/>
  <c r="AB198" i="14"/>
  <c r="AA199" i="14"/>
  <c r="AA51" i="14" s="1"/>
  <c r="AA52" i="14" s="1"/>
  <c r="AA93" i="14"/>
  <c r="AE193" i="14"/>
  <c r="AE102" i="14"/>
  <c r="AA191" i="14"/>
  <c r="AB101" i="14"/>
  <c r="AC198" i="13"/>
  <c r="AA234" i="13"/>
  <c r="AB102" i="13"/>
  <c r="AA93" i="13"/>
  <c r="AQ213" i="13"/>
  <c r="Y7" i="13"/>
  <c r="Y83" i="13"/>
  <c r="Z191" i="13"/>
  <c r="AA101" i="13"/>
  <c r="AA199" i="13"/>
  <c r="AA51" i="13" s="1"/>
  <c r="AA52" i="13" s="1"/>
  <c r="AB193" i="13"/>
  <c r="AD83" i="15" l="1"/>
  <c r="AE234" i="15"/>
  <c r="B198" i="15"/>
  <c r="AF234" i="15" s="1"/>
  <c r="AE73" i="15"/>
  <c r="AE75" i="15"/>
  <c r="AF199" i="15"/>
  <c r="AF51" i="15" s="1"/>
  <c r="AF52" i="15" s="1"/>
  <c r="B193" i="15"/>
  <c r="B199" i="15" s="1"/>
  <c r="B51" i="15" s="1"/>
  <c r="AV213" i="15"/>
  <c r="AD7" i="15"/>
  <c r="AF93" i="15"/>
  <c r="B93" i="15"/>
  <c r="AF193" i="14"/>
  <c r="AA75" i="14"/>
  <c r="AA73" i="14"/>
  <c r="AB191" i="14"/>
  <c r="AC101" i="14"/>
  <c r="AA234" i="14"/>
  <c r="AC198" i="14"/>
  <c r="AB93" i="14"/>
  <c r="AB199" i="14"/>
  <c r="AB51" i="14" s="1"/>
  <c r="AB52" i="14" s="1"/>
  <c r="AF102" i="14"/>
  <c r="AC193" i="13"/>
  <c r="AB199" i="13"/>
  <c r="AB51" i="13" s="1"/>
  <c r="AB52" i="13" s="1"/>
  <c r="AC102" i="13"/>
  <c r="AB93" i="13"/>
  <c r="AA73" i="13"/>
  <c r="AA75" i="13"/>
  <c r="AA191" i="13"/>
  <c r="AB101" i="13"/>
  <c r="AD198" i="13"/>
  <c r="AB234" i="13"/>
  <c r="AF73" i="15" l="1"/>
  <c r="AF75" i="15"/>
  <c r="AH51" i="15"/>
  <c r="AI51" i="15"/>
  <c r="B52" i="15"/>
  <c r="AW213" i="15"/>
  <c r="AE7" i="15"/>
  <c r="AE83" i="15"/>
  <c r="AI93" i="15"/>
  <c r="AH93" i="15"/>
  <c r="AA83" i="14"/>
  <c r="AB234" i="14"/>
  <c r="AD198" i="14"/>
  <c r="AC93" i="14"/>
  <c r="AC199" i="14"/>
  <c r="AC51" i="14" s="1"/>
  <c r="AC52" i="14" s="1"/>
  <c r="B102" i="14"/>
  <c r="AS213" i="14"/>
  <c r="AA7" i="14"/>
  <c r="AC191" i="14"/>
  <c r="AD101" i="14"/>
  <c r="AB73" i="14"/>
  <c r="AB75" i="14"/>
  <c r="B193" i="14"/>
  <c r="AB191" i="13"/>
  <c r="AC101" i="13"/>
  <c r="AD102" i="13"/>
  <c r="AC93" i="13"/>
  <c r="AA83" i="13"/>
  <c r="AB73" i="13"/>
  <c r="AB75" i="13"/>
  <c r="AS213" i="13"/>
  <c r="AA7" i="13"/>
  <c r="AC234" i="13"/>
  <c r="AE198" i="13"/>
  <c r="AD193" i="13"/>
  <c r="AC199" i="13"/>
  <c r="AC51" i="13" s="1"/>
  <c r="AC52" i="13" s="1"/>
  <c r="AH52" i="15" l="1"/>
  <c r="AI52" i="15"/>
  <c r="B75" i="15"/>
  <c r="B73" i="15"/>
  <c r="AX213" i="15"/>
  <c r="AF7" i="15"/>
  <c r="AF83" i="15"/>
  <c r="AT213" i="14"/>
  <c r="AB7" i="14"/>
  <c r="AC75" i="14"/>
  <c r="AC73" i="14"/>
  <c r="AB83" i="14"/>
  <c r="AD191" i="14"/>
  <c r="AE101" i="14"/>
  <c r="AC234" i="14"/>
  <c r="AE198" i="14"/>
  <c r="AD199" i="14"/>
  <c r="AD51" i="14" s="1"/>
  <c r="AD52" i="14" s="1"/>
  <c r="AD93" i="14"/>
  <c r="AB83" i="13"/>
  <c r="AC73" i="13"/>
  <c r="AC75" i="13"/>
  <c r="AE193" i="13"/>
  <c r="AD199" i="13"/>
  <c r="AD51" i="13" s="1"/>
  <c r="AD52" i="13" s="1"/>
  <c r="AD93" i="13"/>
  <c r="AE102" i="13"/>
  <c r="AF198" i="13"/>
  <c r="AD234" i="13"/>
  <c r="AC191" i="13"/>
  <c r="AD101" i="13"/>
  <c r="AT213" i="13"/>
  <c r="AB7" i="13"/>
  <c r="AH73" i="15" l="1"/>
  <c r="AI73" i="15"/>
  <c r="B83" i="15"/>
  <c r="T213" i="15"/>
  <c r="AH75" i="15"/>
  <c r="B7" i="15"/>
  <c r="A7" i="15" s="1"/>
  <c r="AI75" i="15"/>
  <c r="AC83" i="14"/>
  <c r="AE191" i="14"/>
  <c r="AF101" i="14"/>
  <c r="AU213" i="14"/>
  <c r="AC7" i="14"/>
  <c r="AD75" i="14"/>
  <c r="AD73" i="14"/>
  <c r="AD234" i="14"/>
  <c r="AF198" i="14"/>
  <c r="AE199" i="14"/>
  <c r="AE51" i="14" s="1"/>
  <c r="AE52" i="14" s="1"/>
  <c r="AE93" i="14"/>
  <c r="AE234" i="13"/>
  <c r="B198" i="13"/>
  <c r="AF234" i="13" s="1"/>
  <c r="AE93" i="13"/>
  <c r="AF102" i="13"/>
  <c r="AD75" i="13"/>
  <c r="AD73" i="13"/>
  <c r="AF193" i="13"/>
  <c r="AE199" i="13"/>
  <c r="AE51" i="13" s="1"/>
  <c r="AE52" i="13" s="1"/>
  <c r="AD191" i="13"/>
  <c r="AE101" i="13"/>
  <c r="AU213" i="13"/>
  <c r="AC7" i="13"/>
  <c r="AC83" i="13"/>
  <c r="AI83" i="15" l="1"/>
  <c r="AH83" i="15"/>
  <c r="AD83" i="14"/>
  <c r="B198" i="14"/>
  <c r="AE234" i="14"/>
  <c r="AF199" i="14"/>
  <c r="AF51" i="14" s="1"/>
  <c r="AF52" i="14" s="1"/>
  <c r="AF93" i="14"/>
  <c r="AV213" i="14"/>
  <c r="AD7" i="14"/>
  <c r="AF191" i="14"/>
  <c r="B101" i="14"/>
  <c r="B191" i="14" s="1"/>
  <c r="AE73" i="14"/>
  <c r="AE75" i="14"/>
  <c r="AD83" i="13"/>
  <c r="AE75" i="13"/>
  <c r="AE73" i="13"/>
  <c r="AF199" i="13"/>
  <c r="AF51" i="13" s="1"/>
  <c r="AF52" i="13" s="1"/>
  <c r="B193" i="13"/>
  <c r="B199" i="13" s="1"/>
  <c r="AV213" i="13"/>
  <c r="AD7" i="13"/>
  <c r="B102" i="13"/>
  <c r="B93" i="13" s="1"/>
  <c r="AF93" i="13"/>
  <c r="AE191" i="13"/>
  <c r="AF101" i="13"/>
  <c r="AE83" i="14" l="1"/>
  <c r="AI93" i="14"/>
  <c r="AH93" i="14"/>
  <c r="AF73" i="14"/>
  <c r="AF75" i="14"/>
  <c r="AW213" i="14"/>
  <c r="AE7" i="14"/>
  <c r="AF234" i="14"/>
  <c r="B93" i="14"/>
  <c r="B199" i="14"/>
  <c r="B51" i="14" s="1"/>
  <c r="AE83" i="13"/>
  <c r="AI93" i="13"/>
  <c r="AH93" i="13"/>
  <c r="B52" i="13"/>
  <c r="AI51" i="13"/>
  <c r="AH51" i="13"/>
  <c r="AF75" i="13"/>
  <c r="AF73" i="13"/>
  <c r="AF191" i="13"/>
  <c r="B101" i="13"/>
  <c r="B191" i="13" s="1"/>
  <c r="AW213" i="13"/>
  <c r="AE7" i="13"/>
  <c r="AX213" i="14" l="1"/>
  <c r="AF7" i="14"/>
  <c r="AF83" i="14"/>
  <c r="B52" i="14"/>
  <c r="AI51" i="14"/>
  <c r="AH51" i="14"/>
  <c r="AF83" i="13"/>
  <c r="AX213" i="13"/>
  <c r="AF7" i="13"/>
  <c r="B73" i="13"/>
  <c r="AI52" i="13"/>
  <c r="AH52" i="13"/>
  <c r="B75" i="13"/>
  <c r="AI52" i="14" l="1"/>
  <c r="AH52" i="14"/>
  <c r="B73" i="14"/>
  <c r="B75" i="14"/>
  <c r="T213" i="13"/>
  <c r="B7" i="13"/>
  <c r="A7" i="13" s="1"/>
  <c r="AI75" i="13"/>
  <c r="AH75" i="13"/>
  <c r="AH73" i="13"/>
  <c r="AI73" i="13"/>
  <c r="B83" i="13"/>
  <c r="T213" i="14" l="1"/>
  <c r="AH75" i="14"/>
  <c r="B7" i="14"/>
  <c r="A7" i="14" s="1"/>
  <c r="AI75" i="14"/>
  <c r="AI73" i="14"/>
  <c r="AH73" i="14"/>
  <c r="B83" i="14"/>
  <c r="AI83" i="13"/>
  <c r="AH83" i="13"/>
  <c r="AI83" i="14" l="1"/>
  <c r="AH83" i="14"/>
  <c r="O37" i="12" l="1"/>
  <c r="N68" i="12"/>
  <c r="N37" i="12"/>
  <c r="M37" i="12"/>
  <c r="L37" i="12"/>
  <c r="K37" i="12"/>
  <c r="J37" i="12"/>
  <c r="I37" i="12"/>
  <c r="H37" i="12"/>
  <c r="G37" i="12"/>
  <c r="F37" i="12"/>
  <c r="AH99" i="12"/>
  <c r="AI99" i="12" s="1"/>
  <c r="B51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C234" i="12"/>
  <c r="B234" i="12"/>
  <c r="S209" i="12"/>
  <c r="AG199" i="12"/>
  <c r="C199" i="12"/>
  <c r="D198" i="12"/>
  <c r="E198" i="12" s="1"/>
  <c r="D197" i="12"/>
  <c r="E197" i="12" s="1"/>
  <c r="F197" i="12" s="1"/>
  <c r="G197" i="12" s="1"/>
  <c r="H197" i="12" s="1"/>
  <c r="I197" i="12" s="1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J196" i="12"/>
  <c r="K196" i="12" s="1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G196" i="12"/>
  <c r="H196" i="12" s="1"/>
  <c r="I196" i="12" s="1"/>
  <c r="E196" i="12"/>
  <c r="F196" i="12" s="1"/>
  <c r="D196" i="12"/>
  <c r="D199" i="12" s="1"/>
  <c r="H195" i="12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B195" i="12" s="1"/>
  <c r="E195" i="12"/>
  <c r="F195" i="12" s="1"/>
  <c r="G195" i="12" s="1"/>
  <c r="D195" i="12"/>
  <c r="K194" i="12"/>
  <c r="L194" i="12" s="1"/>
  <c r="M194" i="12" s="1"/>
  <c r="N194" i="12" s="1"/>
  <c r="O194" i="12" s="1"/>
  <c r="P194" i="12" s="1"/>
  <c r="Q194" i="12" s="1"/>
  <c r="R194" i="12" s="1"/>
  <c r="S194" i="12" s="1"/>
  <c r="T194" i="12" s="1"/>
  <c r="U194" i="12" s="1"/>
  <c r="V194" i="12" s="1"/>
  <c r="W194" i="12" s="1"/>
  <c r="X194" i="12" s="1"/>
  <c r="Y194" i="12" s="1"/>
  <c r="Z194" i="12" s="1"/>
  <c r="AA194" i="12" s="1"/>
  <c r="AB194" i="12" s="1"/>
  <c r="AC194" i="12" s="1"/>
  <c r="AD194" i="12" s="1"/>
  <c r="AE194" i="12" s="1"/>
  <c r="AF194" i="12" s="1"/>
  <c r="B194" i="12" s="1"/>
  <c r="H194" i="12"/>
  <c r="I194" i="12" s="1"/>
  <c r="J194" i="12" s="1"/>
  <c r="F194" i="12"/>
  <c r="G194" i="12" s="1"/>
  <c r="E194" i="12"/>
  <c r="D194" i="12"/>
  <c r="G193" i="12"/>
  <c r="F193" i="12"/>
  <c r="D193" i="12"/>
  <c r="E193" i="12" s="1"/>
  <c r="AG191" i="12"/>
  <c r="C191" i="12"/>
  <c r="E190" i="12"/>
  <c r="F190" i="12" s="1"/>
  <c r="G190" i="12" s="1"/>
  <c r="H190" i="12" s="1"/>
  <c r="I190" i="12" s="1"/>
  <c r="J190" i="12" s="1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D190" i="12"/>
  <c r="K189" i="12"/>
  <c r="L189" i="12" s="1"/>
  <c r="M189" i="12" s="1"/>
  <c r="N189" i="12" s="1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B189" i="12" s="1"/>
  <c r="H189" i="12"/>
  <c r="I189" i="12" s="1"/>
  <c r="J189" i="12" s="1"/>
  <c r="F189" i="12"/>
  <c r="G189" i="12" s="1"/>
  <c r="E189" i="12"/>
  <c r="D189" i="12"/>
  <c r="L188" i="12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D188" i="12"/>
  <c r="E188" i="12" s="1"/>
  <c r="F188" i="12" s="1"/>
  <c r="G188" i="12" s="1"/>
  <c r="H188" i="12" s="1"/>
  <c r="I188" i="12" s="1"/>
  <c r="J188" i="12" s="1"/>
  <c r="K188" i="12" s="1"/>
  <c r="N187" i="12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F187" i="12"/>
  <c r="G187" i="12" s="1"/>
  <c r="H187" i="12" s="1"/>
  <c r="I187" i="12" s="1"/>
  <c r="J187" i="12" s="1"/>
  <c r="K187" i="12" s="1"/>
  <c r="L187" i="12" s="1"/>
  <c r="M187" i="12" s="1"/>
  <c r="D187" i="12"/>
  <c r="E187" i="12" s="1"/>
  <c r="D186" i="12"/>
  <c r="E186" i="12" s="1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B186" i="12" s="1"/>
  <c r="O185" i="12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G185" i="12"/>
  <c r="H185" i="12" s="1"/>
  <c r="I185" i="12" s="1"/>
  <c r="J185" i="12" s="1"/>
  <c r="K185" i="12" s="1"/>
  <c r="L185" i="12" s="1"/>
  <c r="M185" i="12" s="1"/>
  <c r="N185" i="12" s="1"/>
  <c r="F185" i="12"/>
  <c r="E185" i="12"/>
  <c r="D185" i="12"/>
  <c r="E184" i="12"/>
  <c r="F184" i="12" s="1"/>
  <c r="G184" i="12" s="1"/>
  <c r="H184" i="12" s="1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D184" i="12"/>
  <c r="F183" i="12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D183" i="12"/>
  <c r="E183" i="12" s="1"/>
  <c r="E182" i="12"/>
  <c r="F182" i="12" s="1"/>
  <c r="G182" i="12" s="1"/>
  <c r="H182" i="12" s="1"/>
  <c r="I182" i="12" s="1"/>
  <c r="J182" i="12" s="1"/>
  <c r="K182" i="12" s="1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B182" i="12" s="1"/>
  <c r="D182" i="12"/>
  <c r="D181" i="12"/>
  <c r="E181" i="12" s="1"/>
  <c r="F181" i="12" s="1"/>
  <c r="G181" i="12" s="1"/>
  <c r="H181" i="12" s="1"/>
  <c r="I181" i="12" s="1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D180" i="12"/>
  <c r="E180" i="12" s="1"/>
  <c r="F180" i="12" s="1"/>
  <c r="G180" i="12" s="1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F179" i="12"/>
  <c r="G179" i="12" s="1"/>
  <c r="H179" i="12" s="1"/>
  <c r="I179" i="12" s="1"/>
  <c r="J179" i="12" s="1"/>
  <c r="K179" i="12" s="1"/>
  <c r="L179" i="12" s="1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D179" i="12"/>
  <c r="E179" i="12" s="1"/>
  <c r="U178" i="12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B178" i="12" s="1"/>
  <c r="E178" i="12"/>
  <c r="F178" i="12" s="1"/>
  <c r="G178" i="12" s="1"/>
  <c r="H178" i="12" s="1"/>
  <c r="I178" i="12" s="1"/>
  <c r="J178" i="12" s="1"/>
  <c r="K178" i="12" s="1"/>
  <c r="L178" i="12" s="1"/>
  <c r="M178" i="12" s="1"/>
  <c r="N178" i="12" s="1"/>
  <c r="O178" i="12" s="1"/>
  <c r="P178" i="12" s="1"/>
  <c r="Q178" i="12" s="1"/>
  <c r="R178" i="12" s="1"/>
  <c r="S178" i="12" s="1"/>
  <c r="T178" i="12" s="1"/>
  <c r="D178" i="12"/>
  <c r="D176" i="12"/>
  <c r="E176" i="12" s="1"/>
  <c r="F176" i="12" s="1"/>
  <c r="G176" i="12" s="1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AD174" i="12"/>
  <c r="AE174" i="12" s="1"/>
  <c r="AF174" i="12" s="1"/>
  <c r="B174" i="12" s="1"/>
  <c r="D174" i="12"/>
  <c r="E174" i="12" s="1"/>
  <c r="F174" i="12" s="1"/>
  <c r="G174" i="12" s="1"/>
  <c r="H174" i="12" s="1"/>
  <c r="I174" i="12" s="1"/>
  <c r="J174" i="12" s="1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E173" i="12"/>
  <c r="F173" i="12" s="1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D173" i="12"/>
  <c r="F172" i="12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D172" i="12"/>
  <c r="E172" i="12" s="1"/>
  <c r="D171" i="12"/>
  <c r="E171" i="12" s="1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B171" i="12" s="1"/>
  <c r="D170" i="12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G169" i="12"/>
  <c r="H169" i="12" s="1"/>
  <c r="I169" i="12" s="1"/>
  <c r="J169" i="12" s="1"/>
  <c r="K169" i="12" s="1"/>
  <c r="L169" i="12" s="1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B169" i="12" s="1"/>
  <c r="D169" i="12"/>
  <c r="E169" i="12" s="1"/>
  <c r="F169" i="12" s="1"/>
  <c r="E167" i="12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D167" i="12"/>
  <c r="N166" i="12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D166" i="12"/>
  <c r="E166" i="12" s="1"/>
  <c r="F166" i="12" s="1"/>
  <c r="G166" i="12" s="1"/>
  <c r="H166" i="12" s="1"/>
  <c r="I166" i="12" s="1"/>
  <c r="J166" i="12" s="1"/>
  <c r="K166" i="12" s="1"/>
  <c r="L166" i="12" s="1"/>
  <c r="M166" i="12" s="1"/>
  <c r="H165" i="12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F165" i="12"/>
  <c r="G165" i="12" s="1"/>
  <c r="D165" i="12"/>
  <c r="E165" i="12" s="1"/>
  <c r="G164" i="12"/>
  <c r="H164" i="12" s="1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F164" i="12"/>
  <c r="D164" i="12"/>
  <c r="E164" i="12" s="1"/>
  <c r="AD163" i="12"/>
  <c r="AE163" i="12" s="1"/>
  <c r="AF163" i="12" s="1"/>
  <c r="B163" i="12" s="1"/>
  <c r="R163" i="12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E163" i="12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D163" i="12"/>
  <c r="D162" i="12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F161" i="12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E161" i="12"/>
  <c r="D161" i="12"/>
  <c r="K160" i="12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B160" i="12" s="1"/>
  <c r="D160" i="12"/>
  <c r="E160" i="12" s="1"/>
  <c r="F160" i="12" s="1"/>
  <c r="G160" i="12" s="1"/>
  <c r="H160" i="12" s="1"/>
  <c r="I160" i="12" s="1"/>
  <c r="J160" i="12" s="1"/>
  <c r="E159" i="12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D159" i="12"/>
  <c r="E158" i="12"/>
  <c r="F158" i="12" s="1"/>
  <c r="G158" i="12" s="1"/>
  <c r="H158" i="12" s="1"/>
  <c r="I158" i="12" s="1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D158" i="12"/>
  <c r="E157" i="12"/>
  <c r="F157" i="12" s="1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D157" i="12"/>
  <c r="D156" i="12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B156" i="12"/>
  <c r="H155" i="12"/>
  <c r="I155" i="12" s="1"/>
  <c r="J155" i="12" s="1"/>
  <c r="K155" i="12" s="1"/>
  <c r="L155" i="12" s="1"/>
  <c r="M155" i="12" s="1"/>
  <c r="N155" i="12" s="1"/>
  <c r="O155" i="12" s="1"/>
  <c r="P155" i="12" s="1"/>
  <c r="Q155" i="12" s="1"/>
  <c r="R155" i="12" s="1"/>
  <c r="S155" i="12" s="1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B155" i="12" s="1"/>
  <c r="D155" i="12"/>
  <c r="E155" i="12" s="1"/>
  <c r="F155" i="12" s="1"/>
  <c r="G155" i="12" s="1"/>
  <c r="J153" i="12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F153" i="12"/>
  <c r="G153" i="12" s="1"/>
  <c r="H153" i="12" s="1"/>
  <c r="I153" i="12" s="1"/>
  <c r="E153" i="12"/>
  <c r="D153" i="12"/>
  <c r="T152" i="12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B152" i="12" s="1"/>
  <c r="E152" i="12"/>
  <c r="F152" i="12" s="1"/>
  <c r="G152" i="12" s="1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D152" i="12"/>
  <c r="Y151" i="12"/>
  <c r="Z151" i="12" s="1"/>
  <c r="AA151" i="12" s="1"/>
  <c r="AB151" i="12" s="1"/>
  <c r="AC151" i="12" s="1"/>
  <c r="AD151" i="12" s="1"/>
  <c r="AE151" i="12" s="1"/>
  <c r="AF151" i="12" s="1"/>
  <c r="B151" i="12" s="1"/>
  <c r="D151" i="12"/>
  <c r="E151" i="12" s="1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E150" i="12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B150" i="12" s="1"/>
  <c r="D150" i="12"/>
  <c r="E148" i="12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D148" i="12"/>
  <c r="I147" i="12"/>
  <c r="J147" i="12" s="1"/>
  <c r="K147" i="12" s="1"/>
  <c r="L147" i="12" s="1"/>
  <c r="M147" i="12" s="1"/>
  <c r="N147" i="12" s="1"/>
  <c r="O147" i="12" s="1"/>
  <c r="P147" i="12" s="1"/>
  <c r="Q147" i="12" s="1"/>
  <c r="R147" i="12" s="1"/>
  <c r="S147" i="12" s="1"/>
  <c r="T147" i="12" s="1"/>
  <c r="U147" i="12" s="1"/>
  <c r="V147" i="12" s="1"/>
  <c r="W147" i="12" s="1"/>
  <c r="X147" i="12" s="1"/>
  <c r="Y147" i="12" s="1"/>
  <c r="Z147" i="12" s="1"/>
  <c r="AA147" i="12" s="1"/>
  <c r="AB147" i="12" s="1"/>
  <c r="AC147" i="12" s="1"/>
  <c r="AD147" i="12" s="1"/>
  <c r="AE147" i="12" s="1"/>
  <c r="AF147" i="12" s="1"/>
  <c r="B147" i="12" s="1"/>
  <c r="D147" i="12"/>
  <c r="E147" i="12" s="1"/>
  <c r="F147" i="12" s="1"/>
  <c r="G147" i="12" s="1"/>
  <c r="H147" i="12" s="1"/>
  <c r="L145" i="12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K145" i="12"/>
  <c r="D145" i="12"/>
  <c r="E145" i="12" s="1"/>
  <c r="F145" i="12" s="1"/>
  <c r="G145" i="12" s="1"/>
  <c r="H145" i="12" s="1"/>
  <c r="I145" i="12" s="1"/>
  <c r="J145" i="12" s="1"/>
  <c r="W144" i="12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S144" i="12"/>
  <c r="T144" i="12" s="1"/>
  <c r="U144" i="12" s="1"/>
  <c r="V144" i="12" s="1"/>
  <c r="D144" i="12"/>
  <c r="E144" i="12" s="1"/>
  <c r="F144" i="12" s="1"/>
  <c r="G144" i="12" s="1"/>
  <c r="H144" i="12" s="1"/>
  <c r="I144" i="12" s="1"/>
  <c r="J144" i="12" s="1"/>
  <c r="K144" i="12" s="1"/>
  <c r="L144" i="12" s="1"/>
  <c r="M144" i="12" s="1"/>
  <c r="N144" i="12" s="1"/>
  <c r="O144" i="12" s="1"/>
  <c r="P144" i="12" s="1"/>
  <c r="Q144" i="12" s="1"/>
  <c r="R144" i="12" s="1"/>
  <c r="E143" i="12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B143" i="12" s="1"/>
  <c r="D143" i="12"/>
  <c r="D142" i="12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B142" i="12" s="1"/>
  <c r="T141" i="12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B141" i="12" s="1"/>
  <c r="D141" i="12"/>
  <c r="E141" i="12" s="1"/>
  <c r="F141" i="12" s="1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D140" i="12"/>
  <c r="E140" i="12" s="1"/>
  <c r="F140" i="12" s="1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G139" i="12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B139" i="12" s="1"/>
  <c r="F139" i="12"/>
  <c r="E139" i="12"/>
  <c r="D139" i="12"/>
  <c r="D137" i="12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B137" i="12" s="1"/>
  <c r="F136" i="12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D136" i="12"/>
  <c r="E136" i="12" s="1"/>
  <c r="D135" i="12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E134" i="12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B134" i="12" s="1"/>
  <c r="D134" i="12"/>
  <c r="Q133" i="12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M133" i="12"/>
  <c r="N133" i="12" s="1"/>
  <c r="O133" i="12" s="1"/>
  <c r="P133" i="12" s="1"/>
  <c r="H133" i="12"/>
  <c r="I133" i="12" s="1"/>
  <c r="J133" i="12" s="1"/>
  <c r="K133" i="12" s="1"/>
  <c r="L133" i="12" s="1"/>
  <c r="G133" i="12"/>
  <c r="D133" i="12"/>
  <c r="E133" i="12" s="1"/>
  <c r="F133" i="12" s="1"/>
  <c r="E132" i="12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B132" i="12" s="1"/>
  <c r="D132" i="12"/>
  <c r="D131" i="12"/>
  <c r="E131" i="12" s="1"/>
  <c r="F131" i="12" s="1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E130" i="12"/>
  <c r="F130" i="12" s="1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B130" i="12" s="1"/>
  <c r="D130" i="12"/>
  <c r="E128" i="12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B128" i="12" s="1"/>
  <c r="D128" i="12"/>
  <c r="G127" i="12"/>
  <c r="H127" i="12" s="1"/>
  <c r="I127" i="12" s="1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D127" i="12"/>
  <c r="E127" i="12" s="1"/>
  <c r="F127" i="12" s="1"/>
  <c r="G126" i="12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D126" i="12"/>
  <c r="E126" i="12" s="1"/>
  <c r="F126" i="12" s="1"/>
  <c r="E125" i="12"/>
  <c r="F125" i="12" s="1"/>
  <c r="G125" i="12" s="1"/>
  <c r="H125" i="12" s="1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B125" i="12" s="1"/>
  <c r="D125" i="12"/>
  <c r="D124" i="12"/>
  <c r="E124" i="12" s="1"/>
  <c r="F124" i="12" s="1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G123" i="12"/>
  <c r="H123" i="12" s="1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F123" i="12"/>
  <c r="E123" i="12"/>
  <c r="D123" i="12"/>
  <c r="G122" i="12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B122" i="12" s="1"/>
  <c r="D122" i="12"/>
  <c r="E122" i="12" s="1"/>
  <c r="F122" i="12" s="1"/>
  <c r="F121" i="12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E121" i="12"/>
  <c r="D121" i="12"/>
  <c r="G120" i="12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F120" i="12"/>
  <c r="E120" i="12"/>
  <c r="D120" i="12"/>
  <c r="D119" i="12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D118" i="12"/>
  <c r="E118" i="12" s="1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D117" i="12"/>
  <c r="E117" i="12" s="1"/>
  <c r="F117" i="12" s="1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D116" i="12"/>
  <c r="E116" i="12" s="1"/>
  <c r="F116" i="12" s="1"/>
  <c r="G116" i="12" s="1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B116" i="12" s="1"/>
  <c r="D115" i="12"/>
  <c r="E115" i="12" s="1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D114" i="12"/>
  <c r="E114" i="12" s="1"/>
  <c r="F114" i="12" s="1"/>
  <c r="G114" i="12" s="1"/>
  <c r="H114" i="12" s="1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L113" i="12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K113" i="12"/>
  <c r="D113" i="12"/>
  <c r="E113" i="12" s="1"/>
  <c r="F113" i="12" s="1"/>
  <c r="G113" i="12" s="1"/>
  <c r="H113" i="12" s="1"/>
  <c r="I113" i="12" s="1"/>
  <c r="D112" i="12"/>
  <c r="E112" i="12" s="1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E111" i="12"/>
  <c r="F111" i="12" s="1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B111" i="12" s="1"/>
  <c r="D111" i="12"/>
  <c r="D109" i="12"/>
  <c r="E109" i="12" s="1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F108" i="12"/>
  <c r="G108" i="12" s="1"/>
  <c r="H108" i="12" s="1"/>
  <c r="I108" i="12" s="1"/>
  <c r="J108" i="12" s="1"/>
  <c r="K108" i="12" s="1"/>
  <c r="L108" i="12" s="1"/>
  <c r="M108" i="12" s="1"/>
  <c r="N108" i="12" s="1"/>
  <c r="O108" i="12" s="1"/>
  <c r="P108" i="12" s="1"/>
  <c r="Q108" i="12" s="1"/>
  <c r="R108" i="12" s="1"/>
  <c r="S108" i="12" s="1"/>
  <c r="T108" i="12" s="1"/>
  <c r="U108" i="12" s="1"/>
  <c r="V108" i="12" s="1"/>
  <c r="W108" i="12" s="1"/>
  <c r="X108" i="12" s="1"/>
  <c r="Y108" i="12" s="1"/>
  <c r="Z108" i="12" s="1"/>
  <c r="AA108" i="12" s="1"/>
  <c r="AB108" i="12" s="1"/>
  <c r="AC108" i="12" s="1"/>
  <c r="AD108" i="12" s="1"/>
  <c r="AE108" i="12" s="1"/>
  <c r="AF108" i="12" s="1"/>
  <c r="B108" i="12" s="1"/>
  <c r="D108" i="12"/>
  <c r="E108" i="12" s="1"/>
  <c r="E106" i="12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D106" i="12"/>
  <c r="D105" i="12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H104" i="12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E104" i="12"/>
  <c r="F104" i="12" s="1"/>
  <c r="G104" i="12" s="1"/>
  <c r="D104" i="12"/>
  <c r="F103" i="12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B103" i="12" s="1"/>
  <c r="D103" i="12"/>
  <c r="E103" i="12" s="1"/>
  <c r="E102" i="12"/>
  <c r="E93" i="12" s="1"/>
  <c r="D102" i="12"/>
  <c r="D93" i="12" s="1"/>
  <c r="D101" i="12"/>
  <c r="AH98" i="12"/>
  <c r="AI98" i="12" s="1"/>
  <c r="AH97" i="12"/>
  <c r="AI97" i="12" s="1"/>
  <c r="AH96" i="12"/>
  <c r="AI96" i="12" s="1"/>
  <c r="AH95" i="12"/>
  <c r="AI95" i="12" s="1"/>
  <c r="AH94" i="12"/>
  <c r="AI94" i="12" s="1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G82" i="12"/>
  <c r="AI81" i="12"/>
  <c r="AH81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U82" i="12" s="1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I74" i="12"/>
  <c r="AH74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AI71" i="12"/>
  <c r="AH71" i="12"/>
  <c r="AI70" i="12"/>
  <c r="AH70" i="12"/>
  <c r="AI69" i="12"/>
  <c r="AH69" i="12"/>
  <c r="AG68" i="12"/>
  <c r="AG73" i="12" s="1"/>
  <c r="AF68" i="12"/>
  <c r="AE68" i="12"/>
  <c r="AD68" i="12"/>
  <c r="AC68" i="12"/>
  <c r="AB68" i="12"/>
  <c r="AA5" i="12" s="1"/>
  <c r="AA68" i="12"/>
  <c r="Z68" i="12"/>
  <c r="Y5" i="12" s="1"/>
  <c r="Y68" i="12"/>
  <c r="X5" i="12" s="1"/>
  <c r="W68" i="12"/>
  <c r="V68" i="12"/>
  <c r="U5" i="12" s="1"/>
  <c r="T68" i="12"/>
  <c r="S5" i="12" s="1"/>
  <c r="S68" i="12"/>
  <c r="R68" i="12"/>
  <c r="Q5" i="12" s="1"/>
  <c r="Q68" i="12"/>
  <c r="P5" i="12" s="1"/>
  <c r="P68" i="12"/>
  <c r="O68" i="12"/>
  <c r="M5" i="12"/>
  <c r="M68" i="12"/>
  <c r="L68" i="12"/>
  <c r="K5" i="12" s="1"/>
  <c r="K68" i="12"/>
  <c r="J5" i="12" s="1"/>
  <c r="J68" i="12"/>
  <c r="I68" i="12"/>
  <c r="H5" i="12" s="1"/>
  <c r="H68" i="12"/>
  <c r="G68" i="12"/>
  <c r="F5" i="12" s="1"/>
  <c r="F68" i="12"/>
  <c r="E5" i="12" s="1"/>
  <c r="E68" i="12"/>
  <c r="D5" i="12" s="1"/>
  <c r="D68" i="12"/>
  <c r="C5" i="12" s="1"/>
  <c r="C68" i="12"/>
  <c r="B5" i="12" s="1"/>
  <c r="B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G56" i="12"/>
  <c r="AF56" i="12"/>
  <c r="AE56" i="12"/>
  <c r="AD56" i="12"/>
  <c r="AC56" i="12"/>
  <c r="AB56" i="12"/>
  <c r="AA56" i="12"/>
  <c r="Z56" i="12"/>
  <c r="Y56" i="12"/>
  <c r="W56" i="12"/>
  <c r="V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I55" i="12"/>
  <c r="AH55" i="12"/>
  <c r="AI54" i="12"/>
  <c r="AH54" i="12"/>
  <c r="AI53" i="12"/>
  <c r="AH53" i="12"/>
  <c r="AG52" i="12"/>
  <c r="Z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G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G2" i="12" s="1"/>
  <c r="AG6" i="12" s="1"/>
  <c r="AF38" i="12"/>
  <c r="AE38" i="12"/>
  <c r="AD38" i="12"/>
  <c r="AC38" i="12"/>
  <c r="AB38" i="12"/>
  <c r="AA38" i="12"/>
  <c r="Z38" i="12"/>
  <c r="Y38" i="12"/>
  <c r="W38" i="12"/>
  <c r="V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AD5" i="12"/>
  <c r="AC5" i="12"/>
  <c r="AB5" i="12"/>
  <c r="Z5" i="12"/>
  <c r="V5" i="12"/>
  <c r="T5" i="12"/>
  <c r="R5" i="12"/>
  <c r="N5" i="12"/>
  <c r="L5" i="12"/>
  <c r="I5" i="12"/>
  <c r="AG4" i="12"/>
  <c r="K4" i="12"/>
  <c r="B4" i="12"/>
  <c r="AG3" i="12"/>
  <c r="AA95" i="11"/>
  <c r="AA37" i="11"/>
  <c r="Z95" i="11"/>
  <c r="Z37" i="11"/>
  <c r="Y95" i="11"/>
  <c r="Y37" i="11"/>
  <c r="W95" i="11"/>
  <c r="W37" i="11"/>
  <c r="V95" i="11"/>
  <c r="V37" i="11"/>
  <c r="U95" i="11"/>
  <c r="U37" i="11"/>
  <c r="T95" i="11"/>
  <c r="T37" i="11"/>
  <c r="S37" i="11"/>
  <c r="R37" i="11"/>
  <c r="P37" i="11"/>
  <c r="E4" i="12"/>
  <c r="AF82" i="12" l="1"/>
  <c r="AE82" i="12"/>
  <c r="AD82" i="12"/>
  <c r="AC82" i="12"/>
  <c r="AB82" i="12"/>
  <c r="AA82" i="12"/>
  <c r="Z82" i="12"/>
  <c r="Z73" i="12"/>
  <c r="Y82" i="12"/>
  <c r="X82" i="12"/>
  <c r="W82" i="12"/>
  <c r="AI77" i="12"/>
  <c r="V82" i="12"/>
  <c r="T82" i="12"/>
  <c r="S82" i="12"/>
  <c r="S73" i="12"/>
  <c r="S75" i="12"/>
  <c r="AK213" i="12" s="1"/>
  <c r="R82" i="12"/>
  <c r="R73" i="12"/>
  <c r="Z75" i="12"/>
  <c r="Z83" i="12" s="1"/>
  <c r="T75" i="12"/>
  <c r="AL213" i="12" s="1"/>
  <c r="R75" i="12"/>
  <c r="R83" i="12" s="1"/>
  <c r="Q82" i="12"/>
  <c r="Q73" i="12"/>
  <c r="P82" i="12"/>
  <c r="P73" i="12"/>
  <c r="O82" i="12"/>
  <c r="O73" i="12"/>
  <c r="O75" i="12"/>
  <c r="AG213" i="12" s="1"/>
  <c r="N82" i="12"/>
  <c r="N73" i="12"/>
  <c r="N75" i="12"/>
  <c r="AF213" i="12" s="1"/>
  <c r="M82" i="12"/>
  <c r="M73" i="12"/>
  <c r="M75" i="12"/>
  <c r="M7" i="12" s="1"/>
  <c r="L82" i="12"/>
  <c r="L75" i="12"/>
  <c r="AD213" i="12" s="1"/>
  <c r="K82" i="12"/>
  <c r="K73" i="12"/>
  <c r="K75" i="12"/>
  <c r="J82" i="12"/>
  <c r="J73" i="12"/>
  <c r="J75" i="12"/>
  <c r="J83" i="12" s="1"/>
  <c r="I82" i="12"/>
  <c r="I73" i="12"/>
  <c r="H82" i="12"/>
  <c r="AI56" i="12"/>
  <c r="H73" i="12"/>
  <c r="G82" i="12"/>
  <c r="G73" i="12"/>
  <c r="G75" i="12"/>
  <c r="G7" i="12" s="1"/>
  <c r="F82" i="12"/>
  <c r="AH79" i="12"/>
  <c r="F73" i="12"/>
  <c r="F75" i="12"/>
  <c r="X213" i="12" s="1"/>
  <c r="AI79" i="12"/>
  <c r="E82" i="12"/>
  <c r="AI80" i="12"/>
  <c r="AH80" i="12"/>
  <c r="E75" i="12"/>
  <c r="W213" i="12" s="1"/>
  <c r="E73" i="12"/>
  <c r="D82" i="12"/>
  <c r="AI76" i="12"/>
  <c r="D75" i="12"/>
  <c r="D7" i="12" s="1"/>
  <c r="AH38" i="12"/>
  <c r="AH78" i="12"/>
  <c r="C82" i="12"/>
  <c r="AI68" i="12"/>
  <c r="C73" i="12"/>
  <c r="C75" i="12" s="1"/>
  <c r="U213" i="12" s="1"/>
  <c r="H4" i="12"/>
  <c r="AG83" i="12"/>
  <c r="AI78" i="12"/>
  <c r="D73" i="12"/>
  <c r="F102" i="12"/>
  <c r="L73" i="12"/>
  <c r="T73" i="12"/>
  <c r="H75" i="12"/>
  <c r="P75" i="12"/>
  <c r="P83" i="12" s="1"/>
  <c r="G5" i="12"/>
  <c r="O5" i="12"/>
  <c r="W5" i="12"/>
  <c r="AE5" i="12"/>
  <c r="I75" i="12"/>
  <c r="Q75" i="12"/>
  <c r="AG75" i="12"/>
  <c r="D191" i="12"/>
  <c r="AI38" i="12"/>
  <c r="AH56" i="12"/>
  <c r="AH68" i="12"/>
  <c r="AH72" i="12"/>
  <c r="AH77" i="12"/>
  <c r="E101" i="12"/>
  <c r="S210" i="12"/>
  <c r="D210" i="12"/>
  <c r="Y213" i="12"/>
  <c r="O7" i="12"/>
  <c r="AH76" i="12"/>
  <c r="B82" i="12"/>
  <c r="AI72" i="12"/>
  <c r="H193" i="12"/>
  <c r="D234" i="12"/>
  <c r="F198" i="12"/>
  <c r="F199" i="12" s="1"/>
  <c r="E199" i="12"/>
  <c r="O37" i="11"/>
  <c r="N37" i="11"/>
  <c r="M37" i="11"/>
  <c r="E37" i="11"/>
  <c r="D95" i="11"/>
  <c r="D37" i="11"/>
  <c r="AH99" i="11"/>
  <c r="AI99" i="11" s="1"/>
  <c r="C95" i="11"/>
  <c r="C37" i="11"/>
  <c r="B95" i="11"/>
  <c r="B37" i="11"/>
  <c r="B93" i="11"/>
  <c r="B80" i="11"/>
  <c r="B79" i="11"/>
  <c r="B78" i="11"/>
  <c r="B77" i="11"/>
  <c r="B76" i="11"/>
  <c r="B72" i="11"/>
  <c r="B68" i="11"/>
  <c r="B56" i="11"/>
  <c r="B52" i="11"/>
  <c r="B51" i="11"/>
  <c r="B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B234" i="11"/>
  <c r="S209" i="11"/>
  <c r="AG199" i="11"/>
  <c r="C199" i="11"/>
  <c r="E198" i="11"/>
  <c r="D198" i="11"/>
  <c r="C234" i="11" s="1"/>
  <c r="K197" i="1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F197" i="11"/>
  <c r="G197" i="11" s="1"/>
  <c r="H197" i="11" s="1"/>
  <c r="I197" i="11" s="1"/>
  <c r="J197" i="11" s="1"/>
  <c r="E197" i="11"/>
  <c r="D197" i="11"/>
  <c r="D196" i="1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D195" i="11"/>
  <c r="H194" i="1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B194" i="11" s="1"/>
  <c r="E194" i="11"/>
  <c r="F194" i="11" s="1"/>
  <c r="G194" i="11" s="1"/>
  <c r="D194" i="11"/>
  <c r="E193" i="11"/>
  <c r="D193" i="11"/>
  <c r="AG191" i="11"/>
  <c r="C191" i="11"/>
  <c r="H190" i="11"/>
  <c r="I190" i="11" s="1"/>
  <c r="J190" i="11" s="1"/>
  <c r="K190" i="11" s="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D190" i="11"/>
  <c r="E190" i="11" s="1"/>
  <c r="F190" i="11" s="1"/>
  <c r="G190" i="11" s="1"/>
  <c r="F189" i="1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E189" i="11"/>
  <c r="D189" i="11"/>
  <c r="E188" i="1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D188" i="11"/>
  <c r="O187" i="1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D187" i="1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D186" i="1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G185" i="1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F185" i="11"/>
  <c r="E185" i="11"/>
  <c r="D185" i="11"/>
  <c r="D184" i="11"/>
  <c r="E184" i="11" s="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AA183" i="11"/>
  <c r="AB183" i="11" s="1"/>
  <c r="AC183" i="11" s="1"/>
  <c r="AD183" i="11" s="1"/>
  <c r="AE183" i="11" s="1"/>
  <c r="AF183" i="11" s="1"/>
  <c r="B183" i="11" s="1"/>
  <c r="O183" i="1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D183" i="11"/>
  <c r="E183" i="11" s="1"/>
  <c r="F183" i="11" s="1"/>
  <c r="G183" i="11" s="1"/>
  <c r="H183" i="11" s="1"/>
  <c r="I183" i="11" s="1"/>
  <c r="J183" i="11" s="1"/>
  <c r="K183" i="11" s="1"/>
  <c r="L183" i="11" s="1"/>
  <c r="M183" i="11" s="1"/>
  <c r="N183" i="11" s="1"/>
  <c r="I182" i="1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D182" i="11"/>
  <c r="E182" i="11" s="1"/>
  <c r="F182" i="11" s="1"/>
  <c r="G182" i="11" s="1"/>
  <c r="H182" i="11" s="1"/>
  <c r="N181" i="1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H181" i="11"/>
  <c r="I181" i="11" s="1"/>
  <c r="J181" i="11" s="1"/>
  <c r="K181" i="11" s="1"/>
  <c r="L181" i="11" s="1"/>
  <c r="M181" i="11" s="1"/>
  <c r="G181" i="11"/>
  <c r="E181" i="11"/>
  <c r="F181" i="11" s="1"/>
  <c r="D181" i="11"/>
  <c r="D180" i="11"/>
  <c r="E180" i="11" s="1"/>
  <c r="F180" i="11" s="1"/>
  <c r="G180" i="11" s="1"/>
  <c r="H180" i="11" s="1"/>
  <c r="I180" i="11" s="1"/>
  <c r="J180" i="11" s="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I179" i="1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D179" i="11"/>
  <c r="E179" i="11" s="1"/>
  <c r="F179" i="11" s="1"/>
  <c r="G179" i="11" s="1"/>
  <c r="H179" i="11" s="1"/>
  <c r="D178" i="11"/>
  <c r="E178" i="11" s="1"/>
  <c r="F178" i="11" s="1"/>
  <c r="G178" i="11" s="1"/>
  <c r="H178" i="11" s="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B178" i="11" s="1"/>
  <c r="N176" i="1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H176" i="11"/>
  <c r="I176" i="11" s="1"/>
  <c r="J176" i="11" s="1"/>
  <c r="K176" i="11" s="1"/>
  <c r="L176" i="11" s="1"/>
  <c r="M176" i="11" s="1"/>
  <c r="D176" i="11"/>
  <c r="E176" i="11" s="1"/>
  <c r="F176" i="11" s="1"/>
  <c r="G176" i="11" s="1"/>
  <c r="F175" i="1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E175" i="11"/>
  <c r="D175" i="11"/>
  <c r="D174" i="11"/>
  <c r="E174" i="11" s="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H173" i="1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D173" i="11"/>
  <c r="E173" i="11" s="1"/>
  <c r="F173" i="11" s="1"/>
  <c r="G173" i="11" s="1"/>
  <c r="F172" i="11"/>
  <c r="G172" i="11" s="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D172" i="11"/>
  <c r="E172" i="11" s="1"/>
  <c r="X171" i="1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H171" i="1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D171" i="11"/>
  <c r="E171" i="11" s="1"/>
  <c r="F171" i="11" s="1"/>
  <c r="G171" i="11" s="1"/>
  <c r="N170" i="1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E169" i="11"/>
  <c r="F169" i="11" s="1"/>
  <c r="G169" i="11" s="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B169" i="11" s="1"/>
  <c r="D169" i="11"/>
  <c r="J167" i="1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D167" i="11"/>
  <c r="E167" i="11" s="1"/>
  <c r="F167" i="11" s="1"/>
  <c r="G167" i="11" s="1"/>
  <c r="H167" i="11" s="1"/>
  <c r="I167" i="11" s="1"/>
  <c r="H166" i="1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G166" i="11"/>
  <c r="F166" i="11"/>
  <c r="D166" i="11"/>
  <c r="E166" i="11" s="1"/>
  <c r="D165" i="11"/>
  <c r="E165" i="11" s="1"/>
  <c r="F165" i="11" s="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E164" i="1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4" i="11"/>
  <c r="H163" i="1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E163" i="11"/>
  <c r="F163" i="11" s="1"/>
  <c r="G163" i="11" s="1"/>
  <c r="D163" i="11"/>
  <c r="F162" i="1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D162" i="11"/>
  <c r="E162" i="11" s="1"/>
  <c r="E161" i="11"/>
  <c r="F161" i="11" s="1"/>
  <c r="G161" i="11" s="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D161" i="1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AB159" i="11"/>
  <c r="AC159" i="11" s="1"/>
  <c r="AD159" i="11" s="1"/>
  <c r="AE159" i="11" s="1"/>
  <c r="AF159" i="11" s="1"/>
  <c r="B159" i="11" s="1"/>
  <c r="H159" i="1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D159" i="11"/>
  <c r="E159" i="11" s="1"/>
  <c r="F159" i="11" s="1"/>
  <c r="G159" i="11" s="1"/>
  <c r="D158" i="1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7" i="1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J156" i="1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F156" i="11"/>
  <c r="G156" i="11" s="1"/>
  <c r="H156" i="11" s="1"/>
  <c r="I156" i="11" s="1"/>
  <c r="E156" i="11"/>
  <c r="D156" i="11"/>
  <c r="D155" i="11"/>
  <c r="E155" i="11" s="1"/>
  <c r="F155" i="11" s="1"/>
  <c r="G155" i="11" s="1"/>
  <c r="H155" i="11" s="1"/>
  <c r="I155" i="11" s="1"/>
  <c r="J155" i="11" s="1"/>
  <c r="K155" i="11" s="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B155" i="11" s="1"/>
  <c r="K153" i="1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F153" i="11"/>
  <c r="G153" i="11" s="1"/>
  <c r="H153" i="11" s="1"/>
  <c r="I153" i="11" s="1"/>
  <c r="J153" i="11" s="1"/>
  <c r="D153" i="11"/>
  <c r="E153" i="11" s="1"/>
  <c r="Z152" i="11"/>
  <c r="AA152" i="11" s="1"/>
  <c r="AB152" i="11" s="1"/>
  <c r="AC152" i="11" s="1"/>
  <c r="AD152" i="11" s="1"/>
  <c r="AE152" i="11" s="1"/>
  <c r="AF152" i="11" s="1"/>
  <c r="B152" i="11" s="1"/>
  <c r="H152" i="1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E152" i="11"/>
  <c r="F152" i="11" s="1"/>
  <c r="G152" i="11" s="1"/>
  <c r="D152" i="11"/>
  <c r="Z151" i="11"/>
  <c r="AA151" i="11" s="1"/>
  <c r="AB151" i="11" s="1"/>
  <c r="AC151" i="11" s="1"/>
  <c r="AD151" i="11" s="1"/>
  <c r="AE151" i="11" s="1"/>
  <c r="AF151" i="11" s="1"/>
  <c r="B151" i="11" s="1"/>
  <c r="G151" i="1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F151" i="11"/>
  <c r="E151" i="11"/>
  <c r="D151" i="11"/>
  <c r="D150" i="11"/>
  <c r="E150" i="11" s="1"/>
  <c r="F150" i="11" s="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B150" i="11" s="1"/>
  <c r="Y148" i="11"/>
  <c r="Z148" i="11" s="1"/>
  <c r="AA148" i="11" s="1"/>
  <c r="AB148" i="11" s="1"/>
  <c r="AC148" i="11" s="1"/>
  <c r="AD148" i="11" s="1"/>
  <c r="AE148" i="11" s="1"/>
  <c r="AF148" i="11" s="1"/>
  <c r="B148" i="11" s="1"/>
  <c r="G148" i="1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F148" i="11"/>
  <c r="D148" i="11"/>
  <c r="E148" i="11" s="1"/>
  <c r="H147" i="11"/>
  <c r="I147" i="11" s="1"/>
  <c r="J147" i="11" s="1"/>
  <c r="K147" i="11" s="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B147" i="11" s="1"/>
  <c r="E147" i="11"/>
  <c r="F147" i="11" s="1"/>
  <c r="G147" i="11" s="1"/>
  <c r="D147" i="11"/>
  <c r="I145" i="1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F145" i="11"/>
  <c r="G145" i="11" s="1"/>
  <c r="H145" i="11" s="1"/>
  <c r="E145" i="11"/>
  <c r="D145" i="11"/>
  <c r="N144" i="1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D144" i="11"/>
  <c r="E144" i="11" s="1"/>
  <c r="F144" i="11" s="1"/>
  <c r="G144" i="11" s="1"/>
  <c r="H144" i="11" s="1"/>
  <c r="I144" i="11" s="1"/>
  <c r="J144" i="11" s="1"/>
  <c r="K144" i="11" s="1"/>
  <c r="L144" i="11" s="1"/>
  <c r="M144" i="11" s="1"/>
  <c r="Q143" i="1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I143" i="11"/>
  <c r="J143" i="11" s="1"/>
  <c r="K143" i="11" s="1"/>
  <c r="L143" i="11" s="1"/>
  <c r="M143" i="11" s="1"/>
  <c r="N143" i="11" s="1"/>
  <c r="O143" i="11" s="1"/>
  <c r="P143" i="11" s="1"/>
  <c r="D143" i="11"/>
  <c r="E143" i="11" s="1"/>
  <c r="F143" i="11" s="1"/>
  <c r="G143" i="11" s="1"/>
  <c r="H143" i="11" s="1"/>
  <c r="O142" i="1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H142" i="11"/>
  <c r="I142" i="11" s="1"/>
  <c r="J142" i="11" s="1"/>
  <c r="K142" i="11" s="1"/>
  <c r="L142" i="11" s="1"/>
  <c r="M142" i="11" s="1"/>
  <c r="N142" i="11" s="1"/>
  <c r="D142" i="11"/>
  <c r="E142" i="11" s="1"/>
  <c r="F142" i="11" s="1"/>
  <c r="G142" i="11" s="1"/>
  <c r="B142" i="11"/>
  <c r="J141" i="1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E141" i="11"/>
  <c r="F141" i="11" s="1"/>
  <c r="G141" i="11" s="1"/>
  <c r="H141" i="11" s="1"/>
  <c r="I141" i="11" s="1"/>
  <c r="D141" i="11"/>
  <c r="H140" i="1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D140" i="11"/>
  <c r="E140" i="11" s="1"/>
  <c r="F140" i="11" s="1"/>
  <c r="G140" i="11" s="1"/>
  <c r="F139" i="1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B139" i="11" s="1"/>
  <c r="D139" i="11"/>
  <c r="E139" i="11" s="1"/>
  <c r="D137" i="1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Q136" i="1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H136" i="11"/>
  <c r="I136" i="11" s="1"/>
  <c r="J136" i="11" s="1"/>
  <c r="K136" i="11" s="1"/>
  <c r="L136" i="11" s="1"/>
  <c r="M136" i="11" s="1"/>
  <c r="N136" i="11" s="1"/>
  <c r="O136" i="11" s="1"/>
  <c r="P136" i="11" s="1"/>
  <c r="F136" i="11"/>
  <c r="G136" i="11" s="1"/>
  <c r="E136" i="11"/>
  <c r="D136" i="11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D134" i="11"/>
  <c r="E134" i="11" s="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K133" i="1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F133" i="11"/>
  <c r="G133" i="11" s="1"/>
  <c r="H133" i="11" s="1"/>
  <c r="I133" i="11" s="1"/>
  <c r="J133" i="11" s="1"/>
  <c r="D133" i="11"/>
  <c r="E133" i="11" s="1"/>
  <c r="H132" i="1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D132" i="11"/>
  <c r="E132" i="11" s="1"/>
  <c r="F132" i="11" s="1"/>
  <c r="G132" i="11" s="1"/>
  <c r="J131" i="1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F131" i="11"/>
  <c r="G131" i="11" s="1"/>
  <c r="H131" i="11" s="1"/>
  <c r="I131" i="11" s="1"/>
  <c r="E131" i="11"/>
  <c r="D131" i="11"/>
  <c r="AF130" i="11"/>
  <c r="B130" i="11" s="1"/>
  <c r="H130" i="1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D130" i="11"/>
  <c r="E130" i="11" s="1"/>
  <c r="F130" i="11" s="1"/>
  <c r="G130" i="11" s="1"/>
  <c r="K128" i="1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F128" i="11"/>
  <c r="G128" i="11" s="1"/>
  <c r="H128" i="11" s="1"/>
  <c r="I128" i="11" s="1"/>
  <c r="J128" i="11" s="1"/>
  <c r="D128" i="11"/>
  <c r="E128" i="11" s="1"/>
  <c r="I127" i="1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D127" i="11"/>
  <c r="E127" i="11" s="1"/>
  <c r="F127" i="11" s="1"/>
  <c r="G127" i="11" s="1"/>
  <c r="H127" i="11" s="1"/>
  <c r="G126" i="1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F126" i="11"/>
  <c r="E126" i="11"/>
  <c r="D126" i="11"/>
  <c r="H125" i="1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E125" i="11"/>
  <c r="F125" i="11" s="1"/>
  <c r="G125" i="11" s="1"/>
  <c r="D125" i="11"/>
  <c r="F124" i="1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D124" i="11"/>
  <c r="E124" i="11" s="1"/>
  <c r="D123" i="1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H122" i="1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F122" i="11"/>
  <c r="G122" i="11" s="1"/>
  <c r="E122" i="11"/>
  <c r="D122" i="11"/>
  <c r="E121" i="1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D121" i="11"/>
  <c r="E120" i="1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D120" i="11"/>
  <c r="D119" i="1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E118" i="1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8" i="11"/>
  <c r="G117" i="1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E117" i="11"/>
  <c r="F117" i="11" s="1"/>
  <c r="D117" i="11"/>
  <c r="S116" i="1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F116" i="1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E116" i="11"/>
  <c r="D116" i="11"/>
  <c r="I115" i="1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D115" i="11"/>
  <c r="E115" i="11" s="1"/>
  <c r="F115" i="11" s="1"/>
  <c r="G115" i="11" s="1"/>
  <c r="H115" i="11" s="1"/>
  <c r="G114" i="1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E114" i="11"/>
  <c r="F114" i="11" s="1"/>
  <c r="D114" i="11"/>
  <c r="AE113" i="11"/>
  <c r="AF113" i="11" s="1"/>
  <c r="B113" i="11" s="1"/>
  <c r="K113" i="1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D113" i="11"/>
  <c r="E113" i="11" s="1"/>
  <c r="F113" i="11" s="1"/>
  <c r="G113" i="11" s="1"/>
  <c r="H113" i="11" s="1"/>
  <c r="I113" i="11" s="1"/>
  <c r="T112" i="1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B112" i="11"/>
  <c r="H111" i="1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B111" i="11" s="1"/>
  <c r="D111" i="11"/>
  <c r="E111" i="11" s="1"/>
  <c r="F111" i="11" s="1"/>
  <c r="G111" i="11" s="1"/>
  <c r="N109" i="1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D109" i="11"/>
  <c r="E109" i="11" s="1"/>
  <c r="F109" i="11" s="1"/>
  <c r="G109" i="11" s="1"/>
  <c r="H109" i="11" s="1"/>
  <c r="I109" i="11" s="1"/>
  <c r="J109" i="11" s="1"/>
  <c r="K109" i="11" s="1"/>
  <c r="L109" i="11" s="1"/>
  <c r="M109" i="11" s="1"/>
  <c r="R108" i="1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B108" i="11" s="1"/>
  <c r="E108" i="11"/>
  <c r="F108" i="11" s="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D108" i="11"/>
  <c r="D106" i="11"/>
  <c r="E106" i="11" s="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D105" i="1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V104" i="1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J104" i="1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F104" i="11"/>
  <c r="G104" i="11" s="1"/>
  <c r="H104" i="11" s="1"/>
  <c r="I104" i="11" s="1"/>
  <c r="D104" i="11"/>
  <c r="E104" i="11" s="1"/>
  <c r="H103" i="1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B103" i="11" s="1"/>
  <c r="D103" i="11"/>
  <c r="E103" i="11" s="1"/>
  <c r="F103" i="11" s="1"/>
  <c r="G103" i="11" s="1"/>
  <c r="D102" i="11"/>
  <c r="E102" i="11" s="1"/>
  <c r="D101" i="11"/>
  <c r="AH98" i="11"/>
  <c r="AI98" i="11" s="1"/>
  <c r="AH97" i="11"/>
  <c r="AI97" i="11" s="1"/>
  <c r="AH96" i="11"/>
  <c r="AI96" i="11" s="1"/>
  <c r="AH95" i="11"/>
  <c r="AI95" i="11" s="1"/>
  <c r="AH94" i="11"/>
  <c r="AI94" i="11" s="1"/>
  <c r="D93" i="1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AI81" i="11"/>
  <c r="AH81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F78" i="11"/>
  <c r="AF82" i="11" s="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F76" i="11"/>
  <c r="AE76" i="11"/>
  <c r="AD76" i="11"/>
  <c r="AC76" i="11"/>
  <c r="AC82" i="11" s="1"/>
  <c r="AB76" i="11"/>
  <c r="AA76" i="11"/>
  <c r="Z76" i="11"/>
  <c r="Y76" i="11"/>
  <c r="X76" i="11"/>
  <c r="W76" i="11"/>
  <c r="V76" i="11"/>
  <c r="U76" i="11"/>
  <c r="T76" i="11"/>
  <c r="S76" i="11"/>
  <c r="R76" i="11"/>
  <c r="Q76" i="11"/>
  <c r="Q82" i="11" s="1"/>
  <c r="P76" i="11"/>
  <c r="O76" i="11"/>
  <c r="N76" i="11"/>
  <c r="M76" i="11"/>
  <c r="L76" i="11"/>
  <c r="K76" i="11"/>
  <c r="J76" i="11"/>
  <c r="J82" i="11" s="1"/>
  <c r="I76" i="11"/>
  <c r="H76" i="11"/>
  <c r="G76" i="11"/>
  <c r="G82" i="11" s="1"/>
  <c r="F76" i="11"/>
  <c r="E76" i="11"/>
  <c r="E82" i="11" s="1"/>
  <c r="D76" i="11"/>
  <c r="C76" i="11"/>
  <c r="AI74" i="11"/>
  <c r="AH74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H72" i="11"/>
  <c r="AI71" i="11"/>
  <c r="AH71" i="11"/>
  <c r="AI70" i="11"/>
  <c r="AH70" i="11"/>
  <c r="AI69" i="11"/>
  <c r="AH69" i="11"/>
  <c r="AG68" i="11"/>
  <c r="AF68" i="11"/>
  <c r="AE68" i="11"/>
  <c r="AD5" i="11" s="1"/>
  <c r="AD68" i="11"/>
  <c r="AC68" i="11"/>
  <c r="AB68" i="11"/>
  <c r="AA68" i="11"/>
  <c r="Z68" i="11"/>
  <c r="Y68" i="11"/>
  <c r="X68" i="11"/>
  <c r="W5" i="11" s="1"/>
  <c r="W68" i="11"/>
  <c r="V68" i="11"/>
  <c r="U68" i="11"/>
  <c r="T5" i="11" s="1"/>
  <c r="T68" i="11"/>
  <c r="S68" i="11"/>
  <c r="R5" i="11" s="1"/>
  <c r="R68" i="11"/>
  <c r="Q68" i="11"/>
  <c r="P5" i="11" s="1"/>
  <c r="P68" i="11"/>
  <c r="O5" i="11" s="1"/>
  <c r="O68" i="11"/>
  <c r="N5" i="11" s="1"/>
  <c r="N68" i="11"/>
  <c r="M68" i="11"/>
  <c r="L5" i="11" s="1"/>
  <c r="L68" i="11"/>
  <c r="K68" i="11"/>
  <c r="J68" i="11"/>
  <c r="I68" i="11"/>
  <c r="H5" i="11" s="1"/>
  <c r="H68" i="11"/>
  <c r="G5" i="11" s="1"/>
  <c r="G68" i="11"/>
  <c r="F5" i="11" s="1"/>
  <c r="F68" i="11"/>
  <c r="E68" i="11"/>
  <c r="D5" i="11" s="1"/>
  <c r="D68" i="11"/>
  <c r="C5" i="11" s="1"/>
  <c r="C68" i="11"/>
  <c r="B5" i="11" s="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I55" i="11"/>
  <c r="AH55" i="11"/>
  <c r="AI54" i="11"/>
  <c r="AH54" i="11"/>
  <c r="AI53" i="11"/>
  <c r="AH53" i="11"/>
  <c r="Z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G51" i="11"/>
  <c r="AG52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L75" i="11" s="1"/>
  <c r="K38" i="11"/>
  <c r="J38" i="11"/>
  <c r="I38" i="11"/>
  <c r="H38" i="11"/>
  <c r="G38" i="11"/>
  <c r="F38" i="11"/>
  <c r="E38" i="11"/>
  <c r="D38" i="11"/>
  <c r="C38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E5" i="11"/>
  <c r="AB5" i="11"/>
  <c r="AA5" i="11"/>
  <c r="Z5" i="11"/>
  <c r="X5" i="11"/>
  <c r="V5" i="11"/>
  <c r="S5" i="11"/>
  <c r="K5" i="11"/>
  <c r="J5" i="11"/>
  <c r="AG4" i="11"/>
  <c r="K4" i="11"/>
  <c r="B4" i="11"/>
  <c r="AG2" i="11"/>
  <c r="AF95" i="10"/>
  <c r="AF37" i="10"/>
  <c r="AE95" i="10"/>
  <c r="AE37" i="10"/>
  <c r="AD37" i="10"/>
  <c r="AC37" i="10"/>
  <c r="AB37" i="10"/>
  <c r="AA37" i="10"/>
  <c r="W37" i="10"/>
  <c r="V38" i="10"/>
  <c r="V37" i="10"/>
  <c r="U37" i="10"/>
  <c r="T37" i="10"/>
  <c r="S37" i="10"/>
  <c r="R95" i="10"/>
  <c r="R37" i="10"/>
  <c r="E4" i="11"/>
  <c r="S7" i="12" l="1"/>
  <c r="T7" i="12"/>
  <c r="T83" i="12"/>
  <c r="S83" i="12"/>
  <c r="G83" i="12"/>
  <c r="AR213" i="12"/>
  <c r="Z7" i="12"/>
  <c r="AJ213" i="12"/>
  <c r="R7" i="12"/>
  <c r="O83" i="12"/>
  <c r="N7" i="12"/>
  <c r="N83" i="12"/>
  <c r="M83" i="12"/>
  <c r="AE213" i="12"/>
  <c r="L83" i="12"/>
  <c r="L7" i="12"/>
  <c r="AC213" i="12"/>
  <c r="K7" i="12"/>
  <c r="K83" i="12"/>
  <c r="AB213" i="12"/>
  <c r="J7" i="12"/>
  <c r="C208" i="12"/>
  <c r="B208" i="12"/>
  <c r="F83" i="12"/>
  <c r="F7" i="12"/>
  <c r="E83" i="12"/>
  <c r="E7" i="12"/>
  <c r="V213" i="12"/>
  <c r="D83" i="12"/>
  <c r="C83" i="12"/>
  <c r="C7" i="12"/>
  <c r="AI213" i="12"/>
  <c r="Q7" i="12"/>
  <c r="Z213" i="12"/>
  <c r="H7" i="12"/>
  <c r="AA213" i="12"/>
  <c r="I7" i="12"/>
  <c r="I83" i="12"/>
  <c r="I193" i="12"/>
  <c r="AH82" i="12"/>
  <c r="AI82" i="12"/>
  <c r="E191" i="12"/>
  <c r="F101" i="12"/>
  <c r="F93" i="12"/>
  <c r="G102" i="12"/>
  <c r="Q83" i="12"/>
  <c r="H83" i="12"/>
  <c r="G198" i="12"/>
  <c r="E234" i="12"/>
  <c r="AH213" i="12"/>
  <c r="P7" i="12"/>
  <c r="AE82" i="11"/>
  <c r="AD82" i="11"/>
  <c r="AA82" i="11"/>
  <c r="Z82" i="11"/>
  <c r="Z73" i="11"/>
  <c r="X82" i="11"/>
  <c r="Y82" i="11"/>
  <c r="W82" i="11"/>
  <c r="V82" i="11"/>
  <c r="U82" i="11"/>
  <c r="T73" i="11"/>
  <c r="T75" i="11"/>
  <c r="S82" i="11"/>
  <c r="S73" i="11"/>
  <c r="R82" i="11"/>
  <c r="R73" i="11"/>
  <c r="Q75" i="11"/>
  <c r="Q73" i="11"/>
  <c r="P73" i="11"/>
  <c r="P82" i="11"/>
  <c r="P75" i="11"/>
  <c r="AH213" i="11" s="1"/>
  <c r="O82" i="11"/>
  <c r="AI37" i="11"/>
  <c r="O75" i="11"/>
  <c r="O73" i="11"/>
  <c r="N82" i="11"/>
  <c r="M82" i="11"/>
  <c r="M73" i="11"/>
  <c r="M75" i="11"/>
  <c r="AD213" i="11"/>
  <c r="L7" i="11"/>
  <c r="L73" i="11"/>
  <c r="K82" i="11"/>
  <c r="K73" i="11"/>
  <c r="J73" i="11"/>
  <c r="I82" i="11"/>
  <c r="I75" i="11"/>
  <c r="I7" i="11" s="1"/>
  <c r="I73" i="11"/>
  <c r="AI77" i="11"/>
  <c r="H82" i="11"/>
  <c r="AI80" i="11"/>
  <c r="AH80" i="11"/>
  <c r="H73" i="11"/>
  <c r="H75" i="11"/>
  <c r="G75" i="11"/>
  <c r="Y213" i="11" s="1"/>
  <c r="G73" i="11"/>
  <c r="AH77" i="11"/>
  <c r="F82" i="11"/>
  <c r="AH78" i="11"/>
  <c r="AI76" i="11"/>
  <c r="E73" i="11"/>
  <c r="E75" i="11"/>
  <c r="E83" i="11" s="1"/>
  <c r="D75" i="11"/>
  <c r="V213" i="11" s="1"/>
  <c r="AI38" i="11"/>
  <c r="D73" i="11"/>
  <c r="AI79" i="11"/>
  <c r="B82" i="11"/>
  <c r="C82" i="11"/>
  <c r="C73" i="11"/>
  <c r="C75" i="11" s="1"/>
  <c r="C7" i="11" s="1"/>
  <c r="B75" i="11"/>
  <c r="B73" i="11"/>
  <c r="H4" i="11"/>
  <c r="AA213" i="11"/>
  <c r="AI213" i="11"/>
  <c r="Q7" i="11"/>
  <c r="AH38" i="11"/>
  <c r="AH56" i="11"/>
  <c r="F75" i="11"/>
  <c r="N75" i="11"/>
  <c r="D191" i="11"/>
  <c r="E101" i="11"/>
  <c r="E5" i="11"/>
  <c r="F73" i="11"/>
  <c r="M5" i="11"/>
  <c r="N73" i="11"/>
  <c r="U5" i="11"/>
  <c r="AC5" i="11"/>
  <c r="P83" i="11"/>
  <c r="AI78" i="11"/>
  <c r="AG213" i="11"/>
  <c r="O7" i="11"/>
  <c r="AG3" i="11"/>
  <c r="AG6" i="11" s="1"/>
  <c r="AG75" i="11"/>
  <c r="F102" i="11"/>
  <c r="E93" i="11"/>
  <c r="P7" i="11"/>
  <c r="Q83" i="11"/>
  <c r="AG73" i="11"/>
  <c r="AG83" i="11" s="1"/>
  <c r="D82" i="11"/>
  <c r="L82" i="11"/>
  <c r="T82" i="11"/>
  <c r="T83" i="11" s="1"/>
  <c r="AB82" i="11"/>
  <c r="AF5" i="11"/>
  <c r="J75" i="11"/>
  <c r="R75" i="11"/>
  <c r="R83" i="11" s="1"/>
  <c r="Z75" i="11"/>
  <c r="Z83" i="11" s="1"/>
  <c r="O83" i="11"/>
  <c r="I5" i="11"/>
  <c r="Q5" i="11"/>
  <c r="Y5" i="11"/>
  <c r="K75" i="11"/>
  <c r="S75" i="11"/>
  <c r="AH76" i="11"/>
  <c r="AH68" i="11"/>
  <c r="AI56" i="11"/>
  <c r="AI68" i="11"/>
  <c r="AI72" i="11"/>
  <c r="AH79" i="11"/>
  <c r="D210" i="11"/>
  <c r="S210" i="11"/>
  <c r="F198" i="11"/>
  <c r="D234" i="11"/>
  <c r="D199" i="11"/>
  <c r="E196" i="1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F193" i="11"/>
  <c r="K6" i="12" l="1"/>
  <c r="G93" i="12"/>
  <c r="H102" i="12"/>
  <c r="F191" i="12"/>
  <c r="G101" i="12"/>
  <c r="H198" i="12"/>
  <c r="F234" i="12"/>
  <c r="G199" i="12"/>
  <c r="J193" i="12"/>
  <c r="AL213" i="11"/>
  <c r="T7" i="11"/>
  <c r="N83" i="11"/>
  <c r="M83" i="11"/>
  <c r="M7" i="11"/>
  <c r="AE213" i="11"/>
  <c r="L83" i="11"/>
  <c r="J83" i="11"/>
  <c r="I83" i="11"/>
  <c r="Z213" i="11"/>
  <c r="H7" i="11"/>
  <c r="H83" i="11"/>
  <c r="G83" i="11"/>
  <c r="G7" i="11"/>
  <c r="F83" i="11"/>
  <c r="E7" i="11"/>
  <c r="W213" i="11"/>
  <c r="D7" i="11"/>
  <c r="D83" i="11"/>
  <c r="U213" i="11"/>
  <c r="C83" i="11"/>
  <c r="B83" i="11"/>
  <c r="AC213" i="11"/>
  <c r="K7" i="11"/>
  <c r="AR213" i="11"/>
  <c r="Z7" i="11"/>
  <c r="K83" i="11"/>
  <c r="G102" i="11"/>
  <c r="F93" i="11"/>
  <c r="AB213" i="11"/>
  <c r="J7" i="11"/>
  <c r="AJ213" i="11"/>
  <c r="R7" i="11"/>
  <c r="E234" i="11"/>
  <c r="G198" i="11"/>
  <c r="AF213" i="11"/>
  <c r="N7" i="11"/>
  <c r="AI82" i="11"/>
  <c r="AH82" i="11"/>
  <c r="B208" i="11"/>
  <c r="E191" i="11"/>
  <c r="F101" i="11"/>
  <c r="C208" i="11"/>
  <c r="X213" i="11"/>
  <c r="F7" i="11"/>
  <c r="F199" i="11"/>
  <c r="G193" i="11"/>
  <c r="E199" i="11"/>
  <c r="AK213" i="11"/>
  <c r="S7" i="11"/>
  <c r="S83" i="11"/>
  <c r="G191" i="12" l="1"/>
  <c r="H101" i="12"/>
  <c r="I198" i="12"/>
  <c r="G234" i="12"/>
  <c r="H199" i="12"/>
  <c r="K193" i="12"/>
  <c r="H93" i="12"/>
  <c r="I102" i="12"/>
  <c r="H102" i="11"/>
  <c r="G93" i="11"/>
  <c r="F234" i="11"/>
  <c r="H198" i="11"/>
  <c r="F191" i="11"/>
  <c r="G101" i="11"/>
  <c r="K6" i="11"/>
  <c r="H193" i="11"/>
  <c r="G199" i="11"/>
  <c r="H234" i="12" l="1"/>
  <c r="J198" i="12"/>
  <c r="I199" i="12"/>
  <c r="H191" i="12"/>
  <c r="I101" i="12"/>
  <c r="J102" i="12"/>
  <c r="I93" i="12"/>
  <c r="L193" i="12"/>
  <c r="G191" i="11"/>
  <c r="H101" i="11"/>
  <c r="I102" i="11"/>
  <c r="H93" i="11"/>
  <c r="G234" i="11"/>
  <c r="I198" i="11"/>
  <c r="H199" i="11"/>
  <c r="I193" i="11"/>
  <c r="K102" i="12" l="1"/>
  <c r="J93" i="12"/>
  <c r="I191" i="12"/>
  <c r="J101" i="12"/>
  <c r="I234" i="12"/>
  <c r="K198" i="12"/>
  <c r="J199" i="12"/>
  <c r="M193" i="12"/>
  <c r="J102" i="11"/>
  <c r="I93" i="11"/>
  <c r="H191" i="11"/>
  <c r="I101" i="11"/>
  <c r="J198" i="11"/>
  <c r="H234" i="11"/>
  <c r="J193" i="11"/>
  <c r="I199" i="11"/>
  <c r="J234" i="12" l="1"/>
  <c r="L198" i="12"/>
  <c r="K199" i="12"/>
  <c r="J191" i="12"/>
  <c r="K101" i="12"/>
  <c r="L102" i="12"/>
  <c r="K93" i="12"/>
  <c r="N193" i="12"/>
  <c r="K193" i="11"/>
  <c r="J199" i="11"/>
  <c r="I234" i="11"/>
  <c r="K198" i="11"/>
  <c r="I191" i="11"/>
  <c r="J101" i="11"/>
  <c r="J93" i="11"/>
  <c r="K102" i="11"/>
  <c r="K191" i="12" l="1"/>
  <c r="L101" i="12"/>
  <c r="M102" i="12"/>
  <c r="L93" i="12"/>
  <c r="K234" i="12"/>
  <c r="M198" i="12"/>
  <c r="L199" i="12"/>
  <c r="O193" i="12"/>
  <c r="L102" i="11"/>
  <c r="K93" i="11"/>
  <c r="J191" i="11"/>
  <c r="K101" i="11"/>
  <c r="L198" i="11"/>
  <c r="J234" i="11"/>
  <c r="K199" i="11"/>
  <c r="L193" i="11"/>
  <c r="L234" i="12" l="1"/>
  <c r="N198" i="12"/>
  <c r="M199" i="12"/>
  <c r="M93" i="12"/>
  <c r="N102" i="12"/>
  <c r="L191" i="12"/>
  <c r="M101" i="12"/>
  <c r="P193" i="12"/>
  <c r="M193" i="11"/>
  <c r="L199" i="11"/>
  <c r="K191" i="11"/>
  <c r="L101" i="11"/>
  <c r="K234" i="11"/>
  <c r="M198" i="11"/>
  <c r="M102" i="11"/>
  <c r="L93" i="11"/>
  <c r="M191" i="12" l="1"/>
  <c r="N101" i="12"/>
  <c r="N93" i="12"/>
  <c r="O102" i="12"/>
  <c r="O198" i="12"/>
  <c r="M234" i="12"/>
  <c r="N199" i="12"/>
  <c r="Q193" i="12"/>
  <c r="N102" i="11"/>
  <c r="M93" i="11"/>
  <c r="N198" i="11"/>
  <c r="L234" i="11"/>
  <c r="L191" i="11"/>
  <c r="M101" i="11"/>
  <c r="M199" i="11"/>
  <c r="N193" i="11"/>
  <c r="O93" i="12" l="1"/>
  <c r="P102" i="12"/>
  <c r="N191" i="12"/>
  <c r="O101" i="12"/>
  <c r="N234" i="12"/>
  <c r="P198" i="12"/>
  <c r="O199" i="12"/>
  <c r="R193" i="12"/>
  <c r="O198" i="11"/>
  <c r="M234" i="11"/>
  <c r="N199" i="11"/>
  <c r="O193" i="11"/>
  <c r="M191" i="11"/>
  <c r="N101" i="11"/>
  <c r="O102" i="11"/>
  <c r="N93" i="11"/>
  <c r="Q198" i="12" l="1"/>
  <c r="O234" i="12"/>
  <c r="P199" i="12"/>
  <c r="O191" i="12"/>
  <c r="P101" i="12"/>
  <c r="P93" i="12"/>
  <c r="Q102" i="12"/>
  <c r="S193" i="12"/>
  <c r="O93" i="11"/>
  <c r="P102" i="11"/>
  <c r="N191" i="11"/>
  <c r="O101" i="11"/>
  <c r="P193" i="11"/>
  <c r="O199" i="11"/>
  <c r="P198" i="11"/>
  <c r="N234" i="11"/>
  <c r="T193" i="12" l="1"/>
  <c r="R102" i="12"/>
  <c r="Q93" i="12"/>
  <c r="P191" i="12"/>
  <c r="Q101" i="12"/>
  <c r="P234" i="12"/>
  <c r="R198" i="12"/>
  <c r="Q199" i="12"/>
  <c r="O234" i="11"/>
  <c r="Q198" i="11"/>
  <c r="Q193" i="11"/>
  <c r="P199" i="11"/>
  <c r="O191" i="11"/>
  <c r="P101" i="11"/>
  <c r="Q102" i="11"/>
  <c r="P93" i="11"/>
  <c r="Q234" i="12" l="1"/>
  <c r="S198" i="12"/>
  <c r="R199" i="12"/>
  <c r="Q191" i="12"/>
  <c r="R101" i="12"/>
  <c r="U193" i="12"/>
  <c r="S102" i="12"/>
  <c r="R93" i="12"/>
  <c r="P191" i="11"/>
  <c r="Q101" i="11"/>
  <c r="R102" i="11"/>
  <c r="Q93" i="11"/>
  <c r="R193" i="11"/>
  <c r="Q199" i="11"/>
  <c r="R198" i="11"/>
  <c r="P234" i="11"/>
  <c r="T102" i="12" l="1"/>
  <c r="S93" i="12"/>
  <c r="R191" i="12"/>
  <c r="S101" i="12"/>
  <c r="V193" i="12"/>
  <c r="R234" i="12"/>
  <c r="T198" i="12"/>
  <c r="S199" i="12"/>
  <c r="S102" i="11"/>
  <c r="R93" i="11"/>
  <c r="S193" i="11"/>
  <c r="R199" i="11"/>
  <c r="Q191" i="11"/>
  <c r="R101" i="11"/>
  <c r="Q234" i="11"/>
  <c r="S198" i="11"/>
  <c r="S234" i="12" l="1"/>
  <c r="U198" i="12"/>
  <c r="T199" i="12"/>
  <c r="W193" i="12"/>
  <c r="S191" i="12"/>
  <c r="T101" i="12"/>
  <c r="U102" i="12"/>
  <c r="T93" i="12"/>
  <c r="T198" i="11"/>
  <c r="R234" i="11"/>
  <c r="R191" i="11"/>
  <c r="S101" i="11"/>
  <c r="S199" i="11"/>
  <c r="T193" i="11"/>
  <c r="S93" i="11"/>
  <c r="T102" i="11"/>
  <c r="U93" i="12" l="1"/>
  <c r="V102" i="12"/>
  <c r="T191" i="12"/>
  <c r="U101" i="12"/>
  <c r="X193" i="12"/>
  <c r="T234" i="12"/>
  <c r="V198" i="12"/>
  <c r="U199" i="12"/>
  <c r="U102" i="11"/>
  <c r="T93" i="11"/>
  <c r="T199" i="11"/>
  <c r="U193" i="11"/>
  <c r="S191" i="11"/>
  <c r="T101" i="11"/>
  <c r="S234" i="11"/>
  <c r="U198" i="11"/>
  <c r="W198" i="12" l="1"/>
  <c r="U234" i="12"/>
  <c r="V199" i="12"/>
  <c r="V51" i="12" s="1"/>
  <c r="V52" i="12" s="1"/>
  <c r="Y193" i="12"/>
  <c r="U191" i="12"/>
  <c r="V101" i="12"/>
  <c r="W102" i="12"/>
  <c r="V93" i="12"/>
  <c r="U75" i="12"/>
  <c r="V198" i="11"/>
  <c r="T234" i="11"/>
  <c r="T191" i="11"/>
  <c r="U101" i="11"/>
  <c r="U199" i="11"/>
  <c r="U51" i="11" s="1"/>
  <c r="U52" i="11" s="1"/>
  <c r="V193" i="11"/>
  <c r="V102" i="11"/>
  <c r="U93" i="11"/>
  <c r="V191" i="12" l="1"/>
  <c r="W101" i="12"/>
  <c r="Z193" i="12"/>
  <c r="AM213" i="12"/>
  <c r="U7" i="12"/>
  <c r="V75" i="12"/>
  <c r="V73" i="12"/>
  <c r="U83" i="12"/>
  <c r="W93" i="12"/>
  <c r="X102" i="12"/>
  <c r="V234" i="12"/>
  <c r="X198" i="12"/>
  <c r="W199" i="12"/>
  <c r="W51" i="12" s="1"/>
  <c r="W52" i="12" s="1"/>
  <c r="U191" i="11"/>
  <c r="V101" i="11"/>
  <c r="W102" i="11"/>
  <c r="V93" i="11"/>
  <c r="U73" i="11"/>
  <c r="U75" i="11"/>
  <c r="V199" i="11"/>
  <c r="V51" i="11" s="1"/>
  <c r="V52" i="11" s="1"/>
  <c r="W193" i="11"/>
  <c r="W198" i="11"/>
  <c r="U234" i="11"/>
  <c r="AN213" i="12" l="1"/>
  <c r="V7" i="12"/>
  <c r="W73" i="12"/>
  <c r="W75" i="12"/>
  <c r="X93" i="12"/>
  <c r="Y102" i="12"/>
  <c r="AA193" i="12"/>
  <c r="V83" i="12"/>
  <c r="W191" i="12"/>
  <c r="X101" i="12"/>
  <c r="Y198" i="12"/>
  <c r="W234" i="12"/>
  <c r="X199" i="12"/>
  <c r="V73" i="11"/>
  <c r="V75" i="11"/>
  <c r="AM213" i="11"/>
  <c r="U7" i="11"/>
  <c r="X193" i="11"/>
  <c r="W199" i="11"/>
  <c r="W51" i="11" s="1"/>
  <c r="W52" i="11" s="1"/>
  <c r="W93" i="11"/>
  <c r="X102" i="11"/>
  <c r="V191" i="11"/>
  <c r="W101" i="11"/>
  <c r="U83" i="11"/>
  <c r="X198" i="11"/>
  <c r="V234" i="11"/>
  <c r="X73" i="12" l="1"/>
  <c r="X75" i="12"/>
  <c r="Z102" i="12"/>
  <c r="Y93" i="12"/>
  <c r="X191" i="12"/>
  <c r="Y101" i="12"/>
  <c r="AB193" i="12"/>
  <c r="X234" i="12"/>
  <c r="Z198" i="12"/>
  <c r="Y199" i="12"/>
  <c r="Y51" i="12" s="1"/>
  <c r="Y52" i="12" s="1"/>
  <c r="AO213" i="12"/>
  <c r="W7" i="12"/>
  <c r="W83" i="12"/>
  <c r="Y102" i="11"/>
  <c r="X93" i="11"/>
  <c r="W75" i="11"/>
  <c r="W73" i="11"/>
  <c r="W83" i="11" s="1"/>
  <c r="Y193" i="11"/>
  <c r="X199" i="11"/>
  <c r="X52" i="11" s="1"/>
  <c r="W234" i="11"/>
  <c r="Y198" i="11"/>
  <c r="W191" i="11"/>
  <c r="X101" i="11"/>
  <c r="AN213" i="11"/>
  <c r="V7" i="11"/>
  <c r="V83" i="11"/>
  <c r="Y191" i="12" l="1"/>
  <c r="Z101" i="12"/>
  <c r="Y75" i="12"/>
  <c r="Y73" i="12"/>
  <c r="Y83" i="12" s="1"/>
  <c r="AA102" i="12"/>
  <c r="Z93" i="12"/>
  <c r="AC193" i="12"/>
  <c r="Y234" i="12"/>
  <c r="AA198" i="12"/>
  <c r="Z199" i="12"/>
  <c r="AP213" i="12"/>
  <c r="X7" i="12"/>
  <c r="X83" i="12"/>
  <c r="Z193" i="11"/>
  <c r="Y199" i="11"/>
  <c r="Y52" i="11" s="1"/>
  <c r="Z198" i="11"/>
  <c r="X234" i="11"/>
  <c r="X73" i="11"/>
  <c r="X75" i="11"/>
  <c r="AO213" i="11"/>
  <c r="W7" i="11"/>
  <c r="X191" i="11"/>
  <c r="Y101" i="11"/>
  <c r="Z102" i="11"/>
  <c r="Y93" i="11"/>
  <c r="AD193" i="12" l="1"/>
  <c r="AQ213" i="12"/>
  <c r="Y7" i="12"/>
  <c r="AB102" i="12"/>
  <c r="AA93" i="12"/>
  <c r="Z234" i="12"/>
  <c r="AB198" i="12"/>
  <c r="AA199" i="12"/>
  <c r="AA51" i="12" s="1"/>
  <c r="AA52" i="12" s="1"/>
  <c r="Z191" i="12"/>
  <c r="AA101" i="12"/>
  <c r="AP213" i="11"/>
  <c r="X7" i="11"/>
  <c r="Y234" i="11"/>
  <c r="AA198" i="11"/>
  <c r="X83" i="11"/>
  <c r="AA102" i="11"/>
  <c r="Z93" i="11"/>
  <c r="Y191" i="11"/>
  <c r="Z101" i="11"/>
  <c r="Y75" i="11"/>
  <c r="Y73" i="11"/>
  <c r="Z199" i="11"/>
  <c r="AA193" i="11"/>
  <c r="AA234" i="12" l="1"/>
  <c r="AC198" i="12"/>
  <c r="AB199" i="12"/>
  <c r="AB51" i="12" s="1"/>
  <c r="AB52" i="12" s="1"/>
  <c r="AE193" i="12"/>
  <c r="AC102" i="12"/>
  <c r="AB93" i="12"/>
  <c r="AA191" i="12"/>
  <c r="AB101" i="12"/>
  <c r="AA75" i="12"/>
  <c r="AA73" i="12"/>
  <c r="AA83" i="12" s="1"/>
  <c r="Y83" i="11"/>
  <c r="AA199" i="11"/>
  <c r="AA51" i="11" s="1"/>
  <c r="AA52" i="11" s="1"/>
  <c r="AB193" i="11"/>
  <c r="AB198" i="11"/>
  <c r="Z234" i="11"/>
  <c r="AB102" i="11"/>
  <c r="AA93" i="11"/>
  <c r="AQ213" i="11"/>
  <c r="Y7" i="11"/>
  <c r="Z191" i="11"/>
  <c r="AA101" i="11"/>
  <c r="AF193" i="12" l="1"/>
  <c r="AS213" i="12"/>
  <c r="AA7" i="12"/>
  <c r="AC93" i="12"/>
  <c r="AD102" i="12"/>
  <c r="AB73" i="12"/>
  <c r="AB75" i="12"/>
  <c r="AB234" i="12"/>
  <c r="AD198" i="12"/>
  <c r="AC199" i="12"/>
  <c r="AC51" i="12" s="1"/>
  <c r="AC52" i="12" s="1"/>
  <c r="AB191" i="12"/>
  <c r="AC101" i="12"/>
  <c r="AA234" i="11"/>
  <c r="AC198" i="11"/>
  <c r="AA191" i="11"/>
  <c r="AB101" i="11"/>
  <c r="AB199" i="11"/>
  <c r="AB51" i="11" s="1"/>
  <c r="AB52" i="11" s="1"/>
  <c r="AC193" i="11"/>
  <c r="AB93" i="11"/>
  <c r="AC102" i="11"/>
  <c r="AA75" i="11"/>
  <c r="AA73" i="11"/>
  <c r="AA83" i="11" s="1"/>
  <c r="AB83" i="12" l="1"/>
  <c r="AC191" i="12"/>
  <c r="AD101" i="12"/>
  <c r="AE198" i="12"/>
  <c r="AC234" i="12"/>
  <c r="AD199" i="12"/>
  <c r="AD51" i="12" s="1"/>
  <c r="AD52" i="12" s="1"/>
  <c r="B193" i="12"/>
  <c r="AT213" i="12"/>
  <c r="AB7" i="12"/>
  <c r="AE102" i="12"/>
  <c r="AD93" i="12"/>
  <c r="AC75" i="12"/>
  <c r="AC73" i="12"/>
  <c r="AC83" i="12" s="1"/>
  <c r="AB75" i="11"/>
  <c r="AB73" i="11"/>
  <c r="AB83" i="11" s="1"/>
  <c r="AD198" i="11"/>
  <c r="AB234" i="11"/>
  <c r="AD102" i="11"/>
  <c r="AC93" i="11"/>
  <c r="AC199" i="11"/>
  <c r="AC51" i="11" s="1"/>
  <c r="AC52" i="11" s="1"/>
  <c r="AD193" i="11"/>
  <c r="AB191" i="11"/>
  <c r="AC101" i="11"/>
  <c r="AS213" i="11"/>
  <c r="AA7" i="11"/>
  <c r="AD73" i="12" l="1"/>
  <c r="AD75" i="12"/>
  <c r="AF102" i="12"/>
  <c r="AE93" i="12"/>
  <c r="AD191" i="12"/>
  <c r="AE101" i="12"/>
  <c r="AU213" i="12"/>
  <c r="AC7" i="12"/>
  <c r="AD234" i="12"/>
  <c r="AF198" i="12"/>
  <c r="AE199" i="12"/>
  <c r="AE51" i="12" s="1"/>
  <c r="AE52" i="12" s="1"/>
  <c r="AE193" i="11"/>
  <c r="AD199" i="11"/>
  <c r="AD51" i="11" s="1"/>
  <c r="AD52" i="11" s="1"/>
  <c r="AC234" i="11"/>
  <c r="AE198" i="11"/>
  <c r="AC191" i="11"/>
  <c r="AD101" i="11"/>
  <c r="AC73" i="11"/>
  <c r="AC75" i="11"/>
  <c r="AE102" i="11"/>
  <c r="AD93" i="11"/>
  <c r="AT213" i="11"/>
  <c r="AB7" i="11"/>
  <c r="AD83" i="12" l="1"/>
  <c r="AE191" i="12"/>
  <c r="AF101" i="12"/>
  <c r="AE73" i="12"/>
  <c r="AE75" i="12"/>
  <c r="B102" i="12"/>
  <c r="AF93" i="12"/>
  <c r="AE234" i="12"/>
  <c r="B198" i="12"/>
  <c r="AF199" i="12"/>
  <c r="AF51" i="12" s="1"/>
  <c r="AF52" i="12" s="1"/>
  <c r="AV213" i="12"/>
  <c r="AD7" i="12"/>
  <c r="AC83" i="11"/>
  <c r="AD191" i="11"/>
  <c r="AE101" i="11"/>
  <c r="AU213" i="11"/>
  <c r="AC7" i="11"/>
  <c r="AD234" i="11"/>
  <c r="AF198" i="11"/>
  <c r="AD75" i="11"/>
  <c r="AD73" i="11"/>
  <c r="AE93" i="11"/>
  <c r="AF102" i="11"/>
  <c r="AF193" i="11"/>
  <c r="AE199" i="11"/>
  <c r="AE51" i="11" s="1"/>
  <c r="AE52" i="11" s="1"/>
  <c r="AH93" i="12" l="1"/>
  <c r="AI93" i="12"/>
  <c r="B93" i="12"/>
  <c r="AF234" i="12"/>
  <c r="B199" i="12"/>
  <c r="AW213" i="12"/>
  <c r="AE7" i="12"/>
  <c r="AE83" i="12"/>
  <c r="AF191" i="12"/>
  <c r="B101" i="12"/>
  <c r="B191" i="12" s="1"/>
  <c r="AF73" i="12"/>
  <c r="AF75" i="12"/>
  <c r="AF199" i="11"/>
  <c r="AF51" i="11" s="1"/>
  <c r="AF52" i="11" s="1"/>
  <c r="B193" i="11"/>
  <c r="AE234" i="11"/>
  <c r="B198" i="11"/>
  <c r="AF234" i="11" s="1"/>
  <c r="AE75" i="11"/>
  <c r="AE73" i="11"/>
  <c r="AE83" i="11" s="1"/>
  <c r="AF93" i="11"/>
  <c r="B102" i="11"/>
  <c r="AE191" i="11"/>
  <c r="AF101" i="11"/>
  <c r="AV213" i="11"/>
  <c r="AD7" i="11"/>
  <c r="AD83" i="11"/>
  <c r="AF83" i="12" l="1"/>
  <c r="B52" i="12"/>
  <c r="AH51" i="12"/>
  <c r="AI51" i="12"/>
  <c r="AX213" i="12"/>
  <c r="AF7" i="12"/>
  <c r="AH93" i="11"/>
  <c r="AI93" i="11"/>
  <c r="AW213" i="11"/>
  <c r="AE7" i="11"/>
  <c r="AF191" i="11"/>
  <c r="B101" i="11"/>
  <c r="B191" i="11" s="1"/>
  <c r="B199" i="11"/>
  <c r="AF73" i="11"/>
  <c r="AF83" i="11" s="1"/>
  <c r="AF75" i="11"/>
  <c r="AI52" i="12" l="1"/>
  <c r="AH52" i="12"/>
  <c r="B75" i="12"/>
  <c r="B73" i="12"/>
  <c r="AI51" i="11"/>
  <c r="AH51" i="11"/>
  <c r="AX213" i="11"/>
  <c r="AF7" i="11"/>
  <c r="T213" i="12" l="1"/>
  <c r="AI75" i="12"/>
  <c r="AH75" i="12"/>
  <c r="B7" i="12"/>
  <c r="A7" i="12" s="1"/>
  <c r="AI73" i="12"/>
  <c r="AH73" i="12"/>
  <c r="B83" i="12"/>
  <c r="AH52" i="11"/>
  <c r="AI52" i="11"/>
  <c r="AH83" i="12" l="1"/>
  <c r="AI83" i="12"/>
  <c r="AI73" i="11"/>
  <c r="AH73" i="11"/>
  <c r="T213" i="11"/>
  <c r="B7" i="11"/>
  <c r="A7" i="11" s="1"/>
  <c r="AI75" i="11"/>
  <c r="AH75" i="11"/>
  <c r="AI83" i="11" l="1"/>
  <c r="AH83" i="11"/>
  <c r="P37" i="10" l="1"/>
  <c r="O95" i="10"/>
  <c r="O37" i="10"/>
  <c r="N95" i="10"/>
  <c r="N37" i="10"/>
  <c r="M95" i="10" l="1"/>
  <c r="M37" i="10"/>
  <c r="AH99" i="10"/>
  <c r="AI99" i="10" s="1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C234" i="10"/>
  <c r="B234" i="10"/>
  <c r="S209" i="10"/>
  <c r="AG199" i="10"/>
  <c r="C199" i="10"/>
  <c r="F198" i="10"/>
  <c r="E234" i="10" s="1"/>
  <c r="E198" i="10"/>
  <c r="D234" i="10" s="1"/>
  <c r="D198" i="10"/>
  <c r="E197" i="10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D197" i="10"/>
  <c r="B197" i="10"/>
  <c r="D196" i="10"/>
  <c r="E196" i="10" s="1"/>
  <c r="F196" i="10" s="1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E195" i="10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D195" i="10"/>
  <c r="O194" i="10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B194" i="10" s="1"/>
  <c r="E194" i="10"/>
  <c r="F194" i="10" s="1"/>
  <c r="G194" i="10" s="1"/>
  <c r="H194" i="10" s="1"/>
  <c r="I194" i="10" s="1"/>
  <c r="J194" i="10" s="1"/>
  <c r="K194" i="10" s="1"/>
  <c r="L194" i="10" s="1"/>
  <c r="M194" i="10" s="1"/>
  <c r="N194" i="10" s="1"/>
  <c r="D194" i="10"/>
  <c r="D193" i="10"/>
  <c r="AG191" i="10"/>
  <c r="C191" i="10"/>
  <c r="I190" i="10"/>
  <c r="J190" i="10" s="1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B190" i="10" s="1"/>
  <c r="G190" i="10"/>
  <c r="H190" i="10" s="1"/>
  <c r="D190" i="10"/>
  <c r="E190" i="10" s="1"/>
  <c r="F190" i="10" s="1"/>
  <c r="U189" i="10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E189" i="10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D189" i="10"/>
  <c r="F188" i="10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E188" i="10"/>
  <c r="D188" i="10"/>
  <c r="D187" i="10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D186" i="10"/>
  <c r="E186" i="10" s="1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U185" i="10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H185" i="10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G185" i="10"/>
  <c r="E185" i="10"/>
  <c r="F185" i="10" s="1"/>
  <c r="D185" i="10"/>
  <c r="O184" i="10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F184" i="10"/>
  <c r="G184" i="10" s="1"/>
  <c r="H184" i="10" s="1"/>
  <c r="I184" i="10" s="1"/>
  <c r="J184" i="10" s="1"/>
  <c r="K184" i="10" s="1"/>
  <c r="L184" i="10" s="1"/>
  <c r="M184" i="10" s="1"/>
  <c r="N184" i="10" s="1"/>
  <c r="E184" i="10"/>
  <c r="D184" i="10"/>
  <c r="D183" i="10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R182" i="10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D182" i="10"/>
  <c r="E182" i="10" s="1"/>
  <c r="F182" i="10" s="1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X181" i="10"/>
  <c r="Y181" i="10" s="1"/>
  <c r="Z181" i="10" s="1"/>
  <c r="AA181" i="10" s="1"/>
  <c r="AB181" i="10" s="1"/>
  <c r="AC181" i="10" s="1"/>
  <c r="AD181" i="10" s="1"/>
  <c r="AE181" i="10" s="1"/>
  <c r="AF181" i="10" s="1"/>
  <c r="B181" i="10" s="1"/>
  <c r="D181" i="10"/>
  <c r="E181" i="10" s="1"/>
  <c r="F181" i="10" s="1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G180" i="10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B180" i="10" s="1"/>
  <c r="E180" i="10"/>
  <c r="F180" i="10" s="1"/>
  <c r="D180" i="10"/>
  <c r="D179" i="10"/>
  <c r="E179" i="10" s="1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D178" i="10"/>
  <c r="E178" i="10" s="1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B178" i="10" s="1"/>
  <c r="D176" i="10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D175" i="10"/>
  <c r="E175" i="10" s="1"/>
  <c r="F175" i="10" s="1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F174" i="10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D174" i="10"/>
  <c r="E174" i="10" s="1"/>
  <c r="N173" i="10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B173" i="10" s="1"/>
  <c r="F173" i="10"/>
  <c r="G173" i="10" s="1"/>
  <c r="H173" i="10" s="1"/>
  <c r="I173" i="10" s="1"/>
  <c r="J173" i="10" s="1"/>
  <c r="K173" i="10" s="1"/>
  <c r="L173" i="10" s="1"/>
  <c r="M173" i="10" s="1"/>
  <c r="D173" i="10"/>
  <c r="E173" i="10" s="1"/>
  <c r="D172" i="10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F171" i="10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E171" i="10"/>
  <c r="D171" i="10"/>
  <c r="D170" i="10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P169" i="10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B169" i="10" s="1"/>
  <c r="I169" i="10"/>
  <c r="J169" i="10" s="1"/>
  <c r="K169" i="10" s="1"/>
  <c r="L169" i="10" s="1"/>
  <c r="M169" i="10" s="1"/>
  <c r="N169" i="10" s="1"/>
  <c r="O169" i="10" s="1"/>
  <c r="D169" i="10"/>
  <c r="E169" i="10" s="1"/>
  <c r="F169" i="10" s="1"/>
  <c r="G169" i="10" s="1"/>
  <c r="H169" i="10" s="1"/>
  <c r="N167" i="10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G167" i="10"/>
  <c r="H167" i="10" s="1"/>
  <c r="I167" i="10" s="1"/>
  <c r="J167" i="10" s="1"/>
  <c r="K167" i="10" s="1"/>
  <c r="L167" i="10" s="1"/>
  <c r="M167" i="10" s="1"/>
  <c r="F167" i="10"/>
  <c r="D167" i="10"/>
  <c r="E167" i="10" s="1"/>
  <c r="E166" i="10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D166" i="10"/>
  <c r="G165" i="10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B165" i="10" s="1"/>
  <c r="D165" i="10"/>
  <c r="E165" i="10" s="1"/>
  <c r="F165" i="10" s="1"/>
  <c r="I164" i="10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B164" i="10" s="1"/>
  <c r="E164" i="10"/>
  <c r="F164" i="10" s="1"/>
  <c r="G164" i="10" s="1"/>
  <c r="H164" i="10" s="1"/>
  <c r="D164" i="10"/>
  <c r="K163" i="10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B163" i="10" s="1"/>
  <c r="G163" i="10"/>
  <c r="H163" i="10" s="1"/>
  <c r="I163" i="10" s="1"/>
  <c r="J163" i="10" s="1"/>
  <c r="D163" i="10"/>
  <c r="E163" i="10" s="1"/>
  <c r="F163" i="10" s="1"/>
  <c r="M162" i="10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B162" i="10" s="1"/>
  <c r="I162" i="10"/>
  <c r="J162" i="10" s="1"/>
  <c r="K162" i="10" s="1"/>
  <c r="L162" i="10" s="1"/>
  <c r="E162" i="10"/>
  <c r="F162" i="10" s="1"/>
  <c r="G162" i="10" s="1"/>
  <c r="H162" i="10" s="1"/>
  <c r="D162" i="10"/>
  <c r="O161" i="10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K161" i="10"/>
  <c r="L161" i="10" s="1"/>
  <c r="M161" i="10" s="1"/>
  <c r="N161" i="10" s="1"/>
  <c r="G161" i="10"/>
  <c r="H161" i="10" s="1"/>
  <c r="I161" i="10" s="1"/>
  <c r="J161" i="10" s="1"/>
  <c r="F161" i="10"/>
  <c r="E161" i="10"/>
  <c r="D161" i="10"/>
  <c r="E160" i="10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D160" i="10"/>
  <c r="G159" i="10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F159" i="10"/>
  <c r="D159" i="10"/>
  <c r="E159" i="10" s="1"/>
  <c r="H158" i="10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B158" i="10" s="1"/>
  <c r="E158" i="10"/>
  <c r="F158" i="10" s="1"/>
  <c r="G158" i="10" s="1"/>
  <c r="D158" i="10"/>
  <c r="K157" i="10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F157" i="10"/>
  <c r="G157" i="10" s="1"/>
  <c r="H157" i="10" s="1"/>
  <c r="I157" i="10" s="1"/>
  <c r="J157" i="10" s="1"/>
  <c r="D157" i="10"/>
  <c r="E157" i="10" s="1"/>
  <c r="E156" i="10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B156" i="10" s="1"/>
  <c r="D156" i="10"/>
  <c r="W155" i="10"/>
  <c r="X155" i="10" s="1"/>
  <c r="Y155" i="10" s="1"/>
  <c r="Z155" i="10" s="1"/>
  <c r="AA155" i="10" s="1"/>
  <c r="AB155" i="10" s="1"/>
  <c r="AC155" i="10" s="1"/>
  <c r="AD155" i="10" s="1"/>
  <c r="AE155" i="10" s="1"/>
  <c r="AF155" i="10" s="1"/>
  <c r="B155" i="10" s="1"/>
  <c r="D155" i="10"/>
  <c r="E155" i="10" s="1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J153" i="10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H153" i="10"/>
  <c r="I153" i="10" s="1"/>
  <c r="E153" i="10"/>
  <c r="F153" i="10" s="1"/>
  <c r="G153" i="10" s="1"/>
  <c r="D153" i="10"/>
  <c r="R152" i="10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H152" i="10"/>
  <c r="I152" i="10" s="1"/>
  <c r="J152" i="10" s="1"/>
  <c r="K152" i="10" s="1"/>
  <c r="L152" i="10" s="1"/>
  <c r="M152" i="10" s="1"/>
  <c r="N152" i="10" s="1"/>
  <c r="O152" i="10" s="1"/>
  <c r="P152" i="10" s="1"/>
  <c r="Q152" i="10" s="1"/>
  <c r="F152" i="10"/>
  <c r="G152" i="10" s="1"/>
  <c r="D152" i="10"/>
  <c r="E152" i="10" s="1"/>
  <c r="E151" i="10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D151" i="10"/>
  <c r="E150" i="10"/>
  <c r="F150" i="10" s="1"/>
  <c r="G150" i="10" s="1"/>
  <c r="H150" i="10" s="1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B150" i="10" s="1"/>
  <c r="D150" i="10"/>
  <c r="L148" i="10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B148" i="10" s="1"/>
  <c r="D148" i="10"/>
  <c r="E148" i="10" s="1"/>
  <c r="F148" i="10" s="1"/>
  <c r="G148" i="10" s="1"/>
  <c r="H148" i="10" s="1"/>
  <c r="I148" i="10" s="1"/>
  <c r="J148" i="10" s="1"/>
  <c r="K148" i="10" s="1"/>
  <c r="AE147" i="10"/>
  <c r="AF147" i="10" s="1"/>
  <c r="B147" i="10" s="1"/>
  <c r="W147" i="10"/>
  <c r="X147" i="10" s="1"/>
  <c r="Y147" i="10" s="1"/>
  <c r="Z147" i="10" s="1"/>
  <c r="AA147" i="10" s="1"/>
  <c r="AB147" i="10" s="1"/>
  <c r="AC147" i="10" s="1"/>
  <c r="AD147" i="10" s="1"/>
  <c r="I147" i="10"/>
  <c r="J147" i="10" s="1"/>
  <c r="K147" i="10" s="1"/>
  <c r="L147" i="10" s="1"/>
  <c r="M147" i="10" s="1"/>
  <c r="N147" i="10" s="1"/>
  <c r="O147" i="10" s="1"/>
  <c r="P147" i="10" s="1"/>
  <c r="Q147" i="10" s="1"/>
  <c r="R147" i="10" s="1"/>
  <c r="S147" i="10" s="1"/>
  <c r="T147" i="10" s="1"/>
  <c r="U147" i="10" s="1"/>
  <c r="V147" i="10" s="1"/>
  <c r="G147" i="10"/>
  <c r="H147" i="10" s="1"/>
  <c r="F147" i="10"/>
  <c r="E147" i="10"/>
  <c r="D147" i="10"/>
  <c r="P145" i="10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E145" i="10"/>
  <c r="F145" i="10" s="1"/>
  <c r="G145" i="10" s="1"/>
  <c r="H145" i="10" s="1"/>
  <c r="I145" i="10" s="1"/>
  <c r="J145" i="10" s="1"/>
  <c r="K145" i="10" s="1"/>
  <c r="L145" i="10" s="1"/>
  <c r="M145" i="10" s="1"/>
  <c r="N145" i="10" s="1"/>
  <c r="O145" i="10" s="1"/>
  <c r="D145" i="10"/>
  <c r="E144" i="10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D144" i="10"/>
  <c r="B144" i="10"/>
  <c r="D143" i="10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I142" i="10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G142" i="10"/>
  <c r="H142" i="10" s="1"/>
  <c r="F142" i="10"/>
  <c r="E142" i="10"/>
  <c r="D142" i="10"/>
  <c r="L141" i="10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D141" i="10"/>
  <c r="E141" i="10" s="1"/>
  <c r="F141" i="10" s="1"/>
  <c r="G141" i="10" s="1"/>
  <c r="H141" i="10" s="1"/>
  <c r="I141" i="10" s="1"/>
  <c r="J141" i="10" s="1"/>
  <c r="K141" i="10" s="1"/>
  <c r="J140" i="10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B140" i="10" s="1"/>
  <c r="F140" i="10"/>
  <c r="G140" i="10" s="1"/>
  <c r="H140" i="10" s="1"/>
  <c r="I140" i="10" s="1"/>
  <c r="E140" i="10"/>
  <c r="D140" i="10"/>
  <c r="D139" i="10"/>
  <c r="E139" i="10" s="1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B139" i="10" s="1"/>
  <c r="Y137" i="10"/>
  <c r="Z137" i="10" s="1"/>
  <c r="AA137" i="10" s="1"/>
  <c r="AB137" i="10" s="1"/>
  <c r="AC137" i="10" s="1"/>
  <c r="AD137" i="10" s="1"/>
  <c r="AE137" i="10" s="1"/>
  <c r="AF137" i="10" s="1"/>
  <c r="B137" i="10" s="1"/>
  <c r="F137" i="10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E137" i="10"/>
  <c r="D137" i="10"/>
  <c r="D136" i="10"/>
  <c r="E136" i="10" s="1"/>
  <c r="F136" i="10" s="1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F135" i="10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E135" i="10"/>
  <c r="D135" i="10"/>
  <c r="F134" i="10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B134" i="10" s="1"/>
  <c r="E134" i="10"/>
  <c r="D134" i="10"/>
  <c r="D133" i="10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B133" i="10" s="1"/>
  <c r="E132" i="10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D132" i="10"/>
  <c r="F131" i="10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E131" i="10"/>
  <c r="D131" i="10"/>
  <c r="D130" i="10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B130" i="10" s="1"/>
  <c r="J128" i="10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G128" i="10"/>
  <c r="H128" i="10" s="1"/>
  <c r="I128" i="10" s="1"/>
  <c r="F128" i="10"/>
  <c r="E128" i="10"/>
  <c r="D128" i="10"/>
  <c r="M127" i="10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H127" i="10"/>
  <c r="I127" i="10" s="1"/>
  <c r="J127" i="10" s="1"/>
  <c r="K127" i="10" s="1"/>
  <c r="L127" i="10" s="1"/>
  <c r="E127" i="10"/>
  <c r="F127" i="10" s="1"/>
  <c r="G127" i="10" s="1"/>
  <c r="D127" i="10"/>
  <c r="N126" i="10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K126" i="10"/>
  <c r="L126" i="10" s="1"/>
  <c r="M126" i="10" s="1"/>
  <c r="F126" i="10"/>
  <c r="G126" i="10" s="1"/>
  <c r="H126" i="10" s="1"/>
  <c r="I126" i="10" s="1"/>
  <c r="J126" i="10" s="1"/>
  <c r="E126" i="10"/>
  <c r="D126" i="10"/>
  <c r="I125" i="10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D125" i="10"/>
  <c r="E125" i="10" s="1"/>
  <c r="F125" i="10" s="1"/>
  <c r="G125" i="10" s="1"/>
  <c r="H125" i="10" s="1"/>
  <c r="G124" i="10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E124" i="10"/>
  <c r="F124" i="10" s="1"/>
  <c r="D12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B123" i="10" s="1"/>
  <c r="E123" i="10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D123" i="10"/>
  <c r="AA122" i="10"/>
  <c r="AB122" i="10" s="1"/>
  <c r="AC122" i="10" s="1"/>
  <c r="AD122" i="10" s="1"/>
  <c r="AE122" i="10" s="1"/>
  <c r="AF122" i="10" s="1"/>
  <c r="F122" i="10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E122" i="10"/>
  <c r="D122" i="10"/>
  <c r="B122" i="10"/>
  <c r="I121" i="10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D121" i="10"/>
  <c r="E121" i="10" s="1"/>
  <c r="F121" i="10" s="1"/>
  <c r="G121" i="10" s="1"/>
  <c r="H121" i="10" s="1"/>
  <c r="AE120" i="10"/>
  <c r="AF120" i="10" s="1"/>
  <c r="B120" i="10" s="1"/>
  <c r="O120" i="10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E120" i="10"/>
  <c r="F120" i="10" s="1"/>
  <c r="G120" i="10" s="1"/>
  <c r="H120" i="10" s="1"/>
  <c r="I120" i="10" s="1"/>
  <c r="J120" i="10" s="1"/>
  <c r="K120" i="10" s="1"/>
  <c r="L120" i="10" s="1"/>
  <c r="M120" i="10" s="1"/>
  <c r="N120" i="10" s="1"/>
  <c r="D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D119" i="10"/>
  <c r="S118" i="10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F118" i="10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E118" i="10"/>
  <c r="D118" i="10"/>
  <c r="N117" i="10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D117" i="10"/>
  <c r="E117" i="10" s="1"/>
  <c r="F117" i="10" s="1"/>
  <c r="G117" i="10" s="1"/>
  <c r="H117" i="10" s="1"/>
  <c r="I117" i="10" s="1"/>
  <c r="J117" i="10" s="1"/>
  <c r="K117" i="10" s="1"/>
  <c r="L117" i="10" s="1"/>
  <c r="M117" i="10" s="1"/>
  <c r="L116" i="10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D116" i="10"/>
  <c r="E116" i="10" s="1"/>
  <c r="F116" i="10" s="1"/>
  <c r="G116" i="10" s="1"/>
  <c r="H116" i="10" s="1"/>
  <c r="I116" i="10" s="1"/>
  <c r="J116" i="10" s="1"/>
  <c r="K116" i="10" s="1"/>
  <c r="H115" i="10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G115" i="10"/>
  <c r="E115" i="10"/>
  <c r="F115" i="10" s="1"/>
  <c r="D115" i="10"/>
  <c r="E114" i="10"/>
  <c r="F114" i="10" s="1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D114" i="10"/>
  <c r="O113" i="10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M113" i="10"/>
  <c r="N113" i="10" s="1"/>
  <c r="L113" i="10"/>
  <c r="K113" i="10"/>
  <c r="E113" i="10"/>
  <c r="F113" i="10" s="1"/>
  <c r="G113" i="10" s="1"/>
  <c r="H113" i="10" s="1"/>
  <c r="I113" i="10" s="1"/>
  <c r="D113" i="10"/>
  <c r="H112" i="10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D112" i="10"/>
  <c r="E112" i="10" s="1"/>
  <c r="F112" i="10" s="1"/>
  <c r="G112" i="10" s="1"/>
  <c r="D111" i="10"/>
  <c r="E111" i="10" s="1"/>
  <c r="F111" i="10" s="1"/>
  <c r="G111" i="10" s="1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B111" i="10" s="1"/>
  <c r="M109" i="10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B109" i="10" s="1"/>
  <c r="D109" i="10"/>
  <c r="E109" i="10" s="1"/>
  <c r="F109" i="10" s="1"/>
  <c r="G109" i="10" s="1"/>
  <c r="H109" i="10" s="1"/>
  <c r="I109" i="10" s="1"/>
  <c r="J109" i="10" s="1"/>
  <c r="K109" i="10" s="1"/>
  <c r="L109" i="10" s="1"/>
  <c r="D108" i="10"/>
  <c r="E108" i="10" s="1"/>
  <c r="F108" i="10" s="1"/>
  <c r="G108" i="10" s="1"/>
  <c r="H108" i="10" s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B108" i="10" s="1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D106" i="10"/>
  <c r="E106" i="10" s="1"/>
  <c r="F106" i="10" s="1"/>
  <c r="G106" i="10" s="1"/>
  <c r="H106" i="10" s="1"/>
  <c r="I106" i="10" s="1"/>
  <c r="J106" i="10" s="1"/>
  <c r="K106" i="10" s="1"/>
  <c r="E105" i="10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D105" i="10"/>
  <c r="F104" i="10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E104" i="10"/>
  <c r="D104" i="10"/>
  <c r="D103" i="10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B103" i="10" s="1"/>
  <c r="D102" i="10"/>
  <c r="E102" i="10" s="1"/>
  <c r="D101" i="10"/>
  <c r="AH98" i="10"/>
  <c r="AI98" i="10" s="1"/>
  <c r="AH97" i="10"/>
  <c r="AI97" i="10" s="1"/>
  <c r="AH96" i="10"/>
  <c r="AI96" i="10" s="1"/>
  <c r="AH95" i="10"/>
  <c r="AI95" i="10" s="1"/>
  <c r="AH94" i="10"/>
  <c r="AI94" i="10" s="1"/>
  <c r="D93" i="10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AI81" i="10"/>
  <c r="AH81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F76" i="10"/>
  <c r="AE76" i="10"/>
  <c r="AD76" i="10"/>
  <c r="AC76" i="10"/>
  <c r="AB76" i="10"/>
  <c r="AB82" i="10" s="1"/>
  <c r="AA76" i="10"/>
  <c r="Z76" i="10"/>
  <c r="Y76" i="10"/>
  <c r="X76" i="10"/>
  <c r="W76" i="10"/>
  <c r="V76" i="10"/>
  <c r="U76" i="10"/>
  <c r="T76" i="10"/>
  <c r="T82" i="10" s="1"/>
  <c r="S76" i="10"/>
  <c r="R76" i="10"/>
  <c r="Q76" i="10"/>
  <c r="Q82" i="10" s="1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I74" i="10"/>
  <c r="AH74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I71" i="10"/>
  <c r="AH71" i="10"/>
  <c r="AI70" i="10"/>
  <c r="AH70" i="10"/>
  <c r="AI69" i="10"/>
  <c r="AH69" i="10"/>
  <c r="AG68" i="10"/>
  <c r="AF68" i="10"/>
  <c r="AE68" i="10"/>
  <c r="AD5" i="10" s="1"/>
  <c r="AD68" i="10"/>
  <c r="AC68" i="10"/>
  <c r="AB5" i="10" s="1"/>
  <c r="AB68" i="10"/>
  <c r="AA5" i="10" s="1"/>
  <c r="AA68" i="10"/>
  <c r="Z5" i="10" s="1"/>
  <c r="Z68" i="10"/>
  <c r="Y68" i="10"/>
  <c r="X68" i="10"/>
  <c r="W5" i="10" s="1"/>
  <c r="W68" i="10"/>
  <c r="V5" i="10" s="1"/>
  <c r="V68" i="10"/>
  <c r="U5" i="10" s="1"/>
  <c r="U68" i="10"/>
  <c r="T5" i="10" s="1"/>
  <c r="T68" i="10"/>
  <c r="S68" i="10"/>
  <c r="R5" i="10" s="1"/>
  <c r="R68" i="10"/>
  <c r="Q5" i="10" s="1"/>
  <c r="Q68" i="10"/>
  <c r="P68" i="10"/>
  <c r="O68" i="10"/>
  <c r="N5" i="10" s="1"/>
  <c r="N68" i="10"/>
  <c r="M5" i="10" s="1"/>
  <c r="M68" i="10"/>
  <c r="L5" i="10" s="1"/>
  <c r="L68" i="10"/>
  <c r="K68" i="10"/>
  <c r="J5" i="10" s="1"/>
  <c r="J68" i="10"/>
  <c r="I5" i="10" s="1"/>
  <c r="I68" i="10"/>
  <c r="H68" i="10"/>
  <c r="G68" i="10"/>
  <c r="F5" i="10" s="1"/>
  <c r="F68" i="10"/>
  <c r="E68" i="10"/>
  <c r="D5" i="10" s="1"/>
  <c r="D68" i="10"/>
  <c r="C68" i="10"/>
  <c r="B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I55" i="10"/>
  <c r="AH55" i="10"/>
  <c r="AI54" i="10"/>
  <c r="AH54" i="10"/>
  <c r="AI53" i="10"/>
  <c r="AH53" i="10"/>
  <c r="AG52" i="10"/>
  <c r="Z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F38" i="10"/>
  <c r="AE38" i="10"/>
  <c r="AD38" i="10"/>
  <c r="AC38" i="10"/>
  <c r="AB38" i="10"/>
  <c r="AA38" i="10"/>
  <c r="Z38" i="10"/>
  <c r="Y38" i="10"/>
  <c r="X38" i="10"/>
  <c r="W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E5" i="10"/>
  <c r="AC5" i="10"/>
  <c r="Y5" i="10"/>
  <c r="O5" i="10"/>
  <c r="G5" i="10"/>
  <c r="E5" i="10"/>
  <c r="B5" i="10"/>
  <c r="AG4" i="10"/>
  <c r="K4" i="10"/>
  <c r="B4" i="10"/>
  <c r="AG3" i="10"/>
  <c r="AG6" i="10" s="1"/>
  <c r="AG2" i="10"/>
  <c r="AF37" i="9"/>
  <c r="AE37" i="9"/>
  <c r="AD37" i="9"/>
  <c r="AC37" i="9"/>
  <c r="E4" i="10"/>
  <c r="AF82" i="10" l="1"/>
  <c r="AE82" i="10"/>
  <c r="AA82" i="10"/>
  <c r="Z82" i="10"/>
  <c r="Z73" i="10"/>
  <c r="Y82" i="10"/>
  <c r="X82" i="10"/>
  <c r="W82" i="10"/>
  <c r="S82" i="10"/>
  <c r="S73" i="10"/>
  <c r="R82" i="10"/>
  <c r="R73" i="10"/>
  <c r="P73" i="10"/>
  <c r="S75" i="10"/>
  <c r="P82" i="10"/>
  <c r="O82" i="10"/>
  <c r="O73" i="10"/>
  <c r="AH77" i="10"/>
  <c r="N75" i="10"/>
  <c r="M73" i="10"/>
  <c r="L82" i="10"/>
  <c r="L75" i="10"/>
  <c r="L7" i="10" s="1"/>
  <c r="K82" i="10"/>
  <c r="K75" i="10"/>
  <c r="AC213" i="10" s="1"/>
  <c r="K73" i="10"/>
  <c r="J82" i="10"/>
  <c r="J75" i="10"/>
  <c r="AB213" i="10" s="1"/>
  <c r="J7" i="10"/>
  <c r="J73" i="10"/>
  <c r="J83" i="10" s="1"/>
  <c r="I82" i="10"/>
  <c r="I75" i="10"/>
  <c r="AA213" i="10" s="1"/>
  <c r="H73" i="10"/>
  <c r="H82" i="10"/>
  <c r="G82" i="10"/>
  <c r="AI77" i="10"/>
  <c r="G75" i="10"/>
  <c r="Y213" i="10" s="1"/>
  <c r="G73" i="10"/>
  <c r="AI76" i="10"/>
  <c r="F75" i="10"/>
  <c r="X213" i="10" s="1"/>
  <c r="F73" i="10"/>
  <c r="E73" i="10"/>
  <c r="D82" i="10"/>
  <c r="AI56" i="10"/>
  <c r="AI38" i="10"/>
  <c r="C73" i="10"/>
  <c r="C75" i="10" s="1"/>
  <c r="U213" i="10" s="1"/>
  <c r="H4" i="10"/>
  <c r="AF213" i="10"/>
  <c r="N7" i="10"/>
  <c r="AK213" i="10"/>
  <c r="S7" i="10"/>
  <c r="D73" i="10"/>
  <c r="T73" i="10"/>
  <c r="E75" i="10"/>
  <c r="T75" i="10"/>
  <c r="AH38" i="10"/>
  <c r="I73" i="10"/>
  <c r="Q73" i="10"/>
  <c r="AG73" i="10"/>
  <c r="AI72" i="10"/>
  <c r="AH72" i="10"/>
  <c r="Q75" i="10"/>
  <c r="AH78" i="10"/>
  <c r="AI79" i="10"/>
  <c r="AH79" i="10"/>
  <c r="AH80" i="10"/>
  <c r="B82" i="10"/>
  <c r="AH56" i="10"/>
  <c r="AI68" i="10"/>
  <c r="AH68" i="10"/>
  <c r="S83" i="10"/>
  <c r="R75" i="10"/>
  <c r="C82" i="10"/>
  <c r="C5" i="10"/>
  <c r="K5" i="10"/>
  <c r="S5" i="10"/>
  <c r="N73" i="10"/>
  <c r="E82" i="10"/>
  <c r="M82" i="10"/>
  <c r="U82" i="10"/>
  <c r="AC82" i="10"/>
  <c r="F102" i="10"/>
  <c r="AG75" i="10"/>
  <c r="AG83" i="10" s="1"/>
  <c r="F82" i="10"/>
  <c r="N82" i="10"/>
  <c r="V82" i="10"/>
  <c r="AD82" i="10"/>
  <c r="D210" i="10"/>
  <c r="S210" i="10"/>
  <c r="AH76" i="10"/>
  <c r="D191" i="10"/>
  <c r="E101" i="10"/>
  <c r="L73" i="10"/>
  <c r="M75" i="10"/>
  <c r="H75" i="10"/>
  <c r="P75" i="10"/>
  <c r="P83" i="10" s="1"/>
  <c r="H5" i="10"/>
  <c r="P5" i="10"/>
  <c r="X5" i="10"/>
  <c r="AF5" i="10"/>
  <c r="D75" i="10"/>
  <c r="O75" i="10"/>
  <c r="O83" i="10" s="1"/>
  <c r="Z75" i="10"/>
  <c r="Z83" i="10" s="1"/>
  <c r="AI78" i="10"/>
  <c r="AI80" i="10"/>
  <c r="D199" i="10"/>
  <c r="E193" i="10"/>
  <c r="G198" i="10"/>
  <c r="AB37" i="9"/>
  <c r="AA95" i="9"/>
  <c r="AA37" i="9"/>
  <c r="Z95" i="9"/>
  <c r="X95" i="9"/>
  <c r="Z38" i="9"/>
  <c r="Y37" i="9"/>
  <c r="Z37" i="9"/>
  <c r="X37" i="9"/>
  <c r="W95" i="9"/>
  <c r="V95" i="9"/>
  <c r="W37" i="9"/>
  <c r="V37" i="9"/>
  <c r="U37" i="9"/>
  <c r="T37" i="9"/>
  <c r="S37" i="9"/>
  <c r="T83" i="10" l="1"/>
  <c r="N83" i="10"/>
  <c r="L83" i="10"/>
  <c r="AD213" i="10"/>
  <c r="K83" i="10"/>
  <c r="K7" i="10"/>
  <c r="I83" i="10"/>
  <c r="I7" i="10"/>
  <c r="G7" i="10"/>
  <c r="G83" i="10"/>
  <c r="C208" i="10"/>
  <c r="F7" i="10"/>
  <c r="F83" i="10"/>
  <c r="D83" i="10"/>
  <c r="C83" i="10"/>
  <c r="C7" i="10"/>
  <c r="E199" i="10"/>
  <c r="F193" i="10"/>
  <c r="V213" i="10"/>
  <c r="D7" i="10"/>
  <c r="AI213" i="10"/>
  <c r="Q7" i="10"/>
  <c r="W213" i="10"/>
  <c r="E7" i="10"/>
  <c r="E93" i="10"/>
  <c r="Q83" i="10"/>
  <c r="AJ213" i="10"/>
  <c r="R7" i="10"/>
  <c r="M83" i="10"/>
  <c r="AI82" i="10"/>
  <c r="AH82" i="10"/>
  <c r="R83" i="10"/>
  <c r="B208" i="10"/>
  <c r="AH213" i="10"/>
  <c r="P7" i="10"/>
  <c r="G102" i="10"/>
  <c r="F93" i="10"/>
  <c r="AE213" i="10"/>
  <c r="M7" i="10"/>
  <c r="AL213" i="10"/>
  <c r="T7" i="10"/>
  <c r="AR213" i="10"/>
  <c r="Z7" i="10"/>
  <c r="F234" i="10"/>
  <c r="H198" i="10"/>
  <c r="AG213" i="10"/>
  <c r="O7" i="10"/>
  <c r="Z213" i="10"/>
  <c r="H7" i="10"/>
  <c r="E191" i="10"/>
  <c r="F101" i="10"/>
  <c r="E83" i="10"/>
  <c r="H83" i="10"/>
  <c r="K6" i="10" l="1"/>
  <c r="G234" i="10"/>
  <c r="I198" i="10"/>
  <c r="H102" i="10"/>
  <c r="F191" i="10"/>
  <c r="G101" i="10"/>
  <c r="G193" i="10"/>
  <c r="F199" i="10"/>
  <c r="H193" i="10" l="1"/>
  <c r="G199" i="10"/>
  <c r="G191" i="10"/>
  <c r="H101" i="10"/>
  <c r="G93" i="10"/>
  <c r="I102" i="10"/>
  <c r="H93" i="10"/>
  <c r="H234" i="10"/>
  <c r="J198" i="10"/>
  <c r="J102" i="10" l="1"/>
  <c r="H191" i="10"/>
  <c r="I101" i="10"/>
  <c r="K198" i="10"/>
  <c r="I234" i="10"/>
  <c r="H199" i="10"/>
  <c r="I193" i="10"/>
  <c r="I191" i="10" l="1"/>
  <c r="J101" i="10"/>
  <c r="J234" i="10"/>
  <c r="L198" i="10"/>
  <c r="J193" i="10"/>
  <c r="J93" i="10" s="1"/>
  <c r="I199" i="10"/>
  <c r="I93" i="10"/>
  <c r="K102" i="10"/>
  <c r="J199" i="10" l="1"/>
  <c r="K193" i="10"/>
  <c r="K234" i="10"/>
  <c r="M198" i="10"/>
  <c r="J191" i="10"/>
  <c r="K101" i="10"/>
  <c r="K93" i="10"/>
  <c r="L102" i="10"/>
  <c r="K191" i="10" l="1"/>
  <c r="L101" i="10"/>
  <c r="L234" i="10"/>
  <c r="N198" i="10"/>
  <c r="K199" i="10"/>
  <c r="L193" i="10"/>
  <c r="M102" i="10"/>
  <c r="L93" i="10"/>
  <c r="N102" i="10" l="1"/>
  <c r="M93" i="10"/>
  <c r="L199" i="10"/>
  <c r="M193" i="10"/>
  <c r="M234" i="10"/>
  <c r="O198" i="10"/>
  <c r="L191" i="10"/>
  <c r="M101" i="10"/>
  <c r="M191" i="10" l="1"/>
  <c r="N101" i="10"/>
  <c r="N234" i="10"/>
  <c r="P198" i="10"/>
  <c r="M199" i="10"/>
  <c r="N193" i="10"/>
  <c r="O102" i="10"/>
  <c r="N93" i="10"/>
  <c r="P102" i="10" l="1"/>
  <c r="O93" i="10"/>
  <c r="O193" i="10"/>
  <c r="N199" i="10"/>
  <c r="O234" i="10"/>
  <c r="Q198" i="10"/>
  <c r="N191" i="10"/>
  <c r="O101" i="10"/>
  <c r="O191" i="10" l="1"/>
  <c r="P101" i="10"/>
  <c r="P234" i="10"/>
  <c r="R198" i="10"/>
  <c r="P193" i="10"/>
  <c r="O199" i="10"/>
  <c r="Q102" i="10"/>
  <c r="P93" i="10"/>
  <c r="P199" i="10" l="1"/>
  <c r="Q193" i="10"/>
  <c r="S198" i="10"/>
  <c r="Q234" i="10"/>
  <c r="P191" i="10"/>
  <c r="Q101" i="10"/>
  <c r="R102" i="10"/>
  <c r="Q93" i="10"/>
  <c r="Q191" i="10" l="1"/>
  <c r="R101" i="10"/>
  <c r="S102" i="10"/>
  <c r="R234" i="10"/>
  <c r="T198" i="10"/>
  <c r="R193" i="10"/>
  <c r="Q199" i="10"/>
  <c r="R199" i="10" l="1"/>
  <c r="S193" i="10"/>
  <c r="S234" i="10"/>
  <c r="U198" i="10"/>
  <c r="S93" i="10"/>
  <c r="T102" i="10"/>
  <c r="R93" i="10"/>
  <c r="R191" i="10"/>
  <c r="S101" i="10"/>
  <c r="T234" i="10" l="1"/>
  <c r="V198" i="10"/>
  <c r="U102" i="10"/>
  <c r="T93" i="10"/>
  <c r="S199" i="10"/>
  <c r="T193" i="10"/>
  <c r="S191" i="10"/>
  <c r="T101" i="10"/>
  <c r="T199" i="10" l="1"/>
  <c r="U193" i="10"/>
  <c r="V102" i="10"/>
  <c r="U93" i="10"/>
  <c r="T191" i="10"/>
  <c r="U101" i="10"/>
  <c r="U234" i="10"/>
  <c r="W198" i="10"/>
  <c r="V234" i="10" l="1"/>
  <c r="X198" i="10"/>
  <c r="U191" i="10"/>
  <c r="V101" i="10"/>
  <c r="W102" i="10"/>
  <c r="V93" i="10"/>
  <c r="U199" i="10"/>
  <c r="U51" i="10" s="1"/>
  <c r="U52" i="10" s="1"/>
  <c r="V193" i="10"/>
  <c r="W193" i="10" l="1"/>
  <c r="V199" i="10"/>
  <c r="V51" i="10" s="1"/>
  <c r="V52" i="10" s="1"/>
  <c r="U75" i="10"/>
  <c r="U73" i="10"/>
  <c r="U83" i="10" s="1"/>
  <c r="X102" i="10"/>
  <c r="W93" i="10"/>
  <c r="V191" i="10"/>
  <c r="W101" i="10"/>
  <c r="W234" i="10"/>
  <c r="Y198" i="10"/>
  <c r="W191" i="10" l="1"/>
  <c r="X101" i="10"/>
  <c r="Y102" i="10"/>
  <c r="X93" i="10"/>
  <c r="V73" i="10"/>
  <c r="V75" i="10"/>
  <c r="AM213" i="10"/>
  <c r="U7" i="10"/>
  <c r="X234" i="10"/>
  <c r="Z198" i="10"/>
  <c r="X193" i="10"/>
  <c r="W199" i="10"/>
  <c r="W51" i="10" s="1"/>
  <c r="W52" i="10" s="1"/>
  <c r="AN213" i="10" l="1"/>
  <c r="V7" i="10"/>
  <c r="W75" i="10"/>
  <c r="W73" i="10"/>
  <c r="V83" i="10"/>
  <c r="Y193" i="10"/>
  <c r="X199" i="10"/>
  <c r="X51" i="10" s="1"/>
  <c r="X52" i="10" s="1"/>
  <c r="Z102" i="10"/>
  <c r="AA198" i="10"/>
  <c r="Y234" i="10"/>
  <c r="X191" i="10"/>
  <c r="Y101" i="10"/>
  <c r="W83" i="10" l="1"/>
  <c r="Y191" i="10"/>
  <c r="Z101" i="10"/>
  <c r="X75" i="10"/>
  <c r="X73" i="10"/>
  <c r="X83" i="10" s="1"/>
  <c r="Z193" i="10"/>
  <c r="Y199" i="10"/>
  <c r="Y51" i="10" s="1"/>
  <c r="Y52" i="10" s="1"/>
  <c r="AO213" i="10"/>
  <c r="W7" i="10"/>
  <c r="Z234" i="10"/>
  <c r="AB198" i="10"/>
  <c r="Z93" i="10"/>
  <c r="AA102" i="10"/>
  <c r="Y93" i="10"/>
  <c r="Y75" i="10" l="1"/>
  <c r="Y73" i="10"/>
  <c r="Y83" i="10" s="1"/>
  <c r="Z199" i="10"/>
  <c r="AA193" i="10"/>
  <c r="AA93" i="10"/>
  <c r="AB102" i="10"/>
  <c r="AA234" i="10"/>
  <c r="AC198" i="10"/>
  <c r="Z191" i="10"/>
  <c r="AA101" i="10"/>
  <c r="AP213" i="10"/>
  <c r="X7" i="10"/>
  <c r="AC102" i="10" l="1"/>
  <c r="AA199" i="10"/>
  <c r="AA51" i="10" s="1"/>
  <c r="AA52" i="10" s="1"/>
  <c r="AB193" i="10"/>
  <c r="AA191" i="10"/>
  <c r="AB101" i="10"/>
  <c r="AB234" i="10"/>
  <c r="AD198" i="10"/>
  <c r="AQ213" i="10"/>
  <c r="Y7" i="10"/>
  <c r="AC234" i="10" l="1"/>
  <c r="AE198" i="10"/>
  <c r="AB191" i="10"/>
  <c r="AC101" i="10"/>
  <c r="AA73" i="10"/>
  <c r="AA75" i="10"/>
  <c r="AB199" i="10"/>
  <c r="AB51" i="10" s="1"/>
  <c r="AB52" i="10" s="1"/>
  <c r="AC193" i="10"/>
  <c r="AB93" i="10"/>
  <c r="AD102" i="10"/>
  <c r="AA83" i="10" l="1"/>
  <c r="AC199" i="10"/>
  <c r="AC51" i="10" s="1"/>
  <c r="AC52" i="10" s="1"/>
  <c r="AD193" i="10"/>
  <c r="AB73" i="10"/>
  <c r="AB75" i="10"/>
  <c r="AS213" i="10"/>
  <c r="AA7" i="10"/>
  <c r="AC93" i="10"/>
  <c r="AE102" i="10"/>
  <c r="AD93" i="10"/>
  <c r="AD234" i="10"/>
  <c r="AF198" i="10"/>
  <c r="AC191" i="10"/>
  <c r="AD101" i="10"/>
  <c r="AF102" i="10" l="1"/>
  <c r="AE93" i="10"/>
  <c r="AD191" i="10"/>
  <c r="AE101" i="10"/>
  <c r="B198" i="10"/>
  <c r="AF234" i="10" s="1"/>
  <c r="AE234" i="10"/>
  <c r="AT213" i="10"/>
  <c r="AB7" i="10"/>
  <c r="AB83" i="10"/>
  <c r="AE193" i="10"/>
  <c r="AD199" i="10"/>
  <c r="AD51" i="10" s="1"/>
  <c r="AD52" i="10" s="1"/>
  <c r="AC75" i="10"/>
  <c r="AC73" i="10"/>
  <c r="AC83" i="10" s="1"/>
  <c r="AU213" i="10" l="1"/>
  <c r="AC7" i="10"/>
  <c r="AE191" i="10"/>
  <c r="AF101" i="10"/>
  <c r="AD75" i="10"/>
  <c r="AD73" i="10"/>
  <c r="AD83" i="10" s="1"/>
  <c r="AF193" i="10"/>
  <c r="AE199" i="10"/>
  <c r="AE51" i="10" s="1"/>
  <c r="AE52" i="10" s="1"/>
  <c r="B102" i="10"/>
  <c r="AE75" i="10" l="1"/>
  <c r="AE73" i="10"/>
  <c r="AE83" i="10" s="1"/>
  <c r="AV213" i="10"/>
  <c r="AD7" i="10"/>
  <c r="AF191" i="10"/>
  <c r="B101" i="10"/>
  <c r="B191" i="10" s="1"/>
  <c r="AF199" i="10"/>
  <c r="AF51" i="10" s="1"/>
  <c r="AF52" i="10" s="1"/>
  <c r="B193" i="10"/>
  <c r="B199" i="10" s="1"/>
  <c r="B51" i="10" s="1"/>
  <c r="AF93" i="10"/>
  <c r="AH51" i="10" l="1"/>
  <c r="B52" i="10"/>
  <c r="AI51" i="10"/>
  <c r="AF73" i="10"/>
  <c r="AF75" i="10"/>
  <c r="AI93" i="10"/>
  <c r="AH93" i="10"/>
  <c r="B93" i="10"/>
  <c r="AW213" i="10"/>
  <c r="AE7" i="10"/>
  <c r="AX213" i="10" l="1"/>
  <c r="AF7" i="10"/>
  <c r="AF83" i="10"/>
  <c r="AI52" i="10"/>
  <c r="AH52" i="10"/>
  <c r="B75" i="10"/>
  <c r="B73" i="10"/>
  <c r="AI73" i="10" l="1"/>
  <c r="AH73" i="10"/>
  <c r="B83" i="10"/>
  <c r="T213" i="10"/>
  <c r="AI75" i="10"/>
  <c r="B7" i="10"/>
  <c r="A7" i="10" s="1"/>
  <c r="AH75" i="10"/>
  <c r="AI83" i="10" l="1"/>
  <c r="AH83" i="10"/>
  <c r="R37" i="9" l="1"/>
  <c r="Q37" i="9"/>
  <c r="P37" i="9"/>
  <c r="O95" i="9"/>
  <c r="O37" i="9"/>
  <c r="N95" i="9" l="1"/>
  <c r="N37" i="9"/>
  <c r="M37" i="9"/>
  <c r="L37" i="9"/>
  <c r="AH99" i="9"/>
  <c r="AI99" i="9" s="1"/>
  <c r="D37" i="9"/>
  <c r="C37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C234" i="9"/>
  <c r="B234" i="9"/>
  <c r="S209" i="9"/>
  <c r="AG199" i="9"/>
  <c r="C199" i="9"/>
  <c r="E198" i="9"/>
  <c r="D234" i="9" s="1"/>
  <c r="D198" i="9"/>
  <c r="AD197" i="9"/>
  <c r="AE197" i="9" s="1"/>
  <c r="AF197" i="9" s="1"/>
  <c r="B197" i="9" s="1"/>
  <c r="D197" i="9"/>
  <c r="E197" i="9" s="1"/>
  <c r="F197" i="9" s="1"/>
  <c r="G197" i="9" s="1"/>
  <c r="H197" i="9" s="1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L196" i="9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E196" i="9"/>
  <c r="F196" i="9" s="1"/>
  <c r="G196" i="9" s="1"/>
  <c r="H196" i="9" s="1"/>
  <c r="I196" i="9" s="1"/>
  <c r="J196" i="9" s="1"/>
  <c r="K196" i="9" s="1"/>
  <c r="D196" i="9"/>
  <c r="M195" i="9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D195" i="9"/>
  <c r="E195" i="9" s="1"/>
  <c r="F195" i="9" s="1"/>
  <c r="G195" i="9" s="1"/>
  <c r="H195" i="9" s="1"/>
  <c r="I195" i="9" s="1"/>
  <c r="J195" i="9" s="1"/>
  <c r="K195" i="9" s="1"/>
  <c r="L195" i="9" s="1"/>
  <c r="F194" i="9"/>
  <c r="G194" i="9" s="1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B194" i="9" s="1"/>
  <c r="D194" i="9"/>
  <c r="E194" i="9" s="1"/>
  <c r="G193" i="9"/>
  <c r="F193" i="9"/>
  <c r="D193" i="9"/>
  <c r="E193" i="9" s="1"/>
  <c r="AG191" i="9"/>
  <c r="C191" i="9"/>
  <c r="G190" i="9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D190" i="9"/>
  <c r="E190" i="9" s="1"/>
  <c r="F190" i="9" s="1"/>
  <c r="F189" i="9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D189" i="9"/>
  <c r="E189" i="9" s="1"/>
  <c r="D188" i="9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K187" i="9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I187" i="9"/>
  <c r="J187" i="9" s="1"/>
  <c r="H187" i="9"/>
  <c r="G187" i="9"/>
  <c r="F187" i="9"/>
  <c r="D187" i="9"/>
  <c r="E187" i="9" s="1"/>
  <c r="I186" i="9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F186" i="9"/>
  <c r="G186" i="9" s="1"/>
  <c r="H186" i="9" s="1"/>
  <c r="E186" i="9"/>
  <c r="D186" i="9"/>
  <c r="L185" i="9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G185" i="9"/>
  <c r="H185" i="9" s="1"/>
  <c r="I185" i="9" s="1"/>
  <c r="J185" i="9" s="1"/>
  <c r="K185" i="9" s="1"/>
  <c r="D185" i="9"/>
  <c r="E185" i="9" s="1"/>
  <c r="F185" i="9" s="1"/>
  <c r="M184" i="9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D184" i="9"/>
  <c r="E184" i="9" s="1"/>
  <c r="F184" i="9" s="1"/>
  <c r="G184" i="9" s="1"/>
  <c r="H184" i="9" s="1"/>
  <c r="I184" i="9" s="1"/>
  <c r="J184" i="9" s="1"/>
  <c r="K184" i="9" s="1"/>
  <c r="L184" i="9" s="1"/>
  <c r="I183" i="9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H183" i="9"/>
  <c r="G183" i="9"/>
  <c r="D183" i="9"/>
  <c r="E183" i="9" s="1"/>
  <c r="F183" i="9" s="1"/>
  <c r="R182" i="9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F182" i="9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D182" i="9"/>
  <c r="E182" i="9" s="1"/>
  <c r="S181" i="9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B181" i="9" s="1"/>
  <c r="E181" i="9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D181" i="9"/>
  <c r="E180" i="9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D180" i="9"/>
  <c r="F179" i="9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D179" i="9"/>
  <c r="E179" i="9" s="1"/>
  <c r="O178" i="9"/>
  <c r="P178" i="9" s="1"/>
  <c r="Q178" i="9" s="1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B178" i="9" s="1"/>
  <c r="E178" i="9"/>
  <c r="F178" i="9" s="1"/>
  <c r="G178" i="9" s="1"/>
  <c r="H178" i="9" s="1"/>
  <c r="I178" i="9" s="1"/>
  <c r="J178" i="9" s="1"/>
  <c r="K178" i="9" s="1"/>
  <c r="L178" i="9" s="1"/>
  <c r="M178" i="9" s="1"/>
  <c r="N178" i="9" s="1"/>
  <c r="D178" i="9"/>
  <c r="H176" i="9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E176" i="9"/>
  <c r="F176" i="9" s="1"/>
  <c r="G176" i="9" s="1"/>
  <c r="D176" i="9"/>
  <c r="F175" i="9"/>
  <c r="G175" i="9" s="1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E175" i="9"/>
  <c r="D175" i="9"/>
  <c r="I174" i="9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H174" i="9"/>
  <c r="F174" i="9"/>
  <c r="G174" i="9" s="1"/>
  <c r="D174" i="9"/>
  <c r="E174" i="9" s="1"/>
  <c r="E173" i="9"/>
  <c r="F173" i="9" s="1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D173" i="9"/>
  <c r="H172" i="9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D172" i="9"/>
  <c r="E172" i="9" s="1"/>
  <c r="F172" i="9" s="1"/>
  <c r="G172" i="9" s="1"/>
  <c r="F171" i="9"/>
  <c r="G171" i="9" s="1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D171" i="9"/>
  <c r="E171" i="9" s="1"/>
  <c r="I170" i="9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B170" i="9" s="1"/>
  <c r="G170" i="9"/>
  <c r="H170" i="9" s="1"/>
  <c r="D170" i="9"/>
  <c r="E170" i="9" s="1"/>
  <c r="F170" i="9" s="1"/>
  <c r="R169" i="9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B169" i="9" s="1"/>
  <c r="H169" i="9"/>
  <c r="I169" i="9" s="1"/>
  <c r="J169" i="9" s="1"/>
  <c r="K169" i="9" s="1"/>
  <c r="L169" i="9" s="1"/>
  <c r="M169" i="9" s="1"/>
  <c r="N169" i="9" s="1"/>
  <c r="O169" i="9" s="1"/>
  <c r="P169" i="9" s="1"/>
  <c r="Q169" i="9" s="1"/>
  <c r="E169" i="9"/>
  <c r="F169" i="9" s="1"/>
  <c r="G169" i="9" s="1"/>
  <c r="D169" i="9"/>
  <c r="H167" i="9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F167" i="9"/>
  <c r="G167" i="9" s="1"/>
  <c r="E167" i="9"/>
  <c r="D167" i="9"/>
  <c r="F166" i="9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D166" i="9"/>
  <c r="E166" i="9" s="1"/>
  <c r="K165" i="9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G165" i="9"/>
  <c r="H165" i="9" s="1"/>
  <c r="I165" i="9" s="1"/>
  <c r="J165" i="9" s="1"/>
  <c r="E165" i="9"/>
  <c r="F165" i="9" s="1"/>
  <c r="D165" i="9"/>
  <c r="I164" i="9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H164" i="9"/>
  <c r="E164" i="9"/>
  <c r="F164" i="9" s="1"/>
  <c r="G164" i="9" s="1"/>
  <c r="D164" i="9"/>
  <c r="H163" i="9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B163" i="9" s="1"/>
  <c r="G163" i="9"/>
  <c r="E163" i="9"/>
  <c r="F163" i="9" s="1"/>
  <c r="D163" i="9"/>
  <c r="I162" i="9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G162" i="9"/>
  <c r="H162" i="9" s="1"/>
  <c r="F162" i="9"/>
  <c r="D162" i="9"/>
  <c r="E162" i="9" s="1"/>
  <c r="I161" i="9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G161" i="9"/>
  <c r="H161" i="9" s="1"/>
  <c r="D161" i="9"/>
  <c r="E161" i="9" s="1"/>
  <c r="F161" i="9" s="1"/>
  <c r="E160" i="9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D160" i="9"/>
  <c r="O159" i="9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E159" i="9"/>
  <c r="F159" i="9" s="1"/>
  <c r="G159" i="9" s="1"/>
  <c r="H159" i="9" s="1"/>
  <c r="I159" i="9" s="1"/>
  <c r="J159" i="9" s="1"/>
  <c r="K159" i="9" s="1"/>
  <c r="L159" i="9" s="1"/>
  <c r="M159" i="9" s="1"/>
  <c r="N159" i="9" s="1"/>
  <c r="D159" i="9"/>
  <c r="F158" i="9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D158" i="9"/>
  <c r="E158" i="9" s="1"/>
  <c r="D157" i="9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R156" i="9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H156" i="9"/>
  <c r="I156" i="9" s="1"/>
  <c r="J156" i="9" s="1"/>
  <c r="K156" i="9" s="1"/>
  <c r="L156" i="9" s="1"/>
  <c r="M156" i="9" s="1"/>
  <c r="N156" i="9" s="1"/>
  <c r="O156" i="9" s="1"/>
  <c r="P156" i="9" s="1"/>
  <c r="Q156" i="9" s="1"/>
  <c r="E156" i="9"/>
  <c r="F156" i="9" s="1"/>
  <c r="G156" i="9" s="1"/>
  <c r="D156" i="9"/>
  <c r="O155" i="9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B155" i="9" s="1"/>
  <c r="I155" i="9"/>
  <c r="J155" i="9" s="1"/>
  <c r="K155" i="9" s="1"/>
  <c r="L155" i="9" s="1"/>
  <c r="M155" i="9" s="1"/>
  <c r="N155" i="9" s="1"/>
  <c r="H155" i="9"/>
  <c r="E155" i="9"/>
  <c r="F155" i="9" s="1"/>
  <c r="G155" i="9" s="1"/>
  <c r="D155" i="9"/>
  <c r="I153" i="9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G153" i="9"/>
  <c r="H153" i="9" s="1"/>
  <c r="D153" i="9"/>
  <c r="E153" i="9" s="1"/>
  <c r="F153" i="9" s="1"/>
  <c r="D152" i="9"/>
  <c r="E152" i="9" s="1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I151" i="9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G151" i="9"/>
  <c r="H151" i="9" s="1"/>
  <c r="E151" i="9"/>
  <c r="F151" i="9" s="1"/>
  <c r="D151" i="9"/>
  <c r="E150" i="9"/>
  <c r="F150" i="9" s="1"/>
  <c r="G150" i="9" s="1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B150" i="9" s="1"/>
  <c r="D150" i="9"/>
  <c r="F148" i="9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E148" i="9"/>
  <c r="D148" i="9"/>
  <c r="E147" i="9"/>
  <c r="F147" i="9" s="1"/>
  <c r="G147" i="9" s="1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E147" i="9" s="1"/>
  <c r="AF147" i="9" s="1"/>
  <c r="B147" i="9" s="1"/>
  <c r="D147" i="9"/>
  <c r="R145" i="9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I145" i="9"/>
  <c r="J145" i="9" s="1"/>
  <c r="K145" i="9" s="1"/>
  <c r="L145" i="9" s="1"/>
  <c r="M145" i="9" s="1"/>
  <c r="N145" i="9" s="1"/>
  <c r="O145" i="9" s="1"/>
  <c r="P145" i="9" s="1"/>
  <c r="Q145" i="9" s="1"/>
  <c r="E145" i="9"/>
  <c r="F145" i="9" s="1"/>
  <c r="G145" i="9" s="1"/>
  <c r="H145" i="9" s="1"/>
  <c r="D145" i="9"/>
  <c r="Y144" i="9"/>
  <c r="Z144" i="9" s="1"/>
  <c r="AA144" i="9" s="1"/>
  <c r="AB144" i="9" s="1"/>
  <c r="AC144" i="9" s="1"/>
  <c r="AD144" i="9" s="1"/>
  <c r="AE144" i="9" s="1"/>
  <c r="AF144" i="9" s="1"/>
  <c r="B144" i="9" s="1"/>
  <c r="F144" i="9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E144" i="9"/>
  <c r="D144" i="9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T142" i="9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G142" i="9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D142" i="9"/>
  <c r="E142" i="9" s="1"/>
  <c r="F142" i="9" s="1"/>
  <c r="G141" i="9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E141" i="9"/>
  <c r="F141" i="9" s="1"/>
  <c r="D141" i="9"/>
  <c r="E140" i="9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40" i="9"/>
  <c r="E139" i="9"/>
  <c r="F139" i="9" s="1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B139" i="9" s="1"/>
  <c r="D139" i="9"/>
  <c r="D137" i="9"/>
  <c r="E137" i="9" s="1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B137" i="9" s="1"/>
  <c r="Q136" i="9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K136" i="9"/>
  <c r="L136" i="9" s="1"/>
  <c r="M136" i="9" s="1"/>
  <c r="N136" i="9" s="1"/>
  <c r="O136" i="9" s="1"/>
  <c r="P136" i="9" s="1"/>
  <c r="G136" i="9"/>
  <c r="H136" i="9" s="1"/>
  <c r="I136" i="9" s="1"/>
  <c r="J136" i="9" s="1"/>
  <c r="E136" i="9"/>
  <c r="F136" i="9" s="1"/>
  <c r="D136" i="9"/>
  <c r="H135" i="9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G135" i="9"/>
  <c r="F135" i="9"/>
  <c r="E135" i="9"/>
  <c r="D135" i="9"/>
  <c r="F134" i="9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E134" i="9"/>
  <c r="D134" i="9"/>
  <c r="J133" i="9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D133" i="9"/>
  <c r="E133" i="9" s="1"/>
  <c r="F133" i="9" s="1"/>
  <c r="G133" i="9" s="1"/>
  <c r="H133" i="9" s="1"/>
  <c r="I133" i="9" s="1"/>
  <c r="K132" i="9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G132" i="9"/>
  <c r="H132" i="9" s="1"/>
  <c r="I132" i="9" s="1"/>
  <c r="J132" i="9" s="1"/>
  <c r="E132" i="9"/>
  <c r="F132" i="9" s="1"/>
  <c r="D132" i="9"/>
  <c r="F131" i="9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E131" i="9"/>
  <c r="D131" i="9"/>
  <c r="E130" i="9"/>
  <c r="F130" i="9" s="1"/>
  <c r="G130" i="9" s="1"/>
  <c r="H130" i="9" s="1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B130" i="9" s="1"/>
  <c r="D130" i="9"/>
  <c r="G128" i="9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E128" i="9"/>
  <c r="F128" i="9" s="1"/>
  <c r="D128" i="9"/>
  <c r="D127" i="9"/>
  <c r="E127" i="9" s="1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F126" i="9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E126" i="9"/>
  <c r="D126" i="9"/>
  <c r="E125" i="9"/>
  <c r="F125" i="9" s="1"/>
  <c r="G125" i="9" s="1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D125" i="9"/>
  <c r="E124" i="9"/>
  <c r="F124" i="9" s="1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D124" i="9"/>
  <c r="G123" i="9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D123" i="9"/>
  <c r="E123" i="9" s="1"/>
  <c r="F123" i="9" s="1"/>
  <c r="F122" i="9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E122" i="9"/>
  <c r="D122" i="9"/>
  <c r="E121" i="9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D121" i="9"/>
  <c r="G120" i="9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E120" i="9"/>
  <c r="F120" i="9" s="1"/>
  <c r="D120" i="9"/>
  <c r="G119" i="9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E119" i="9" s="1"/>
  <c r="F119" i="9" s="1"/>
  <c r="E118" i="9"/>
  <c r="F118" i="9" s="1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D118" i="9"/>
  <c r="D117" i="9"/>
  <c r="E117" i="9" s="1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G116" i="9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E116" i="9"/>
  <c r="F116" i="9" s="1"/>
  <c r="D116" i="9"/>
  <c r="D115" i="9"/>
  <c r="E115" i="9" s="1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E114" i="9"/>
  <c r="F114" i="9" s="1"/>
  <c r="G114" i="9" s="1"/>
  <c r="H114" i="9" s="1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D114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K113" i="9"/>
  <c r="D113" i="9"/>
  <c r="E113" i="9" s="1"/>
  <c r="F113" i="9" s="1"/>
  <c r="G113" i="9" s="1"/>
  <c r="H113" i="9" s="1"/>
  <c r="I113" i="9" s="1"/>
  <c r="F112" i="9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D112" i="9"/>
  <c r="E112" i="9" s="1"/>
  <c r="D111" i="9"/>
  <c r="E111" i="9" s="1"/>
  <c r="F111" i="9" s="1"/>
  <c r="G111" i="9" s="1"/>
  <c r="H111" i="9" s="1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B111" i="9" s="1"/>
  <c r="E109" i="9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D109" i="9"/>
  <c r="G108" i="9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B108" i="9" s="1"/>
  <c r="F108" i="9"/>
  <c r="D108" i="9"/>
  <c r="E108" i="9" s="1"/>
  <c r="D106" i="9"/>
  <c r="E106" i="9" s="1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F105" i="9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E105" i="9"/>
  <c r="D105" i="9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G103" i="9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B103" i="9" s="1"/>
  <c r="F103" i="9"/>
  <c r="D103" i="9"/>
  <c r="E103" i="9" s="1"/>
  <c r="E102" i="9"/>
  <c r="F102" i="9" s="1"/>
  <c r="D102" i="9"/>
  <c r="D93" i="9" s="1"/>
  <c r="D101" i="9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E76" i="9"/>
  <c r="AE82" i="9" s="1"/>
  <c r="AD76" i="9"/>
  <c r="AC76" i="9"/>
  <c r="AB76" i="9"/>
  <c r="AB82" i="9" s="1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O82" i="9" s="1"/>
  <c r="N76" i="9"/>
  <c r="M76" i="9"/>
  <c r="L76" i="9"/>
  <c r="K76" i="9"/>
  <c r="J76" i="9"/>
  <c r="I76" i="9"/>
  <c r="H76" i="9"/>
  <c r="G76" i="9"/>
  <c r="G82" i="9" s="1"/>
  <c r="F76" i="9"/>
  <c r="E76" i="9"/>
  <c r="D76" i="9"/>
  <c r="C76" i="9"/>
  <c r="B76" i="9"/>
  <c r="AI74" i="9"/>
  <c r="AH74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I71" i="9"/>
  <c r="AH71" i="9"/>
  <c r="AI70" i="9"/>
  <c r="AH70" i="9"/>
  <c r="AI69" i="9"/>
  <c r="AH69" i="9"/>
  <c r="AG68" i="9"/>
  <c r="AF68" i="9"/>
  <c r="AE5" i="9" s="1"/>
  <c r="AE68" i="9"/>
  <c r="AD5" i="9" s="1"/>
  <c r="AD68" i="9"/>
  <c r="AC68" i="9"/>
  <c r="AB5" i="9" s="1"/>
  <c r="AB68" i="9"/>
  <c r="AA5" i="9" s="1"/>
  <c r="AA68" i="9"/>
  <c r="Z5" i="9" s="1"/>
  <c r="Z68" i="9"/>
  <c r="Y5" i="9" s="1"/>
  <c r="Y68" i="9"/>
  <c r="X68" i="9"/>
  <c r="W5" i="9" s="1"/>
  <c r="W68" i="9"/>
  <c r="V5" i="9" s="1"/>
  <c r="V68" i="9"/>
  <c r="U68" i="9"/>
  <c r="T5" i="9" s="1"/>
  <c r="T68" i="9"/>
  <c r="S68" i="9"/>
  <c r="R5" i="9" s="1"/>
  <c r="R68" i="9"/>
  <c r="Q5" i="9" s="1"/>
  <c r="Q68" i="9"/>
  <c r="P5" i="9" s="1"/>
  <c r="P68" i="9"/>
  <c r="O68" i="9"/>
  <c r="N5" i="9" s="1"/>
  <c r="N68" i="9"/>
  <c r="M68" i="9"/>
  <c r="L5" i="9" s="1"/>
  <c r="L68" i="9"/>
  <c r="K68" i="9"/>
  <c r="J68" i="9"/>
  <c r="I5" i="9" s="1"/>
  <c r="I68" i="9"/>
  <c r="H5" i="9" s="1"/>
  <c r="H68" i="9"/>
  <c r="G5" i="9" s="1"/>
  <c r="G68" i="9"/>
  <c r="F5" i="9" s="1"/>
  <c r="F68" i="9"/>
  <c r="E68" i="9"/>
  <c r="D5" i="9" s="1"/>
  <c r="D68" i="9"/>
  <c r="C5" i="9" s="1"/>
  <c r="C68" i="9"/>
  <c r="B5" i="9" s="1"/>
  <c r="B68" i="9"/>
  <c r="AF5" i="9" s="1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I55" i="9"/>
  <c r="AH55" i="9"/>
  <c r="AI54" i="9"/>
  <c r="AH54" i="9"/>
  <c r="AI53" i="9"/>
  <c r="AH53" i="9"/>
  <c r="Z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G51" i="9"/>
  <c r="AG52" i="9" s="1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X5" i="9"/>
  <c r="S5" i="9"/>
  <c r="O5" i="9"/>
  <c r="K5" i="9"/>
  <c r="J5" i="9"/>
  <c r="AG4" i="9"/>
  <c r="K4" i="9"/>
  <c r="B4" i="9"/>
  <c r="AG2" i="9"/>
  <c r="AF37" i="8"/>
  <c r="AE37" i="8"/>
  <c r="AD37" i="8"/>
  <c r="W37" i="8"/>
  <c r="T37" i="8"/>
  <c r="S37" i="8"/>
  <c r="Q37" i="8"/>
  <c r="R37" i="8"/>
  <c r="E4" i="9"/>
  <c r="AF82" i="9" l="1"/>
  <c r="AD82" i="9"/>
  <c r="AC82" i="9"/>
  <c r="AA82" i="9"/>
  <c r="Z82" i="9"/>
  <c r="Y82" i="9"/>
  <c r="X82" i="9"/>
  <c r="W82" i="9"/>
  <c r="V82" i="9"/>
  <c r="U82" i="9"/>
  <c r="T82" i="9"/>
  <c r="T73" i="9"/>
  <c r="S82" i="9"/>
  <c r="R82" i="9"/>
  <c r="Q82" i="9"/>
  <c r="Q75" i="9"/>
  <c r="P82" i="9"/>
  <c r="P73" i="9"/>
  <c r="N82" i="9"/>
  <c r="M73" i="9"/>
  <c r="M82" i="9"/>
  <c r="L82" i="9"/>
  <c r="L73" i="9"/>
  <c r="I82" i="9"/>
  <c r="I73" i="9"/>
  <c r="J82" i="9"/>
  <c r="K82" i="9"/>
  <c r="H82" i="9"/>
  <c r="H73" i="9"/>
  <c r="AH79" i="9"/>
  <c r="F82" i="9"/>
  <c r="AI79" i="9"/>
  <c r="AH77" i="9"/>
  <c r="E82" i="9"/>
  <c r="E73" i="9"/>
  <c r="AI213" i="9"/>
  <c r="Q7" i="9"/>
  <c r="K73" i="9"/>
  <c r="S73" i="9"/>
  <c r="Q73" i="9"/>
  <c r="Q83" i="9" s="1"/>
  <c r="P75" i="9"/>
  <c r="N75" i="9"/>
  <c r="AF213" i="9" s="1"/>
  <c r="O75" i="9"/>
  <c r="AG213" i="9" s="1"/>
  <c r="T75" i="9"/>
  <c r="AL213" i="9" s="1"/>
  <c r="F73" i="9"/>
  <c r="N73" i="9"/>
  <c r="E75" i="9"/>
  <c r="W213" i="9" s="1"/>
  <c r="G73" i="9"/>
  <c r="O73" i="9"/>
  <c r="O83" i="9" s="1"/>
  <c r="H75" i="9"/>
  <c r="J75" i="9"/>
  <c r="J7" i="9" s="1"/>
  <c r="R75" i="9"/>
  <c r="AJ213" i="9" s="1"/>
  <c r="Z75" i="9"/>
  <c r="Z7" i="9" s="1"/>
  <c r="I75" i="9"/>
  <c r="K75" i="9"/>
  <c r="K7" i="9" s="1"/>
  <c r="S75" i="9"/>
  <c r="AK213" i="9" s="1"/>
  <c r="L75" i="9"/>
  <c r="AD213" i="9" s="1"/>
  <c r="M75" i="9"/>
  <c r="AE213" i="9" s="1"/>
  <c r="D75" i="9"/>
  <c r="V213" i="9" s="1"/>
  <c r="AI80" i="9"/>
  <c r="AH80" i="9"/>
  <c r="D73" i="9"/>
  <c r="AI56" i="9"/>
  <c r="AH78" i="9"/>
  <c r="AI76" i="9"/>
  <c r="D82" i="9"/>
  <c r="C82" i="9"/>
  <c r="AH38" i="9"/>
  <c r="C73" i="9"/>
  <c r="C75" i="9" s="1"/>
  <c r="AH56" i="9"/>
  <c r="AI38" i="9"/>
  <c r="H4" i="9"/>
  <c r="AG75" i="9"/>
  <c r="AG73" i="9"/>
  <c r="AG3" i="9"/>
  <c r="AG6" i="9" s="1"/>
  <c r="G102" i="9"/>
  <c r="AI68" i="9"/>
  <c r="AI72" i="9"/>
  <c r="Z73" i="9"/>
  <c r="AH68" i="9"/>
  <c r="J73" i="9"/>
  <c r="R73" i="9"/>
  <c r="F75" i="9"/>
  <c r="D210" i="9"/>
  <c r="S210" i="9"/>
  <c r="E5" i="9"/>
  <c r="M5" i="9"/>
  <c r="U5" i="9"/>
  <c r="AC5" i="9"/>
  <c r="G75" i="9"/>
  <c r="E93" i="9"/>
  <c r="B82" i="9"/>
  <c r="AH72" i="9"/>
  <c r="AI78" i="9"/>
  <c r="D191" i="9"/>
  <c r="E101" i="9"/>
  <c r="AG83" i="9"/>
  <c r="AH76" i="9"/>
  <c r="AI77" i="9"/>
  <c r="H193" i="9"/>
  <c r="D199" i="9"/>
  <c r="F198" i="9"/>
  <c r="E199" i="9"/>
  <c r="F199" i="9"/>
  <c r="AR213" i="9" l="1"/>
  <c r="Z83" i="9"/>
  <c r="T7" i="9"/>
  <c r="T83" i="9"/>
  <c r="S83" i="9"/>
  <c r="S7" i="9"/>
  <c r="R83" i="9"/>
  <c r="R7" i="9"/>
  <c r="O7" i="9"/>
  <c r="N7" i="9"/>
  <c r="N83" i="9"/>
  <c r="M7" i="9"/>
  <c r="M83" i="9"/>
  <c r="I83" i="9"/>
  <c r="J83" i="9"/>
  <c r="AB213" i="9"/>
  <c r="AC213" i="9"/>
  <c r="L83" i="9"/>
  <c r="G83" i="9"/>
  <c r="F83" i="9"/>
  <c r="E83" i="9"/>
  <c r="E7" i="9"/>
  <c r="AH213" i="9"/>
  <c r="P7" i="9"/>
  <c r="AA213" i="9"/>
  <c r="I7" i="9"/>
  <c r="L7" i="9"/>
  <c r="P83" i="9"/>
  <c r="K83" i="9"/>
  <c r="Z213" i="9"/>
  <c r="H7" i="9"/>
  <c r="H83" i="9"/>
  <c r="D7" i="9"/>
  <c r="D83" i="9"/>
  <c r="C83" i="9"/>
  <c r="AI82" i="9"/>
  <c r="AH82" i="9"/>
  <c r="G198" i="9"/>
  <c r="E234" i="9"/>
  <c r="F93" i="9"/>
  <c r="E191" i="9"/>
  <c r="F101" i="9"/>
  <c r="X213" i="9"/>
  <c r="F7" i="9"/>
  <c r="G93" i="9"/>
  <c r="H102" i="9"/>
  <c r="I193" i="9"/>
  <c r="B208" i="9"/>
  <c r="Y213" i="9"/>
  <c r="C208" i="9"/>
  <c r="G7" i="9"/>
  <c r="U213" i="9"/>
  <c r="C7" i="9"/>
  <c r="K6" i="9" l="1"/>
  <c r="J193" i="9"/>
  <c r="I102" i="9"/>
  <c r="F234" i="9"/>
  <c r="H198" i="9"/>
  <c r="H93" i="9" s="1"/>
  <c r="G199" i="9"/>
  <c r="F191" i="9"/>
  <c r="G101" i="9"/>
  <c r="G234" i="9" l="1"/>
  <c r="I198" i="9"/>
  <c r="H199" i="9"/>
  <c r="I93" i="9"/>
  <c r="J102" i="9"/>
  <c r="G191" i="9"/>
  <c r="H101" i="9"/>
  <c r="K193" i="9"/>
  <c r="H191" i="9" l="1"/>
  <c r="I101" i="9"/>
  <c r="K102" i="9"/>
  <c r="J198" i="9"/>
  <c r="H234" i="9"/>
  <c r="I199" i="9"/>
  <c r="L193" i="9"/>
  <c r="M193" i="9" l="1"/>
  <c r="I234" i="9"/>
  <c r="K198" i="9"/>
  <c r="J199" i="9"/>
  <c r="J93" i="9"/>
  <c r="L102" i="9"/>
  <c r="K93" i="9"/>
  <c r="I191" i="9"/>
  <c r="J101" i="9"/>
  <c r="M102" i="9" l="1"/>
  <c r="L93" i="9"/>
  <c r="L198" i="9"/>
  <c r="J234" i="9"/>
  <c r="K199" i="9"/>
  <c r="J191" i="9"/>
  <c r="K101" i="9"/>
  <c r="N193" i="9"/>
  <c r="O193" i="9" l="1"/>
  <c r="K191" i="9"/>
  <c r="L101" i="9"/>
  <c r="K234" i="9"/>
  <c r="M198" i="9"/>
  <c r="L199" i="9"/>
  <c r="N102" i="9"/>
  <c r="M93" i="9"/>
  <c r="P193" i="9" l="1"/>
  <c r="N93" i="9"/>
  <c r="O102" i="9"/>
  <c r="L234" i="9"/>
  <c r="N198" i="9"/>
  <c r="M199" i="9"/>
  <c r="L191" i="9"/>
  <c r="M101" i="9"/>
  <c r="O198" i="9" l="1"/>
  <c r="M234" i="9"/>
  <c r="N199" i="9"/>
  <c r="O93" i="9"/>
  <c r="P102" i="9"/>
  <c r="Q193" i="9"/>
  <c r="M191" i="9"/>
  <c r="N101" i="9"/>
  <c r="R193" i="9" l="1"/>
  <c r="P93" i="9"/>
  <c r="Q102" i="9"/>
  <c r="N191" i="9"/>
  <c r="O101" i="9"/>
  <c r="N234" i="9"/>
  <c r="P198" i="9"/>
  <c r="O199" i="9"/>
  <c r="O234" i="9" l="1"/>
  <c r="Q198" i="9"/>
  <c r="P199" i="9"/>
  <c r="O191" i="9"/>
  <c r="P101" i="9"/>
  <c r="Q93" i="9"/>
  <c r="R102" i="9"/>
  <c r="S193" i="9"/>
  <c r="S102" i="9" l="1"/>
  <c r="R93" i="9"/>
  <c r="P191" i="9"/>
  <c r="Q101" i="9"/>
  <c r="P234" i="9"/>
  <c r="R198" i="9"/>
  <c r="Q199" i="9"/>
  <c r="T193" i="9"/>
  <c r="S93" i="9" l="1"/>
  <c r="T102" i="9"/>
  <c r="S198" i="9"/>
  <c r="Q234" i="9"/>
  <c r="R199" i="9"/>
  <c r="Q191" i="9"/>
  <c r="R101" i="9"/>
  <c r="U193" i="9"/>
  <c r="V193" i="9" l="1"/>
  <c r="R191" i="9"/>
  <c r="S101" i="9"/>
  <c r="R234" i="9"/>
  <c r="T198" i="9"/>
  <c r="S199" i="9"/>
  <c r="U102" i="9"/>
  <c r="T93" i="9"/>
  <c r="V102" i="9" l="1"/>
  <c r="U93" i="9"/>
  <c r="S234" i="9"/>
  <c r="U198" i="9"/>
  <c r="T199" i="9"/>
  <c r="S191" i="9"/>
  <c r="T101" i="9"/>
  <c r="W193" i="9"/>
  <c r="X193" i="9" l="1"/>
  <c r="T191" i="9"/>
  <c r="U101" i="9"/>
  <c r="T234" i="9"/>
  <c r="V198" i="9"/>
  <c r="U199" i="9"/>
  <c r="U51" i="9" s="1"/>
  <c r="U52" i="9" s="1"/>
  <c r="W102" i="9"/>
  <c r="V93" i="9"/>
  <c r="W93" i="9" l="1"/>
  <c r="X102" i="9"/>
  <c r="U73" i="9"/>
  <c r="U75" i="9"/>
  <c r="W198" i="9"/>
  <c r="U234" i="9"/>
  <c r="V199" i="9"/>
  <c r="V51" i="9" s="1"/>
  <c r="V52" i="9" s="1"/>
  <c r="U191" i="9"/>
  <c r="V101" i="9"/>
  <c r="Y193" i="9"/>
  <c r="U83" i="9" l="1"/>
  <c r="V191" i="9"/>
  <c r="W101" i="9"/>
  <c r="V73" i="9"/>
  <c r="V75" i="9"/>
  <c r="V234" i="9"/>
  <c r="X198" i="9"/>
  <c r="W199" i="9"/>
  <c r="W51" i="9" s="1"/>
  <c r="W52" i="9" s="1"/>
  <c r="AM213" i="9"/>
  <c r="U7" i="9"/>
  <c r="Z193" i="9"/>
  <c r="Y102" i="9"/>
  <c r="V83" i="9" l="1"/>
  <c r="AA193" i="9"/>
  <c r="W73" i="9"/>
  <c r="W75" i="9"/>
  <c r="Y198" i="9"/>
  <c r="W234" i="9"/>
  <c r="X199" i="9"/>
  <c r="X51" i="9" s="1"/>
  <c r="X52" i="9" s="1"/>
  <c r="X93" i="9"/>
  <c r="Y93" i="9"/>
  <c r="Z102" i="9"/>
  <c r="AN213" i="9"/>
  <c r="V7" i="9"/>
  <c r="W191" i="9"/>
  <c r="X101" i="9"/>
  <c r="W83" i="9" l="1"/>
  <c r="X75" i="9"/>
  <c r="X73" i="9"/>
  <c r="X191" i="9"/>
  <c r="Y101" i="9"/>
  <c r="X234" i="9"/>
  <c r="Z198" i="9"/>
  <c r="Y199" i="9"/>
  <c r="Y51" i="9" s="1"/>
  <c r="Y52" i="9" s="1"/>
  <c r="AO213" i="9"/>
  <c r="W7" i="9"/>
  <c r="AA102" i="9"/>
  <c r="Z93" i="9"/>
  <c r="AB193" i="9"/>
  <c r="X83" i="9" l="1"/>
  <c r="AA93" i="9"/>
  <c r="AB102" i="9"/>
  <c r="Y75" i="9"/>
  <c r="Y73" i="9"/>
  <c r="Y234" i="9"/>
  <c r="AA198" i="9"/>
  <c r="Z199" i="9"/>
  <c r="AC193" i="9"/>
  <c r="Y191" i="9"/>
  <c r="Z101" i="9"/>
  <c r="AP213" i="9"/>
  <c r="X7" i="9"/>
  <c r="Z191" i="9" l="1"/>
  <c r="AA101" i="9"/>
  <c r="AD193" i="9"/>
  <c r="AB198" i="9"/>
  <c r="Z234" i="9"/>
  <c r="AA199" i="9"/>
  <c r="AA51" i="9" s="1"/>
  <c r="AA52" i="9" s="1"/>
  <c r="Y83" i="9"/>
  <c r="AQ213" i="9"/>
  <c r="Y7" i="9"/>
  <c r="AB93" i="9"/>
  <c r="AC102" i="9"/>
  <c r="AA75" i="9" l="1"/>
  <c r="AA73" i="9"/>
  <c r="AA234" i="9"/>
  <c r="AC198" i="9"/>
  <c r="AB199" i="9"/>
  <c r="AB51" i="9" s="1"/>
  <c r="AB52" i="9" s="1"/>
  <c r="AD102" i="9"/>
  <c r="AC93" i="9"/>
  <c r="AE193" i="9"/>
  <c r="AA191" i="9"/>
  <c r="AB101" i="9"/>
  <c r="AA83" i="9" l="1"/>
  <c r="AD93" i="9"/>
  <c r="AE102" i="9"/>
  <c r="AB73" i="9"/>
  <c r="AB75" i="9"/>
  <c r="AB234" i="9"/>
  <c r="AD198" i="9"/>
  <c r="AC199" i="9"/>
  <c r="AC51" i="9" s="1"/>
  <c r="AC52" i="9" s="1"/>
  <c r="AB191" i="9"/>
  <c r="AC101" i="9"/>
  <c r="AF193" i="9"/>
  <c r="AS213" i="9"/>
  <c r="AA7" i="9"/>
  <c r="AB83" i="9" l="1"/>
  <c r="AC191" i="9"/>
  <c r="AD101" i="9"/>
  <c r="AC73" i="9"/>
  <c r="AC75" i="9"/>
  <c r="AE198" i="9"/>
  <c r="AC234" i="9"/>
  <c r="AD199" i="9"/>
  <c r="AD51" i="9" s="1"/>
  <c r="AD52" i="9" s="1"/>
  <c r="AT213" i="9"/>
  <c r="AB7" i="9"/>
  <c r="B193" i="9"/>
  <c r="AF102" i="9"/>
  <c r="AC83" i="9" l="1"/>
  <c r="AD73" i="9"/>
  <c r="AD75" i="9"/>
  <c r="B102" i="9"/>
  <c r="AD234" i="9"/>
  <c r="AF198" i="9"/>
  <c r="AE199" i="9"/>
  <c r="AE51" i="9" s="1"/>
  <c r="AE52" i="9" s="1"/>
  <c r="AE93" i="9"/>
  <c r="AU213" i="9"/>
  <c r="AC7" i="9"/>
  <c r="AD191" i="9"/>
  <c r="AE101" i="9"/>
  <c r="AE234" i="9" l="1"/>
  <c r="B198" i="9"/>
  <c r="AF199" i="9"/>
  <c r="AF51" i="9" s="1"/>
  <c r="AF52" i="9" s="1"/>
  <c r="AE191" i="9"/>
  <c r="AF101" i="9"/>
  <c r="AE73" i="9"/>
  <c r="AE75" i="9"/>
  <c r="AF93" i="9"/>
  <c r="B93" i="9"/>
  <c r="AV213" i="9"/>
  <c r="AD7" i="9"/>
  <c r="AD83" i="9"/>
  <c r="AI93" i="9" l="1"/>
  <c r="AH93" i="9"/>
  <c r="AW213" i="9"/>
  <c r="AE7" i="9"/>
  <c r="AE83" i="9"/>
  <c r="AF191" i="9"/>
  <c r="B101" i="9"/>
  <c r="B191" i="9" s="1"/>
  <c r="AF75" i="9"/>
  <c r="AF73" i="9"/>
  <c r="AF234" i="9"/>
  <c r="B199" i="9"/>
  <c r="AF83" i="9" l="1"/>
  <c r="AX213" i="9"/>
  <c r="AF7" i="9"/>
  <c r="AI51" i="9"/>
  <c r="AH51" i="9"/>
  <c r="B52" i="9"/>
  <c r="AI52" i="9" l="1"/>
  <c r="AH52" i="9"/>
  <c r="B73" i="9"/>
  <c r="B75" i="9"/>
  <c r="AI73" i="9" l="1"/>
  <c r="AH73" i="9"/>
  <c r="B83" i="9"/>
  <c r="T213" i="9"/>
  <c r="AI75" i="9"/>
  <c r="AH75" i="9"/>
  <c r="B7" i="9"/>
  <c r="A7" i="9" s="1"/>
  <c r="AH83" i="9" l="1"/>
  <c r="AI83" i="9"/>
  <c r="P37" i="8" l="1"/>
  <c r="O95" i="8" l="1"/>
  <c r="O37" i="8"/>
  <c r="E37" i="8" l="1"/>
  <c r="F37" i="8"/>
  <c r="AH99" i="8" l="1"/>
  <c r="AI99" i="8" s="1"/>
  <c r="D37" i="8"/>
  <c r="C95" i="8"/>
  <c r="C37" i="8"/>
  <c r="B37" i="8"/>
  <c r="B95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C234" i="8"/>
  <c r="B234" i="8"/>
  <c r="S209" i="8"/>
  <c r="AG199" i="8"/>
  <c r="C199" i="8"/>
  <c r="F198" i="8"/>
  <c r="D198" i="8"/>
  <c r="E198" i="8" s="1"/>
  <c r="D234" i="8" s="1"/>
  <c r="N197" i="8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J195" i="8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F195" i="8"/>
  <c r="G195" i="8" s="1"/>
  <c r="H195" i="8" s="1"/>
  <c r="I195" i="8" s="1"/>
  <c r="E195" i="8"/>
  <c r="D195" i="8"/>
  <c r="O194" i="8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B194" i="8" s="1"/>
  <c r="E194" i="8"/>
  <c r="F194" i="8" s="1"/>
  <c r="G194" i="8" s="1"/>
  <c r="H194" i="8" s="1"/>
  <c r="I194" i="8" s="1"/>
  <c r="J194" i="8" s="1"/>
  <c r="K194" i="8" s="1"/>
  <c r="L194" i="8" s="1"/>
  <c r="M194" i="8" s="1"/>
  <c r="N194" i="8" s="1"/>
  <c r="D194" i="8"/>
  <c r="D199" i="8" s="1"/>
  <c r="D193" i="8"/>
  <c r="E193" i="8" s="1"/>
  <c r="AG191" i="8"/>
  <c r="C191" i="8"/>
  <c r="G190" i="8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D190" i="8"/>
  <c r="E190" i="8" s="1"/>
  <c r="F190" i="8" s="1"/>
  <c r="E189" i="8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D189" i="8"/>
  <c r="X188" i="8"/>
  <c r="Y188" i="8" s="1"/>
  <c r="Z188" i="8" s="1"/>
  <c r="AA188" i="8" s="1"/>
  <c r="AB188" i="8" s="1"/>
  <c r="AC188" i="8" s="1"/>
  <c r="AD188" i="8" s="1"/>
  <c r="AE188" i="8" s="1"/>
  <c r="AF188" i="8" s="1"/>
  <c r="B188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B187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H185" i="8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E185" i="8"/>
  <c r="F185" i="8" s="1"/>
  <c r="G185" i="8" s="1"/>
  <c r="D185" i="8"/>
  <c r="G184" i="8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B184" i="8" s="1"/>
  <c r="D184" i="8"/>
  <c r="E184" i="8" s="1"/>
  <c r="F184" i="8" s="1"/>
  <c r="F183" i="8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E183" i="8"/>
  <c r="D183" i="8"/>
  <c r="Q182" i="8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H182" i="8"/>
  <c r="I182" i="8" s="1"/>
  <c r="J182" i="8" s="1"/>
  <c r="K182" i="8" s="1"/>
  <c r="L182" i="8" s="1"/>
  <c r="M182" i="8" s="1"/>
  <c r="N182" i="8" s="1"/>
  <c r="O182" i="8" s="1"/>
  <c r="P182" i="8" s="1"/>
  <c r="G182" i="8"/>
  <c r="F182" i="8"/>
  <c r="D182" i="8"/>
  <c r="E182" i="8" s="1"/>
  <c r="T181" i="8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F181" i="8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D181" i="8"/>
  <c r="E181" i="8" s="1"/>
  <c r="V180" i="8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H180" i="8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D180" i="8"/>
  <c r="E180" i="8" s="1"/>
  <c r="F180" i="8" s="1"/>
  <c r="G180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B178" i="8" s="1"/>
  <c r="G176" i="8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E176" i="8"/>
  <c r="F176" i="8" s="1"/>
  <c r="D176" i="8"/>
  <c r="O175" i="8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F175" i="8"/>
  <c r="G175" i="8" s="1"/>
  <c r="H175" i="8" s="1"/>
  <c r="I175" i="8" s="1"/>
  <c r="J175" i="8" s="1"/>
  <c r="K175" i="8" s="1"/>
  <c r="L175" i="8" s="1"/>
  <c r="M175" i="8" s="1"/>
  <c r="N175" i="8" s="1"/>
  <c r="E175" i="8"/>
  <c r="D175" i="8"/>
  <c r="S174" i="8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B174" i="8" s="1"/>
  <c r="I174" i="8"/>
  <c r="J174" i="8" s="1"/>
  <c r="K174" i="8" s="1"/>
  <c r="L174" i="8" s="1"/>
  <c r="M174" i="8" s="1"/>
  <c r="N174" i="8" s="1"/>
  <c r="O174" i="8" s="1"/>
  <c r="P174" i="8" s="1"/>
  <c r="Q174" i="8" s="1"/>
  <c r="R174" i="8" s="1"/>
  <c r="D174" i="8"/>
  <c r="E174" i="8" s="1"/>
  <c r="F174" i="8" s="1"/>
  <c r="G174" i="8" s="1"/>
  <c r="H174" i="8" s="1"/>
  <c r="F173" i="8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E173" i="8"/>
  <c r="D173" i="8"/>
  <c r="O172" i="8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E172" i="8"/>
  <c r="F172" i="8" s="1"/>
  <c r="G172" i="8" s="1"/>
  <c r="H172" i="8" s="1"/>
  <c r="I172" i="8" s="1"/>
  <c r="J172" i="8" s="1"/>
  <c r="K172" i="8" s="1"/>
  <c r="L172" i="8" s="1"/>
  <c r="M172" i="8" s="1"/>
  <c r="N172" i="8" s="1"/>
  <c r="D172" i="8"/>
  <c r="H171" i="8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D171" i="8"/>
  <c r="E171" i="8" s="1"/>
  <c r="F171" i="8" s="1"/>
  <c r="G171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T169" i="8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B169" i="8" s="1"/>
  <c r="L169" i="8"/>
  <c r="M169" i="8" s="1"/>
  <c r="N169" i="8" s="1"/>
  <c r="O169" i="8" s="1"/>
  <c r="P169" i="8" s="1"/>
  <c r="Q169" i="8" s="1"/>
  <c r="R169" i="8" s="1"/>
  <c r="S169" i="8" s="1"/>
  <c r="D169" i="8"/>
  <c r="E169" i="8" s="1"/>
  <c r="F169" i="8" s="1"/>
  <c r="G169" i="8" s="1"/>
  <c r="H169" i="8" s="1"/>
  <c r="I169" i="8" s="1"/>
  <c r="J169" i="8" s="1"/>
  <c r="K169" i="8" s="1"/>
  <c r="J167" i="8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E167" i="8"/>
  <c r="F167" i="8" s="1"/>
  <c r="G167" i="8" s="1"/>
  <c r="H167" i="8" s="1"/>
  <c r="I167" i="8" s="1"/>
  <c r="D167" i="8"/>
  <c r="K166" i="8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H166" i="8"/>
  <c r="I166" i="8" s="1"/>
  <c r="J166" i="8" s="1"/>
  <c r="D166" i="8"/>
  <c r="E166" i="8" s="1"/>
  <c r="F166" i="8" s="1"/>
  <c r="G166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V164" i="8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J163" i="8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E163" i="8"/>
  <c r="F163" i="8" s="1"/>
  <c r="G163" i="8" s="1"/>
  <c r="H163" i="8" s="1"/>
  <c r="I163" i="8" s="1"/>
  <c r="D163" i="8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R161" i="8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I160" i="8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F160" i="8"/>
  <c r="G160" i="8" s="1"/>
  <c r="H160" i="8" s="1"/>
  <c r="D160" i="8"/>
  <c r="E160" i="8" s="1"/>
  <c r="H159" i="8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E159" i="8"/>
  <c r="F159" i="8" s="1"/>
  <c r="G159" i="8" s="1"/>
  <c r="D159" i="8"/>
  <c r="G158" i="8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F158" i="8"/>
  <c r="E158" i="8"/>
  <c r="D158" i="8"/>
  <c r="E157" i="8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B157" i="8" s="1"/>
  <c r="D157" i="8"/>
  <c r="H156" i="8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G156" i="8"/>
  <c r="F156" i="8"/>
  <c r="E156" i="8"/>
  <c r="D156" i="8"/>
  <c r="AD155" i="8"/>
  <c r="AE155" i="8" s="1"/>
  <c r="AF155" i="8" s="1"/>
  <c r="B155" i="8" s="1"/>
  <c r="I155" i="8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F155" i="8"/>
  <c r="G155" i="8" s="1"/>
  <c r="H155" i="8" s="1"/>
  <c r="E155" i="8"/>
  <c r="D155" i="8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E152" i="8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D152" i="8"/>
  <c r="H151" i="8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G151" i="8"/>
  <c r="F151" i="8"/>
  <c r="E151" i="8"/>
  <c r="D151" i="8"/>
  <c r="F150" i="8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B150" i="8" s="1"/>
  <c r="E150" i="8"/>
  <c r="D150" i="8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Y147" i="8"/>
  <c r="Z147" i="8" s="1"/>
  <c r="AA147" i="8" s="1"/>
  <c r="AB147" i="8" s="1"/>
  <c r="AC147" i="8" s="1"/>
  <c r="AD147" i="8" s="1"/>
  <c r="AE147" i="8" s="1"/>
  <c r="AF147" i="8" s="1"/>
  <c r="B147" i="8" s="1"/>
  <c r="E147" i="8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D147" i="8"/>
  <c r="O145" i="8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B145" i="8" s="1"/>
  <c r="G145" i="8"/>
  <c r="H145" i="8" s="1"/>
  <c r="I145" i="8" s="1"/>
  <c r="J145" i="8" s="1"/>
  <c r="K145" i="8" s="1"/>
  <c r="L145" i="8" s="1"/>
  <c r="M145" i="8" s="1"/>
  <c r="N145" i="8" s="1"/>
  <c r="F145" i="8"/>
  <c r="E145" i="8"/>
  <c r="D145" i="8"/>
  <c r="AD144" i="8"/>
  <c r="AE144" i="8" s="1"/>
  <c r="AF144" i="8" s="1"/>
  <c r="B144" i="8" s="1"/>
  <c r="N144" i="8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E144" i="8"/>
  <c r="F144" i="8" s="1"/>
  <c r="G144" i="8" s="1"/>
  <c r="H144" i="8" s="1"/>
  <c r="I144" i="8" s="1"/>
  <c r="J144" i="8" s="1"/>
  <c r="K144" i="8" s="1"/>
  <c r="L144" i="8" s="1"/>
  <c r="M144" i="8" s="1"/>
  <c r="D144" i="8"/>
  <c r="L143" i="8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G143" i="8"/>
  <c r="H143" i="8" s="1"/>
  <c r="I143" i="8" s="1"/>
  <c r="J143" i="8" s="1"/>
  <c r="K143" i="8" s="1"/>
  <c r="D143" i="8"/>
  <c r="E143" i="8" s="1"/>
  <c r="F143" i="8" s="1"/>
  <c r="Z142" i="8"/>
  <c r="AA142" i="8" s="1"/>
  <c r="AB142" i="8" s="1"/>
  <c r="AC142" i="8" s="1"/>
  <c r="AD142" i="8" s="1"/>
  <c r="AE142" i="8" s="1"/>
  <c r="AF142" i="8" s="1"/>
  <c r="B142" i="8" s="1"/>
  <c r="J142" i="8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E142" i="8"/>
  <c r="F142" i="8" s="1"/>
  <c r="G142" i="8" s="1"/>
  <c r="H142" i="8" s="1"/>
  <c r="I142" i="8" s="1"/>
  <c r="D142" i="8"/>
  <c r="K141" i="8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F141" i="8"/>
  <c r="G141" i="8" s="1"/>
  <c r="H141" i="8" s="1"/>
  <c r="I141" i="8" s="1"/>
  <c r="J141" i="8" s="1"/>
  <c r="E141" i="8"/>
  <c r="D141" i="8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I139" i="8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B139" i="8" s="1"/>
  <c r="D139" i="8"/>
  <c r="E139" i="8" s="1"/>
  <c r="F139" i="8" s="1"/>
  <c r="G139" i="8" s="1"/>
  <c r="H139" i="8" s="1"/>
  <c r="M137" i="8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E137" i="8"/>
  <c r="F137" i="8" s="1"/>
  <c r="G137" i="8" s="1"/>
  <c r="H137" i="8" s="1"/>
  <c r="I137" i="8" s="1"/>
  <c r="J137" i="8" s="1"/>
  <c r="K137" i="8" s="1"/>
  <c r="L137" i="8" s="1"/>
  <c r="D137" i="8"/>
  <c r="K136" i="8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E136" i="8"/>
  <c r="F136" i="8" s="1"/>
  <c r="G136" i="8" s="1"/>
  <c r="H136" i="8" s="1"/>
  <c r="I136" i="8" s="1"/>
  <c r="J136" i="8" s="1"/>
  <c r="D136" i="8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E134" i="8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D134" i="8"/>
  <c r="N133" i="8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F133" i="8"/>
  <c r="G133" i="8" s="1"/>
  <c r="H133" i="8" s="1"/>
  <c r="I133" i="8" s="1"/>
  <c r="J133" i="8" s="1"/>
  <c r="K133" i="8" s="1"/>
  <c r="L133" i="8" s="1"/>
  <c r="M133" i="8" s="1"/>
  <c r="D133" i="8"/>
  <c r="E133" i="8" s="1"/>
  <c r="Q132" i="8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I132" i="8"/>
  <c r="J132" i="8" s="1"/>
  <c r="K132" i="8" s="1"/>
  <c r="L132" i="8" s="1"/>
  <c r="M132" i="8" s="1"/>
  <c r="N132" i="8" s="1"/>
  <c r="O132" i="8" s="1"/>
  <c r="P132" i="8" s="1"/>
  <c r="D132" i="8"/>
  <c r="E132" i="8" s="1"/>
  <c r="F132" i="8" s="1"/>
  <c r="G132" i="8" s="1"/>
  <c r="H132" i="8" s="1"/>
  <c r="O131" i="8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G131" i="8"/>
  <c r="H131" i="8" s="1"/>
  <c r="I131" i="8" s="1"/>
  <c r="J131" i="8" s="1"/>
  <c r="K131" i="8" s="1"/>
  <c r="L131" i="8" s="1"/>
  <c r="M131" i="8" s="1"/>
  <c r="N131" i="8" s="1"/>
  <c r="E131" i="8"/>
  <c r="F131" i="8" s="1"/>
  <c r="D131" i="8"/>
  <c r="E130" i="8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B130" i="8" s="1"/>
  <c r="D130" i="8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Z125" i="8"/>
  <c r="AA125" i="8" s="1"/>
  <c r="AB125" i="8" s="1"/>
  <c r="AC125" i="8" s="1"/>
  <c r="AD125" i="8" s="1"/>
  <c r="AE125" i="8" s="1"/>
  <c r="AF125" i="8" s="1"/>
  <c r="B125" i="8" s="1"/>
  <c r="H125" i="8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E125" i="8"/>
  <c r="F125" i="8" s="1"/>
  <c r="G125" i="8" s="1"/>
  <c r="D125" i="8"/>
  <c r="I124" i="8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G124" i="8"/>
  <c r="H124" i="8" s="1"/>
  <c r="F124" i="8"/>
  <c r="E124" i="8"/>
  <c r="D124" i="8"/>
  <c r="Q123" i="8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E123" i="8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D123" i="8"/>
  <c r="E122" i="8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D122" i="8"/>
  <c r="M121" i="8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E121" i="8"/>
  <c r="F121" i="8" s="1"/>
  <c r="G121" i="8" s="1"/>
  <c r="H121" i="8" s="1"/>
  <c r="I121" i="8" s="1"/>
  <c r="J121" i="8" s="1"/>
  <c r="K121" i="8" s="1"/>
  <c r="L121" i="8" s="1"/>
  <c r="D121" i="8"/>
  <c r="G120" i="8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F120" i="8"/>
  <c r="E120" i="8"/>
  <c r="D120" i="8"/>
  <c r="N119" i="8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F119" i="8"/>
  <c r="G119" i="8" s="1"/>
  <c r="H119" i="8" s="1"/>
  <c r="I119" i="8" s="1"/>
  <c r="J119" i="8" s="1"/>
  <c r="K119" i="8" s="1"/>
  <c r="L119" i="8" s="1"/>
  <c r="M119" i="8" s="1"/>
  <c r="E119" i="8"/>
  <c r="D119" i="8"/>
  <c r="K118" i="8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E118" i="8"/>
  <c r="F118" i="8" s="1"/>
  <c r="G118" i="8" s="1"/>
  <c r="H118" i="8" s="1"/>
  <c r="I118" i="8" s="1"/>
  <c r="J118" i="8" s="1"/>
  <c r="D118" i="8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J116" i="8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G116" i="8"/>
  <c r="H116" i="8" s="1"/>
  <c r="I116" i="8" s="1"/>
  <c r="E116" i="8"/>
  <c r="F116" i="8" s="1"/>
  <c r="D116" i="8"/>
  <c r="N115" i="8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K115" i="8"/>
  <c r="L115" i="8" s="1"/>
  <c r="M115" i="8" s="1"/>
  <c r="E115" i="8"/>
  <c r="F115" i="8" s="1"/>
  <c r="G115" i="8" s="1"/>
  <c r="H115" i="8" s="1"/>
  <c r="I115" i="8" s="1"/>
  <c r="J115" i="8" s="1"/>
  <c r="D115" i="8"/>
  <c r="M114" i="8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G114" i="8"/>
  <c r="H114" i="8" s="1"/>
  <c r="I114" i="8" s="1"/>
  <c r="J114" i="8" s="1"/>
  <c r="K114" i="8" s="1"/>
  <c r="L114" i="8" s="1"/>
  <c r="D114" i="8"/>
  <c r="E114" i="8" s="1"/>
  <c r="F114" i="8" s="1"/>
  <c r="K113" i="8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I113" i="8"/>
  <c r="F113" i="8"/>
  <c r="G113" i="8" s="1"/>
  <c r="H113" i="8" s="1"/>
  <c r="D113" i="8"/>
  <c r="E113" i="8" s="1"/>
  <c r="I112" i="8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D112" i="8"/>
  <c r="E112" i="8" s="1"/>
  <c r="F112" i="8" s="1"/>
  <c r="G112" i="8" s="1"/>
  <c r="H112" i="8" s="1"/>
  <c r="G111" i="8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B111" i="8" s="1"/>
  <c r="E111" i="8"/>
  <c r="F111" i="8" s="1"/>
  <c r="D111" i="8"/>
  <c r="M109" i="8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H109" i="8"/>
  <c r="I109" i="8" s="1"/>
  <c r="J109" i="8" s="1"/>
  <c r="K109" i="8" s="1"/>
  <c r="L109" i="8" s="1"/>
  <c r="E109" i="8"/>
  <c r="F109" i="8" s="1"/>
  <c r="G109" i="8" s="1"/>
  <c r="D109" i="8"/>
  <c r="K108" i="8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B108" i="8" s="1"/>
  <c r="F108" i="8"/>
  <c r="G108" i="8" s="1"/>
  <c r="H108" i="8" s="1"/>
  <c r="I108" i="8" s="1"/>
  <c r="J108" i="8" s="1"/>
  <c r="E108" i="8"/>
  <c r="D108" i="8"/>
  <c r="I106" i="8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D106" i="8"/>
  <c r="E106" i="8" s="1"/>
  <c r="F106" i="8" s="1"/>
  <c r="G106" i="8" s="1"/>
  <c r="H106" i="8" s="1"/>
  <c r="G105" i="8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E105" i="8"/>
  <c r="F105" i="8" s="1"/>
  <c r="D105" i="8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D104" i="8"/>
  <c r="F103" i="8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B103" i="8" s="1"/>
  <c r="E103" i="8"/>
  <c r="D103" i="8"/>
  <c r="D102" i="8"/>
  <c r="E102" i="8" s="1"/>
  <c r="E101" i="8"/>
  <c r="D101" i="8"/>
  <c r="AH98" i="8"/>
  <c r="AI98" i="8" s="1"/>
  <c r="AH97" i="8"/>
  <c r="AI97" i="8" s="1"/>
  <c r="AH96" i="8"/>
  <c r="AI96" i="8" s="1"/>
  <c r="AH95" i="8"/>
  <c r="AI95" i="8" s="1"/>
  <c r="AH94" i="8"/>
  <c r="AI94" i="8" s="1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Z76" i="8"/>
  <c r="Z82" i="8" s="1"/>
  <c r="Y76" i="8"/>
  <c r="X76" i="8"/>
  <c r="W76" i="8"/>
  <c r="V76" i="8"/>
  <c r="V82" i="8" s="1"/>
  <c r="U76" i="8"/>
  <c r="T76" i="8"/>
  <c r="T82" i="8" s="1"/>
  <c r="S76" i="8"/>
  <c r="S82" i="8" s="1"/>
  <c r="R76" i="8"/>
  <c r="R82" i="8" s="1"/>
  <c r="Q76" i="8"/>
  <c r="P76" i="8"/>
  <c r="O76" i="8"/>
  <c r="N76" i="8"/>
  <c r="N82" i="8" s="1"/>
  <c r="M76" i="8"/>
  <c r="M82" i="8" s="1"/>
  <c r="L76" i="8"/>
  <c r="K76" i="8"/>
  <c r="J76" i="8"/>
  <c r="I76" i="8"/>
  <c r="H76" i="8"/>
  <c r="G76" i="8"/>
  <c r="F76" i="8"/>
  <c r="F82" i="8" s="1"/>
  <c r="E76" i="8"/>
  <c r="D76" i="8"/>
  <c r="D82" i="8" s="1"/>
  <c r="C76" i="8"/>
  <c r="C82" i="8" s="1"/>
  <c r="B76" i="8"/>
  <c r="AI74" i="8"/>
  <c r="AH74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I70" i="8"/>
  <c r="AH70" i="8"/>
  <c r="AI69" i="8"/>
  <c r="AH69" i="8"/>
  <c r="AG68" i="8"/>
  <c r="AF68" i="8"/>
  <c r="AE5" i="8" s="1"/>
  <c r="AE68" i="8"/>
  <c r="AD5" i="8" s="1"/>
  <c r="AD68" i="8"/>
  <c r="AC5" i="8" s="1"/>
  <c r="AC68" i="8"/>
  <c r="AB5" i="8" s="1"/>
  <c r="AB68" i="8"/>
  <c r="AA5" i="8" s="1"/>
  <c r="AA68" i="8"/>
  <c r="Z5" i="8" s="1"/>
  <c r="Z68" i="8"/>
  <c r="Y5" i="8" s="1"/>
  <c r="Y68" i="8"/>
  <c r="W5" i="8"/>
  <c r="W68" i="8"/>
  <c r="V68" i="8"/>
  <c r="U5" i="8" s="1"/>
  <c r="U68" i="8"/>
  <c r="T68" i="8"/>
  <c r="S5" i="8" s="1"/>
  <c r="S68" i="8"/>
  <c r="R68" i="8"/>
  <c r="Q5" i="8" s="1"/>
  <c r="Q68" i="8"/>
  <c r="P68" i="8"/>
  <c r="O5" i="8" s="1"/>
  <c r="O68" i="8"/>
  <c r="N68" i="8"/>
  <c r="M68" i="8"/>
  <c r="L68" i="8"/>
  <c r="K68" i="8"/>
  <c r="J68" i="8"/>
  <c r="I5" i="8" s="1"/>
  <c r="I68" i="8"/>
  <c r="H5" i="8" s="1"/>
  <c r="H68" i="8"/>
  <c r="G5" i="8" s="1"/>
  <c r="G68" i="8"/>
  <c r="F5" i="8" s="1"/>
  <c r="F68" i="8"/>
  <c r="E68" i="8"/>
  <c r="D5" i="8" s="1"/>
  <c r="D68" i="8"/>
  <c r="C68" i="8"/>
  <c r="B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Z56" i="8"/>
  <c r="Y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Z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G51" i="8"/>
  <c r="AG52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F38" i="8"/>
  <c r="AE38" i="8"/>
  <c r="AD38" i="8"/>
  <c r="AC38" i="8"/>
  <c r="AB38" i="8"/>
  <c r="AA38" i="8"/>
  <c r="Z38" i="8"/>
  <c r="Y38" i="8"/>
  <c r="W38" i="8"/>
  <c r="V38" i="8"/>
  <c r="U38" i="8"/>
  <c r="T38" i="8"/>
  <c r="S38" i="8"/>
  <c r="R38" i="8"/>
  <c r="Q38" i="8"/>
  <c r="Q73" i="8" s="1"/>
  <c r="P38" i="8"/>
  <c r="O38" i="8"/>
  <c r="O75" i="8" s="1"/>
  <c r="N38" i="8"/>
  <c r="N75" i="8" s="1"/>
  <c r="AF213" i="8" s="1"/>
  <c r="M38" i="8"/>
  <c r="M75" i="8" s="1"/>
  <c r="AE213" i="8" s="1"/>
  <c r="L38" i="8"/>
  <c r="K38" i="8"/>
  <c r="J38" i="8"/>
  <c r="I38" i="8"/>
  <c r="H38" i="8"/>
  <c r="H75" i="8" s="1"/>
  <c r="G38" i="8"/>
  <c r="F38" i="8"/>
  <c r="F75" i="8" s="1"/>
  <c r="X213" i="8" s="1"/>
  <c r="E38" i="8"/>
  <c r="D38" i="8"/>
  <c r="D75" i="8" s="1"/>
  <c r="V213" i="8" s="1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X5" i="8"/>
  <c r="V5" i="8"/>
  <c r="T5" i="8"/>
  <c r="R5" i="8"/>
  <c r="P5" i="8"/>
  <c r="N5" i="8"/>
  <c r="M5" i="8"/>
  <c r="L5" i="8"/>
  <c r="K5" i="8"/>
  <c r="J5" i="8"/>
  <c r="E5" i="8"/>
  <c r="C5" i="8"/>
  <c r="B5" i="8"/>
  <c r="AG4" i="8"/>
  <c r="K4" i="8"/>
  <c r="B4" i="8"/>
  <c r="AG2" i="8"/>
  <c r="AF95" i="7"/>
  <c r="AF37" i="7"/>
  <c r="AE95" i="7"/>
  <c r="AE37" i="7"/>
  <c r="AD95" i="7"/>
  <c r="AD37" i="7"/>
  <c r="AC95" i="7"/>
  <c r="AC37" i="7"/>
  <c r="E4" i="8"/>
  <c r="AF82" i="8" l="1"/>
  <c r="AE82" i="8"/>
  <c r="AD82" i="8"/>
  <c r="AC82" i="8"/>
  <c r="AB82" i="8"/>
  <c r="AA82" i="8"/>
  <c r="Y82" i="8"/>
  <c r="X82" i="8"/>
  <c r="W82" i="8"/>
  <c r="U82" i="8"/>
  <c r="T75" i="8"/>
  <c r="AL213" i="8" s="1"/>
  <c r="Q82" i="8"/>
  <c r="P82" i="8"/>
  <c r="P75" i="8"/>
  <c r="P7" i="8" s="1"/>
  <c r="O82" i="8"/>
  <c r="L82" i="8"/>
  <c r="L75" i="8"/>
  <c r="AD213" i="8" s="1"/>
  <c r="K82" i="8"/>
  <c r="J82" i="8"/>
  <c r="AI78" i="8"/>
  <c r="I73" i="8"/>
  <c r="I82" i="8"/>
  <c r="AI56" i="8"/>
  <c r="H82" i="8"/>
  <c r="G82" i="8"/>
  <c r="G75" i="8"/>
  <c r="Y213" i="8" s="1"/>
  <c r="E82" i="8"/>
  <c r="AH79" i="8"/>
  <c r="E75" i="8"/>
  <c r="W213" i="8" s="1"/>
  <c r="Z213" i="8"/>
  <c r="H7" i="8"/>
  <c r="Z75" i="8"/>
  <c r="AR213" i="8" s="1"/>
  <c r="H73" i="8"/>
  <c r="I75" i="8"/>
  <c r="AA213" i="8" s="1"/>
  <c r="Q75" i="8"/>
  <c r="Q83" i="8" s="1"/>
  <c r="K75" i="8"/>
  <c r="AC213" i="8" s="1"/>
  <c r="S75" i="8"/>
  <c r="AK213" i="8" s="1"/>
  <c r="P73" i="8"/>
  <c r="P83" i="8" s="1"/>
  <c r="K73" i="8"/>
  <c r="S73" i="8"/>
  <c r="L73" i="8"/>
  <c r="T73" i="8"/>
  <c r="T83" i="8" s="1"/>
  <c r="E73" i="8"/>
  <c r="M73" i="8"/>
  <c r="M83" i="8" s="1"/>
  <c r="F73" i="8"/>
  <c r="F83" i="8" s="1"/>
  <c r="N73" i="8"/>
  <c r="N83" i="8" s="1"/>
  <c r="G73" i="8"/>
  <c r="O73" i="8"/>
  <c r="O83" i="8" s="1"/>
  <c r="D73" i="8"/>
  <c r="D83" i="8" s="1"/>
  <c r="AH68" i="8"/>
  <c r="C73" i="8"/>
  <c r="C75" i="8" s="1"/>
  <c r="U213" i="8" s="1"/>
  <c r="AH38" i="8"/>
  <c r="B82" i="8"/>
  <c r="AI80" i="8"/>
  <c r="AI38" i="8"/>
  <c r="H4" i="8"/>
  <c r="AG213" i="8"/>
  <c r="O7" i="8"/>
  <c r="AG75" i="8"/>
  <c r="Z7" i="8"/>
  <c r="AG73" i="8"/>
  <c r="AG83" i="8" s="1"/>
  <c r="AG3" i="8"/>
  <c r="AG6" i="8" s="1"/>
  <c r="AH56" i="8"/>
  <c r="AH72" i="8"/>
  <c r="AH77" i="8"/>
  <c r="AI77" i="8"/>
  <c r="D210" i="8"/>
  <c r="S210" i="8"/>
  <c r="T7" i="8"/>
  <c r="D93" i="8"/>
  <c r="AI68" i="8"/>
  <c r="AI72" i="8"/>
  <c r="J73" i="8"/>
  <c r="R73" i="8"/>
  <c r="Z73" i="8"/>
  <c r="Z83" i="8" s="1"/>
  <c r="AH78" i="8"/>
  <c r="AI79" i="8"/>
  <c r="D7" i="8"/>
  <c r="M7" i="8"/>
  <c r="AF5" i="8"/>
  <c r="J75" i="8"/>
  <c r="R75" i="8"/>
  <c r="AI76" i="8"/>
  <c r="AH80" i="8"/>
  <c r="F102" i="8"/>
  <c r="E93" i="8"/>
  <c r="F7" i="8"/>
  <c r="N7" i="8"/>
  <c r="AH76" i="8"/>
  <c r="D191" i="8"/>
  <c r="E191" i="8"/>
  <c r="F101" i="8"/>
  <c r="E199" i="8"/>
  <c r="F193" i="8"/>
  <c r="E234" i="8"/>
  <c r="G198" i="8"/>
  <c r="AH213" i="8" l="1"/>
  <c r="Q7" i="8"/>
  <c r="AI213" i="8"/>
  <c r="S7" i="8"/>
  <c r="S83" i="8"/>
  <c r="G83" i="8"/>
  <c r="L83" i="8"/>
  <c r="L7" i="8"/>
  <c r="K7" i="8"/>
  <c r="K83" i="8"/>
  <c r="AI82" i="8"/>
  <c r="I7" i="8"/>
  <c r="I83" i="8"/>
  <c r="H83" i="8"/>
  <c r="AH82" i="8"/>
  <c r="C83" i="8"/>
  <c r="G7" i="8"/>
  <c r="E7" i="8"/>
  <c r="E83" i="8"/>
  <c r="C7" i="8"/>
  <c r="F191" i="8"/>
  <c r="G101" i="8"/>
  <c r="AJ213" i="8"/>
  <c r="R7" i="8"/>
  <c r="AB213" i="8"/>
  <c r="J7" i="8"/>
  <c r="R83" i="8"/>
  <c r="J83" i="8"/>
  <c r="B208" i="8"/>
  <c r="C208" i="8"/>
  <c r="F234" i="8"/>
  <c r="H198" i="8"/>
  <c r="G102" i="8"/>
  <c r="F93" i="8"/>
  <c r="G193" i="8"/>
  <c r="F199" i="8"/>
  <c r="G191" i="8" l="1"/>
  <c r="H101" i="8"/>
  <c r="H102" i="8"/>
  <c r="G93" i="8"/>
  <c r="G234" i="8"/>
  <c r="I198" i="8"/>
  <c r="K6" i="8"/>
  <c r="H193" i="8"/>
  <c r="G199" i="8"/>
  <c r="H234" i="8" l="1"/>
  <c r="J198" i="8"/>
  <c r="H93" i="8"/>
  <c r="I102" i="8"/>
  <c r="H191" i="8"/>
  <c r="I101" i="8"/>
  <c r="H199" i="8"/>
  <c r="I193" i="8"/>
  <c r="I191" i="8" l="1"/>
  <c r="J101" i="8"/>
  <c r="I234" i="8"/>
  <c r="K198" i="8"/>
  <c r="J102" i="8"/>
  <c r="I93" i="8"/>
  <c r="J193" i="8"/>
  <c r="I199" i="8"/>
  <c r="J199" i="8" l="1"/>
  <c r="K193" i="8"/>
  <c r="J234" i="8"/>
  <c r="L198" i="8"/>
  <c r="J191" i="8"/>
  <c r="K101" i="8"/>
  <c r="K102" i="8"/>
  <c r="J93" i="8"/>
  <c r="K93" i="8" l="1"/>
  <c r="L102" i="8"/>
  <c r="K191" i="8"/>
  <c r="L101" i="8"/>
  <c r="K234" i="8"/>
  <c r="M198" i="8"/>
  <c r="K199" i="8"/>
  <c r="L193" i="8"/>
  <c r="AB95" i="7"/>
  <c r="AB37" i="7"/>
  <c r="L199" i="8" l="1"/>
  <c r="M193" i="8"/>
  <c r="L234" i="8"/>
  <c r="N198" i="8"/>
  <c r="L191" i="8"/>
  <c r="M101" i="8"/>
  <c r="M102" i="8"/>
  <c r="L93" i="8"/>
  <c r="N102" i="8" l="1"/>
  <c r="M93" i="8"/>
  <c r="M191" i="8"/>
  <c r="N101" i="8"/>
  <c r="M199" i="8"/>
  <c r="N193" i="8"/>
  <c r="O198" i="8"/>
  <c r="M234" i="8"/>
  <c r="N191" i="8" l="1"/>
  <c r="O101" i="8"/>
  <c r="N234" i="8"/>
  <c r="P198" i="8"/>
  <c r="O193" i="8"/>
  <c r="N199" i="8"/>
  <c r="O102" i="8"/>
  <c r="N93" i="8"/>
  <c r="P102" i="8" l="1"/>
  <c r="O93" i="8"/>
  <c r="P193" i="8"/>
  <c r="O199" i="8"/>
  <c r="O191" i="8"/>
  <c r="P101" i="8"/>
  <c r="O234" i="8"/>
  <c r="Q198" i="8"/>
  <c r="P234" i="8" l="1"/>
  <c r="R198" i="8"/>
  <c r="P191" i="8"/>
  <c r="Q101" i="8"/>
  <c r="Q193" i="8"/>
  <c r="P199" i="8"/>
  <c r="P93" i="8"/>
  <c r="Q102" i="8"/>
  <c r="R102" i="8" l="1"/>
  <c r="Q93" i="8"/>
  <c r="Q191" i="8"/>
  <c r="R101" i="8"/>
  <c r="R193" i="8"/>
  <c r="Q199" i="8"/>
  <c r="Q234" i="8"/>
  <c r="S198" i="8"/>
  <c r="T198" i="8" l="1"/>
  <c r="R234" i="8"/>
  <c r="R199" i="8"/>
  <c r="S193" i="8"/>
  <c r="R191" i="8"/>
  <c r="S101" i="8"/>
  <c r="S102" i="8"/>
  <c r="R93" i="8"/>
  <c r="R37" i="7"/>
  <c r="Q37" i="7"/>
  <c r="P37" i="7"/>
  <c r="O37" i="7"/>
  <c r="T102" i="8" l="1"/>
  <c r="S93" i="8"/>
  <c r="S199" i="8"/>
  <c r="T193" i="8"/>
  <c r="S191" i="8"/>
  <c r="T101" i="8"/>
  <c r="S234" i="8"/>
  <c r="U198" i="8"/>
  <c r="T191" i="8" l="1"/>
  <c r="U101" i="8"/>
  <c r="T199" i="8"/>
  <c r="U193" i="8"/>
  <c r="T234" i="8"/>
  <c r="V198" i="8"/>
  <c r="U102" i="8"/>
  <c r="T93" i="8"/>
  <c r="U234" i="8" l="1"/>
  <c r="W198" i="8"/>
  <c r="U199" i="8"/>
  <c r="U51" i="8" s="1"/>
  <c r="U52" i="8" s="1"/>
  <c r="V193" i="8"/>
  <c r="U191" i="8"/>
  <c r="V101" i="8"/>
  <c r="V102" i="8"/>
  <c r="U93" i="8"/>
  <c r="V191" i="8" l="1"/>
  <c r="W101" i="8"/>
  <c r="W102" i="8"/>
  <c r="V93" i="8"/>
  <c r="W193" i="8"/>
  <c r="V199" i="8"/>
  <c r="V51" i="8" s="1"/>
  <c r="V52" i="8" s="1"/>
  <c r="U75" i="8"/>
  <c r="U73" i="8"/>
  <c r="U83" i="8" s="1"/>
  <c r="V234" i="8"/>
  <c r="X198" i="8"/>
  <c r="V75" i="8" l="1"/>
  <c r="V73" i="8"/>
  <c r="V83" i="8" s="1"/>
  <c r="X193" i="8"/>
  <c r="W199" i="8"/>
  <c r="W51" i="8" s="1"/>
  <c r="W52" i="8" s="1"/>
  <c r="X102" i="8"/>
  <c r="W93" i="8"/>
  <c r="W234" i="8"/>
  <c r="Y198" i="8"/>
  <c r="W191" i="8"/>
  <c r="X101" i="8"/>
  <c r="AM213" i="8"/>
  <c r="U7" i="8"/>
  <c r="X234" i="8" l="1"/>
  <c r="Z198" i="8"/>
  <c r="W75" i="8"/>
  <c r="W73" i="8"/>
  <c r="X199" i="8"/>
  <c r="Y193" i="8"/>
  <c r="X93" i="8"/>
  <c r="Y102" i="8"/>
  <c r="X191" i="8"/>
  <c r="Y101" i="8"/>
  <c r="AN213" i="8"/>
  <c r="V7" i="8"/>
  <c r="W83" i="8" l="1"/>
  <c r="Z193" i="8"/>
  <c r="Y199" i="8"/>
  <c r="Y51" i="8" s="1"/>
  <c r="Y52" i="8" s="1"/>
  <c r="Z102" i="8"/>
  <c r="Y93" i="8"/>
  <c r="X73" i="8"/>
  <c r="X75" i="8"/>
  <c r="AO213" i="8"/>
  <c r="W7" i="8"/>
  <c r="Y191" i="8"/>
  <c r="Z101" i="8"/>
  <c r="Y234" i="8"/>
  <c r="AA198" i="8"/>
  <c r="X83" i="8" l="1"/>
  <c r="Z234" i="8"/>
  <c r="AB198" i="8"/>
  <c r="AA102" i="8"/>
  <c r="Z93" i="8"/>
  <c r="Z191" i="8"/>
  <c r="AA101" i="8"/>
  <c r="Y73" i="8"/>
  <c r="Y83" i="8" s="1"/>
  <c r="Y75" i="8"/>
  <c r="AP213" i="8"/>
  <c r="X7" i="8"/>
  <c r="Z199" i="8"/>
  <c r="AA193" i="8"/>
  <c r="AA93" i="8" l="1"/>
  <c r="AB102" i="8"/>
  <c r="AA191" i="8"/>
  <c r="AB101" i="8"/>
  <c r="AC198" i="8"/>
  <c r="AA234" i="8"/>
  <c r="AA199" i="8"/>
  <c r="AA51" i="8" s="1"/>
  <c r="AA52" i="8" s="1"/>
  <c r="AB193" i="8"/>
  <c r="AQ213" i="8"/>
  <c r="Y7" i="8"/>
  <c r="AB199" i="8" l="1"/>
  <c r="AB51" i="8" s="1"/>
  <c r="AB52" i="8" s="1"/>
  <c r="AC193" i="8"/>
  <c r="AB191" i="8"/>
  <c r="AC101" i="8"/>
  <c r="AB234" i="8"/>
  <c r="AD198" i="8"/>
  <c r="AC102" i="8"/>
  <c r="AB93" i="8"/>
  <c r="AA75" i="8"/>
  <c r="AA73" i="8"/>
  <c r="AA83" i="8" s="1"/>
  <c r="AD102" i="8" l="1"/>
  <c r="AC93" i="8"/>
  <c r="AC234" i="8"/>
  <c r="AE198" i="8"/>
  <c r="AC191" i="8"/>
  <c r="AD101" i="8"/>
  <c r="AC199" i="8"/>
  <c r="AC51" i="8" s="1"/>
  <c r="AC52" i="8" s="1"/>
  <c r="AD193" i="8"/>
  <c r="AS213" i="8"/>
  <c r="AA7" i="8"/>
  <c r="AB75" i="8"/>
  <c r="AB73" i="8"/>
  <c r="AB83" i="8" s="1"/>
  <c r="AC75" i="8" l="1"/>
  <c r="AC73" i="8"/>
  <c r="AE193" i="8"/>
  <c r="AD199" i="8"/>
  <c r="AD51" i="8" s="1"/>
  <c r="AD52" i="8" s="1"/>
  <c r="AD191" i="8"/>
  <c r="AE101" i="8"/>
  <c r="AD234" i="8"/>
  <c r="AF198" i="8"/>
  <c r="AT213" i="8"/>
  <c r="AB7" i="8"/>
  <c r="AE102" i="8"/>
  <c r="AD93" i="8"/>
  <c r="AC83" i="8" l="1"/>
  <c r="AE191" i="8"/>
  <c r="AF101" i="8"/>
  <c r="AD75" i="8"/>
  <c r="AD73" i="8"/>
  <c r="AD83" i="8" s="1"/>
  <c r="AE234" i="8"/>
  <c r="B198" i="8"/>
  <c r="AF234" i="8" s="1"/>
  <c r="AF102" i="8"/>
  <c r="AE93" i="8"/>
  <c r="AF193" i="8"/>
  <c r="AE199" i="8"/>
  <c r="AE51" i="8" s="1"/>
  <c r="AE52" i="8" s="1"/>
  <c r="AU213" i="8"/>
  <c r="AC7" i="8"/>
  <c r="AV213" i="8" l="1"/>
  <c r="AD7" i="8"/>
  <c r="AF191" i="8"/>
  <c r="B101" i="8"/>
  <c r="AF93" i="8"/>
  <c r="B102" i="8"/>
  <c r="B93" i="8" s="1"/>
  <c r="AE75" i="8"/>
  <c r="AE73" i="8"/>
  <c r="AF199" i="8"/>
  <c r="AF51" i="8" s="1"/>
  <c r="AF52" i="8" s="1"/>
  <c r="B193" i="8"/>
  <c r="B199" i="8" s="1"/>
  <c r="AW213" i="8" l="1"/>
  <c r="AE7" i="8"/>
  <c r="B191" i="8"/>
  <c r="AI93" i="8"/>
  <c r="AH93" i="8"/>
  <c r="AI51" i="8"/>
  <c r="AH51" i="8"/>
  <c r="B52" i="8"/>
  <c r="AE83" i="8"/>
  <c r="AF75" i="8"/>
  <c r="AF73" i="8"/>
  <c r="N37" i="7"/>
  <c r="M37" i="7"/>
  <c r="L37" i="7"/>
  <c r="K37" i="7"/>
  <c r="J37" i="7"/>
  <c r="I37" i="7"/>
  <c r="H37" i="7"/>
  <c r="G37" i="7"/>
  <c r="E95" i="7"/>
  <c r="F37" i="7"/>
  <c r="E37" i="7"/>
  <c r="D95" i="7"/>
  <c r="D37" i="7"/>
  <c r="AH99" i="7"/>
  <c r="AI99" i="7" s="1"/>
  <c r="C95" i="7"/>
  <c r="C37" i="7"/>
  <c r="B37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E234" i="7"/>
  <c r="C234" i="7"/>
  <c r="B234" i="7"/>
  <c r="S209" i="7"/>
  <c r="AG199" i="7"/>
  <c r="C199" i="7"/>
  <c r="F198" i="7"/>
  <c r="G198" i="7" s="1"/>
  <c r="E198" i="7"/>
  <c r="D234" i="7" s="1"/>
  <c r="D198" i="7"/>
  <c r="G197" i="7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D197" i="7"/>
  <c r="E197" i="7" s="1"/>
  <c r="F197" i="7" s="1"/>
  <c r="AC196" i="7"/>
  <c r="AD196" i="7" s="1"/>
  <c r="AE196" i="7" s="1"/>
  <c r="AF196" i="7" s="1"/>
  <c r="B196" i="7" s="1"/>
  <c r="G196" i="7"/>
  <c r="H196" i="7" s="1"/>
  <c r="I196" i="7" s="1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E196" i="7"/>
  <c r="F196" i="7" s="1"/>
  <c r="D196" i="7"/>
  <c r="E195" i="7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B195" i="7" s="1"/>
  <c r="D195" i="7"/>
  <c r="D194" i="7"/>
  <c r="E194" i="7" s="1"/>
  <c r="F194" i="7" s="1"/>
  <c r="G194" i="7" s="1"/>
  <c r="H194" i="7" s="1"/>
  <c r="I194" i="7" s="1"/>
  <c r="J194" i="7" s="1"/>
  <c r="K194" i="7" s="1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W194" i="7" s="1"/>
  <c r="X194" i="7" s="1"/>
  <c r="Y194" i="7" s="1"/>
  <c r="Z194" i="7" s="1"/>
  <c r="AA194" i="7" s="1"/>
  <c r="AB194" i="7" s="1"/>
  <c r="AC194" i="7" s="1"/>
  <c r="AD194" i="7" s="1"/>
  <c r="AE194" i="7" s="1"/>
  <c r="AF194" i="7" s="1"/>
  <c r="B194" i="7" s="1"/>
  <c r="E193" i="7"/>
  <c r="F193" i="7" s="1"/>
  <c r="D193" i="7"/>
  <c r="AG191" i="7"/>
  <c r="C191" i="7"/>
  <c r="D190" i="7"/>
  <c r="E190" i="7" s="1"/>
  <c r="F190" i="7" s="1"/>
  <c r="G190" i="7" s="1"/>
  <c r="H190" i="7" s="1"/>
  <c r="I190" i="7" s="1"/>
  <c r="J190" i="7" s="1"/>
  <c r="K190" i="7" s="1"/>
  <c r="L190" i="7" s="1"/>
  <c r="M190" i="7" s="1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AE190" i="7" s="1"/>
  <c r="AF190" i="7" s="1"/>
  <c r="B190" i="7" s="1"/>
  <c r="J189" i="7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F189" i="7"/>
  <c r="G189" i="7" s="1"/>
  <c r="H189" i="7" s="1"/>
  <c r="I189" i="7" s="1"/>
  <c r="E189" i="7"/>
  <c r="D189" i="7"/>
  <c r="P188" i="7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E188" i="7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D188" i="7"/>
  <c r="V187" i="7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B187" i="7" s="1"/>
  <c r="D187" i="7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D186" i="7"/>
  <c r="E186" i="7" s="1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E185" i="7"/>
  <c r="F185" i="7" s="1"/>
  <c r="G185" i="7" s="1"/>
  <c r="H185" i="7" s="1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B185" i="7" s="1"/>
  <c r="D185" i="7"/>
  <c r="D184" i="7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D183" i="7"/>
  <c r="E183" i="7" s="1"/>
  <c r="F183" i="7" s="1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D182" i="7"/>
  <c r="E182" i="7" s="1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B182" i="7" s="1"/>
  <c r="G181" i="7"/>
  <c r="H181" i="7" s="1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B181" i="7" s="1"/>
  <c r="F181" i="7"/>
  <c r="E181" i="7"/>
  <c r="D181" i="7"/>
  <c r="D180" i="7"/>
  <c r="E180" i="7" s="1"/>
  <c r="F180" i="7" s="1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B180" i="7" s="1"/>
  <c r="M179" i="7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B179" i="7" s="1"/>
  <c r="E179" i="7"/>
  <c r="F179" i="7" s="1"/>
  <c r="G179" i="7" s="1"/>
  <c r="H179" i="7" s="1"/>
  <c r="I179" i="7" s="1"/>
  <c r="J179" i="7" s="1"/>
  <c r="K179" i="7" s="1"/>
  <c r="L179" i="7" s="1"/>
  <c r="D179" i="7"/>
  <c r="G178" i="7"/>
  <c r="H178" i="7" s="1"/>
  <c r="I178" i="7" s="1"/>
  <c r="J178" i="7" s="1"/>
  <c r="K178" i="7" s="1"/>
  <c r="L178" i="7" s="1"/>
  <c r="M178" i="7" s="1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B178" i="7" s="1"/>
  <c r="E178" i="7"/>
  <c r="F178" i="7" s="1"/>
  <c r="D178" i="7"/>
  <c r="D176" i="7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B176" i="7"/>
  <c r="D175" i="7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B175" i="7" s="1"/>
  <c r="E174" i="7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D174" i="7"/>
  <c r="D173" i="7"/>
  <c r="E173" i="7" s="1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B173" i="7" s="1"/>
  <c r="E172" i="7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B172" i="7" s="1"/>
  <c r="D172" i="7"/>
  <c r="Q171" i="7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B171" i="7" s="1"/>
  <c r="G171" i="7"/>
  <c r="H171" i="7" s="1"/>
  <c r="I171" i="7" s="1"/>
  <c r="J171" i="7" s="1"/>
  <c r="K171" i="7" s="1"/>
  <c r="L171" i="7" s="1"/>
  <c r="M171" i="7" s="1"/>
  <c r="N171" i="7" s="1"/>
  <c r="O171" i="7" s="1"/>
  <c r="P171" i="7" s="1"/>
  <c r="F171" i="7"/>
  <c r="D171" i="7"/>
  <c r="E171" i="7" s="1"/>
  <c r="D170" i="7"/>
  <c r="E170" i="7" s="1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R169" i="7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B169" i="7" s="1"/>
  <c r="D169" i="7"/>
  <c r="E169" i="7" s="1"/>
  <c r="F169" i="7" s="1"/>
  <c r="G169" i="7" s="1"/>
  <c r="H169" i="7" s="1"/>
  <c r="I169" i="7" s="1"/>
  <c r="J169" i="7" s="1"/>
  <c r="K169" i="7" s="1"/>
  <c r="L169" i="7" s="1"/>
  <c r="M169" i="7" s="1"/>
  <c r="N169" i="7" s="1"/>
  <c r="O169" i="7" s="1"/>
  <c r="P169" i="7" s="1"/>
  <c r="Q169" i="7" s="1"/>
  <c r="D167" i="7"/>
  <c r="E167" i="7" s="1"/>
  <c r="F167" i="7" s="1"/>
  <c r="G167" i="7" s="1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AF166" i="7"/>
  <c r="B166" i="7" s="1"/>
  <c r="G166" i="7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D166" i="7"/>
  <c r="E166" i="7" s="1"/>
  <c r="F166" i="7" s="1"/>
  <c r="P165" i="7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B165" i="7" s="1"/>
  <c r="E165" i="7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D165" i="7"/>
  <c r="G164" i="7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B164" i="7" s="1"/>
  <c r="D164" i="7"/>
  <c r="E164" i="7" s="1"/>
  <c r="F164" i="7" s="1"/>
  <c r="D163" i="7"/>
  <c r="E163" i="7" s="1"/>
  <c r="F163" i="7" s="1"/>
  <c r="G163" i="7" s="1"/>
  <c r="H163" i="7" s="1"/>
  <c r="I163" i="7" s="1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B163" i="7" s="1"/>
  <c r="D162" i="7"/>
  <c r="E162" i="7" s="1"/>
  <c r="F162" i="7" s="1"/>
  <c r="G162" i="7" s="1"/>
  <c r="H162" i="7" s="1"/>
  <c r="I162" i="7" s="1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AB161" i="7"/>
  <c r="AC161" i="7" s="1"/>
  <c r="AD161" i="7" s="1"/>
  <c r="AE161" i="7" s="1"/>
  <c r="AF161" i="7" s="1"/>
  <c r="B161" i="7" s="1"/>
  <c r="D161" i="7"/>
  <c r="E161" i="7" s="1"/>
  <c r="F161" i="7" s="1"/>
  <c r="G161" i="7" s="1"/>
  <c r="H161" i="7" s="1"/>
  <c r="I161" i="7" s="1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Z160" i="7"/>
  <c r="AA160" i="7" s="1"/>
  <c r="AB160" i="7" s="1"/>
  <c r="AC160" i="7" s="1"/>
  <c r="AD160" i="7" s="1"/>
  <c r="AE160" i="7" s="1"/>
  <c r="AF160" i="7" s="1"/>
  <c r="B160" i="7" s="1"/>
  <c r="J160" i="7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D160" i="7"/>
  <c r="E160" i="7" s="1"/>
  <c r="F160" i="7" s="1"/>
  <c r="G160" i="7" s="1"/>
  <c r="H160" i="7" s="1"/>
  <c r="I160" i="7" s="1"/>
  <c r="X159" i="7"/>
  <c r="Y159" i="7" s="1"/>
  <c r="Z159" i="7" s="1"/>
  <c r="AA159" i="7" s="1"/>
  <c r="AB159" i="7" s="1"/>
  <c r="AC159" i="7" s="1"/>
  <c r="AD159" i="7" s="1"/>
  <c r="AE159" i="7" s="1"/>
  <c r="AF159" i="7" s="1"/>
  <c r="B159" i="7" s="1"/>
  <c r="H159" i="7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F159" i="7"/>
  <c r="G159" i="7" s="1"/>
  <c r="E159" i="7"/>
  <c r="D159" i="7"/>
  <c r="D158" i="7"/>
  <c r="E158" i="7" s="1"/>
  <c r="F158" i="7" s="1"/>
  <c r="G158" i="7" s="1"/>
  <c r="H158" i="7" s="1"/>
  <c r="I158" i="7" s="1"/>
  <c r="J158" i="7" s="1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D157" i="7"/>
  <c r="E157" i="7" s="1"/>
  <c r="F157" i="7" s="1"/>
  <c r="G157" i="7" s="1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D156" i="7"/>
  <c r="E156" i="7" s="1"/>
  <c r="F156" i="7" s="1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B156" i="7" s="1"/>
  <c r="H155" i="7"/>
  <c r="I155" i="7" s="1"/>
  <c r="J155" i="7" s="1"/>
  <c r="K155" i="7" s="1"/>
  <c r="L155" i="7" s="1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B155" i="7" s="1"/>
  <c r="F155" i="7"/>
  <c r="G155" i="7" s="1"/>
  <c r="E155" i="7"/>
  <c r="D155" i="7"/>
  <c r="F153" i="7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D153" i="7"/>
  <c r="E153" i="7" s="1"/>
  <c r="D152" i="7"/>
  <c r="E152" i="7" s="1"/>
  <c r="F152" i="7" s="1"/>
  <c r="G152" i="7" s="1"/>
  <c r="H152" i="7" s="1"/>
  <c r="I152" i="7" s="1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B152" i="7" s="1"/>
  <c r="D151" i="7"/>
  <c r="E151" i="7" s="1"/>
  <c r="F151" i="7" s="1"/>
  <c r="G151" i="7" s="1"/>
  <c r="H151" i="7" s="1"/>
  <c r="I151" i="7" s="1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B151" i="7" s="1"/>
  <c r="H150" i="7"/>
  <c r="I150" i="7" s="1"/>
  <c r="J150" i="7" s="1"/>
  <c r="K150" i="7" s="1"/>
  <c r="L150" i="7" s="1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B150" i="7" s="1"/>
  <c r="E150" i="7"/>
  <c r="F150" i="7" s="1"/>
  <c r="G150" i="7" s="1"/>
  <c r="D150" i="7"/>
  <c r="N148" i="7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D148" i="7"/>
  <c r="E148" i="7" s="1"/>
  <c r="F148" i="7" s="1"/>
  <c r="G148" i="7" s="1"/>
  <c r="H148" i="7" s="1"/>
  <c r="I148" i="7" s="1"/>
  <c r="J148" i="7" s="1"/>
  <c r="K148" i="7" s="1"/>
  <c r="L148" i="7" s="1"/>
  <c r="M148" i="7" s="1"/>
  <c r="F147" i="7"/>
  <c r="G147" i="7" s="1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B147" i="7" s="1"/>
  <c r="D147" i="7"/>
  <c r="E147" i="7" s="1"/>
  <c r="D145" i="7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D144" i="7"/>
  <c r="E144" i="7" s="1"/>
  <c r="F144" i="7" s="1"/>
  <c r="G144" i="7" s="1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H143" i="7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D143" i="7"/>
  <c r="E143" i="7" s="1"/>
  <c r="F143" i="7" s="1"/>
  <c r="G143" i="7" s="1"/>
  <c r="N142" i="7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F142" i="7"/>
  <c r="G142" i="7" s="1"/>
  <c r="H142" i="7" s="1"/>
  <c r="I142" i="7" s="1"/>
  <c r="J142" i="7" s="1"/>
  <c r="K142" i="7" s="1"/>
  <c r="L142" i="7" s="1"/>
  <c r="M142" i="7" s="1"/>
  <c r="D142" i="7"/>
  <c r="E142" i="7" s="1"/>
  <c r="D141" i="7"/>
  <c r="E141" i="7" s="1"/>
  <c r="F141" i="7" s="1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R140" i="7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J140" i="7"/>
  <c r="K140" i="7" s="1"/>
  <c r="L140" i="7" s="1"/>
  <c r="M140" i="7" s="1"/>
  <c r="N140" i="7" s="1"/>
  <c r="O140" i="7" s="1"/>
  <c r="P140" i="7" s="1"/>
  <c r="Q140" i="7" s="1"/>
  <c r="D140" i="7"/>
  <c r="E140" i="7" s="1"/>
  <c r="F140" i="7" s="1"/>
  <c r="G140" i="7" s="1"/>
  <c r="H140" i="7" s="1"/>
  <c r="I140" i="7" s="1"/>
  <c r="AB139" i="7"/>
  <c r="AC139" i="7" s="1"/>
  <c r="AD139" i="7" s="1"/>
  <c r="AE139" i="7" s="1"/>
  <c r="AF139" i="7" s="1"/>
  <c r="B139" i="7" s="1"/>
  <c r="L139" i="7"/>
  <c r="M139" i="7" s="1"/>
  <c r="N139" i="7" s="1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H139" i="7"/>
  <c r="I139" i="7" s="1"/>
  <c r="J139" i="7" s="1"/>
  <c r="K139" i="7" s="1"/>
  <c r="D139" i="7"/>
  <c r="E139" i="7" s="1"/>
  <c r="F139" i="7" s="1"/>
  <c r="G139" i="7" s="1"/>
  <c r="Z137" i="7"/>
  <c r="AA137" i="7" s="1"/>
  <c r="AB137" i="7" s="1"/>
  <c r="AC137" i="7" s="1"/>
  <c r="AD137" i="7" s="1"/>
  <c r="AE137" i="7" s="1"/>
  <c r="AF137" i="7" s="1"/>
  <c r="B137" i="7" s="1"/>
  <c r="J137" i="7"/>
  <c r="K137" i="7" s="1"/>
  <c r="L137" i="7" s="1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F137" i="7"/>
  <c r="G137" i="7" s="1"/>
  <c r="H137" i="7" s="1"/>
  <c r="I137" i="7" s="1"/>
  <c r="D137" i="7"/>
  <c r="E137" i="7" s="1"/>
  <c r="AB136" i="7"/>
  <c r="AC136" i="7" s="1"/>
  <c r="AD136" i="7" s="1"/>
  <c r="AE136" i="7" s="1"/>
  <c r="AF136" i="7" s="1"/>
  <c r="B136" i="7" s="1"/>
  <c r="L136" i="7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H136" i="7"/>
  <c r="I136" i="7" s="1"/>
  <c r="J136" i="7" s="1"/>
  <c r="K136" i="7" s="1"/>
  <c r="D136" i="7"/>
  <c r="E136" i="7" s="1"/>
  <c r="F136" i="7" s="1"/>
  <c r="G136" i="7" s="1"/>
  <c r="Z135" i="7"/>
  <c r="AA135" i="7" s="1"/>
  <c r="AB135" i="7" s="1"/>
  <c r="AC135" i="7" s="1"/>
  <c r="AD135" i="7" s="1"/>
  <c r="AE135" i="7" s="1"/>
  <c r="AF135" i="7" s="1"/>
  <c r="B135" i="7" s="1"/>
  <c r="J135" i="7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F135" i="7"/>
  <c r="G135" i="7" s="1"/>
  <c r="H135" i="7" s="1"/>
  <c r="I135" i="7" s="1"/>
  <c r="E135" i="7"/>
  <c r="D135" i="7"/>
  <c r="D134" i="7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N133" i="7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D133" i="7"/>
  <c r="E133" i="7" s="1"/>
  <c r="F133" i="7" s="1"/>
  <c r="G133" i="7" s="1"/>
  <c r="H133" i="7" s="1"/>
  <c r="I133" i="7" s="1"/>
  <c r="J133" i="7" s="1"/>
  <c r="K133" i="7" s="1"/>
  <c r="L133" i="7" s="1"/>
  <c r="M133" i="7" s="1"/>
  <c r="D132" i="7"/>
  <c r="E132" i="7" s="1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F131" i="7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E131" i="7"/>
  <c r="D131" i="7"/>
  <c r="D130" i="7"/>
  <c r="E130" i="7" s="1"/>
  <c r="F130" i="7" s="1"/>
  <c r="G130" i="7" s="1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B130" i="7" s="1"/>
  <c r="T128" i="7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N128" i="7"/>
  <c r="O128" i="7" s="1"/>
  <c r="P128" i="7" s="1"/>
  <c r="Q128" i="7" s="1"/>
  <c r="R128" i="7" s="1"/>
  <c r="S128" i="7" s="1"/>
  <c r="G128" i="7"/>
  <c r="H128" i="7" s="1"/>
  <c r="I128" i="7" s="1"/>
  <c r="J128" i="7" s="1"/>
  <c r="K128" i="7" s="1"/>
  <c r="L128" i="7" s="1"/>
  <c r="M128" i="7" s="1"/>
  <c r="F128" i="7"/>
  <c r="D128" i="7"/>
  <c r="E128" i="7" s="1"/>
  <c r="L127" i="7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B127" i="7" s="1"/>
  <c r="E127" i="7"/>
  <c r="F127" i="7" s="1"/>
  <c r="G127" i="7" s="1"/>
  <c r="H127" i="7" s="1"/>
  <c r="I127" i="7" s="1"/>
  <c r="J127" i="7" s="1"/>
  <c r="K127" i="7" s="1"/>
  <c r="D127" i="7"/>
  <c r="M126" i="7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B126" i="7" s="1"/>
  <c r="G126" i="7"/>
  <c r="H126" i="7" s="1"/>
  <c r="I126" i="7" s="1"/>
  <c r="J126" i="7" s="1"/>
  <c r="K126" i="7" s="1"/>
  <c r="L126" i="7" s="1"/>
  <c r="F126" i="7"/>
  <c r="E126" i="7"/>
  <c r="D126" i="7"/>
  <c r="F125" i="7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E125" i="7"/>
  <c r="D125" i="7"/>
  <c r="H124" i="7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D124" i="7"/>
  <c r="E124" i="7" s="1"/>
  <c r="F124" i="7" s="1"/>
  <c r="G124" i="7" s="1"/>
  <c r="F123" i="7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D123" i="7"/>
  <c r="E123" i="7" s="1"/>
  <c r="E122" i="7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D122" i="7"/>
  <c r="G121" i="7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B121" i="7" s="1"/>
  <c r="E121" i="7"/>
  <c r="F121" i="7" s="1"/>
  <c r="D121" i="7"/>
  <c r="M120" i="7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I120" i="7"/>
  <c r="J120" i="7" s="1"/>
  <c r="K120" i="7" s="1"/>
  <c r="L120" i="7" s="1"/>
  <c r="E120" i="7"/>
  <c r="F120" i="7" s="1"/>
  <c r="G120" i="7" s="1"/>
  <c r="H120" i="7" s="1"/>
  <c r="D120" i="7"/>
  <c r="D119" i="7"/>
  <c r="E119" i="7" s="1"/>
  <c r="F119" i="7" s="1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E118" i="7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D118" i="7"/>
  <c r="E117" i="7"/>
  <c r="F117" i="7" s="1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D117" i="7"/>
  <c r="I116" i="7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E116" i="7"/>
  <c r="F116" i="7" s="1"/>
  <c r="G116" i="7" s="1"/>
  <c r="H116" i="7" s="1"/>
  <c r="D116" i="7"/>
  <c r="D115" i="7"/>
  <c r="E115" i="7" s="1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E114" i="7"/>
  <c r="F114" i="7" s="1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D114" i="7"/>
  <c r="O113" i="7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K113" i="7"/>
  <c r="L113" i="7" s="1"/>
  <c r="M113" i="7" s="1"/>
  <c r="N113" i="7" s="1"/>
  <c r="I113" i="7"/>
  <c r="F113" i="7"/>
  <c r="G113" i="7" s="1"/>
  <c r="H113" i="7" s="1"/>
  <c r="D113" i="7"/>
  <c r="E113" i="7" s="1"/>
  <c r="D112" i="7"/>
  <c r="E112" i="7" s="1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F111" i="7"/>
  <c r="G111" i="7" s="1"/>
  <c r="H111" i="7" s="1"/>
  <c r="I111" i="7" s="1"/>
  <c r="J111" i="7" s="1"/>
  <c r="K111" i="7" s="1"/>
  <c r="L111" i="7" s="1"/>
  <c r="M111" i="7" s="1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B111" i="7" s="1"/>
  <c r="E111" i="7"/>
  <c r="D111" i="7"/>
  <c r="H109" i="7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D109" i="7"/>
  <c r="E109" i="7" s="1"/>
  <c r="F109" i="7" s="1"/>
  <c r="G109" i="7" s="1"/>
  <c r="F108" i="7"/>
  <c r="G108" i="7" s="1"/>
  <c r="H108" i="7" s="1"/>
  <c r="I108" i="7" s="1"/>
  <c r="J108" i="7" s="1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B108" i="7" s="1"/>
  <c r="D108" i="7"/>
  <c r="E108" i="7" s="1"/>
  <c r="D106" i="7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F105" i="7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E105" i="7"/>
  <c r="D105" i="7"/>
  <c r="E104" i="7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4" i="7"/>
  <c r="D103" i="7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B103" i="7" s="1"/>
  <c r="G102" i="7"/>
  <c r="H102" i="7" s="1"/>
  <c r="E102" i="7"/>
  <c r="F102" i="7" s="1"/>
  <c r="D102" i="7"/>
  <c r="E101" i="7"/>
  <c r="D101" i="7"/>
  <c r="AH98" i="7"/>
  <c r="AI98" i="7" s="1"/>
  <c r="AH97" i="7"/>
  <c r="AI97" i="7" s="1"/>
  <c r="AH96" i="7"/>
  <c r="AI96" i="7" s="1"/>
  <c r="AH95" i="7"/>
  <c r="AI95" i="7" s="1"/>
  <c r="AH94" i="7"/>
  <c r="AI94" i="7" s="1"/>
  <c r="F93" i="7"/>
  <c r="D93" i="7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F77" i="7"/>
  <c r="AF82" i="7" s="1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H82" i="7" s="1"/>
  <c r="G77" i="7"/>
  <c r="F77" i="7"/>
  <c r="E77" i="7"/>
  <c r="D77" i="7"/>
  <c r="C77" i="7"/>
  <c r="B77" i="7"/>
  <c r="AF76" i="7"/>
  <c r="AE76" i="7"/>
  <c r="AE82" i="7" s="1"/>
  <c r="AD76" i="7"/>
  <c r="AD82" i="7" s="1"/>
  <c r="AC76" i="7"/>
  <c r="AB76" i="7"/>
  <c r="AA76" i="7"/>
  <c r="AA82" i="7" s="1"/>
  <c r="Z76" i="7"/>
  <c r="Z82" i="7" s="1"/>
  <c r="Y76" i="7"/>
  <c r="X76" i="7"/>
  <c r="W76" i="7"/>
  <c r="V76" i="7"/>
  <c r="U76" i="7"/>
  <c r="T76" i="7"/>
  <c r="S76" i="7"/>
  <c r="R76" i="7"/>
  <c r="Q76" i="7"/>
  <c r="Q82" i="7" s="1"/>
  <c r="P76" i="7"/>
  <c r="O76" i="7"/>
  <c r="N76" i="7"/>
  <c r="N82" i="7" s="1"/>
  <c r="M76" i="7"/>
  <c r="L76" i="7"/>
  <c r="K76" i="7"/>
  <c r="J76" i="7"/>
  <c r="I76" i="7"/>
  <c r="H76" i="7"/>
  <c r="G76" i="7"/>
  <c r="F76" i="7"/>
  <c r="E76" i="7"/>
  <c r="D76" i="7"/>
  <c r="C76" i="7"/>
  <c r="B76" i="7"/>
  <c r="AI74" i="7"/>
  <c r="AH74" i="7"/>
  <c r="AG72" i="7"/>
  <c r="AG75" i="7" s="1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I71" i="7"/>
  <c r="AH71" i="7"/>
  <c r="AI70" i="7"/>
  <c r="AH70" i="7"/>
  <c r="AI69" i="7"/>
  <c r="AH69" i="7"/>
  <c r="AG68" i="7"/>
  <c r="AG73" i="7" s="1"/>
  <c r="AF68" i="7"/>
  <c r="AE68" i="7"/>
  <c r="AD5" i="7" s="1"/>
  <c r="AD68" i="7"/>
  <c r="AC68" i="7"/>
  <c r="AB68" i="7"/>
  <c r="AA5" i="7" s="1"/>
  <c r="AA68" i="7"/>
  <c r="Z68" i="7"/>
  <c r="Y68" i="7"/>
  <c r="X5" i="7" s="1"/>
  <c r="X68" i="7"/>
  <c r="W68" i="7"/>
  <c r="V5" i="7" s="1"/>
  <c r="V68" i="7"/>
  <c r="U68" i="7"/>
  <c r="T68" i="7"/>
  <c r="S68" i="7"/>
  <c r="R68" i="7"/>
  <c r="Q5" i="7" s="1"/>
  <c r="Q68" i="7"/>
  <c r="P5" i="7" s="1"/>
  <c r="P68" i="7"/>
  <c r="O68" i="7"/>
  <c r="N5" i="7" s="1"/>
  <c r="N68" i="7"/>
  <c r="M5" i="7" s="1"/>
  <c r="M68" i="7"/>
  <c r="L5" i="7" s="1"/>
  <c r="L68" i="7"/>
  <c r="K68" i="7"/>
  <c r="J68" i="7"/>
  <c r="I68" i="7"/>
  <c r="H5" i="7" s="1"/>
  <c r="H68" i="7"/>
  <c r="G5" i="7" s="1"/>
  <c r="G68" i="7"/>
  <c r="F5" i="7" s="1"/>
  <c r="F68" i="7"/>
  <c r="E5" i="7" s="1"/>
  <c r="E68" i="7"/>
  <c r="D68" i="7"/>
  <c r="C5" i="7" s="1"/>
  <c r="C68" i="7"/>
  <c r="B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F56" i="7"/>
  <c r="AE56" i="7"/>
  <c r="AD56" i="7"/>
  <c r="AC56" i="7"/>
  <c r="AB56" i="7"/>
  <c r="AA56" i="7"/>
  <c r="Z56" i="7"/>
  <c r="Y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I55" i="7"/>
  <c r="AH55" i="7"/>
  <c r="AI54" i="7"/>
  <c r="AH54" i="7"/>
  <c r="AI53" i="7"/>
  <c r="AH53" i="7"/>
  <c r="AG52" i="7"/>
  <c r="AG3" i="7" s="1"/>
  <c r="Z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G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F38" i="7"/>
  <c r="AE38" i="7"/>
  <c r="AD38" i="7"/>
  <c r="AC38" i="7"/>
  <c r="AB38" i="7"/>
  <c r="AA38" i="7"/>
  <c r="Z38" i="7"/>
  <c r="Y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E5" i="7"/>
  <c r="AC5" i="7"/>
  <c r="AB5" i="7"/>
  <c r="Y5" i="7"/>
  <c r="W5" i="7"/>
  <c r="U5" i="7"/>
  <c r="T5" i="7"/>
  <c r="S5" i="7"/>
  <c r="O5" i="7"/>
  <c r="K5" i="7"/>
  <c r="I5" i="7"/>
  <c r="D5" i="7"/>
  <c r="AG4" i="7"/>
  <c r="K4" i="7"/>
  <c r="B4" i="7"/>
  <c r="AG2" i="7"/>
  <c r="AF95" i="6"/>
  <c r="AF37" i="6"/>
  <c r="AE95" i="6"/>
  <c r="AE37" i="6"/>
  <c r="AD37" i="6"/>
  <c r="AC95" i="6"/>
  <c r="AC37" i="6"/>
  <c r="AB95" i="6"/>
  <c r="AB37" i="6"/>
  <c r="Y68" i="6"/>
  <c r="W68" i="6"/>
  <c r="W37" i="6"/>
  <c r="V37" i="6"/>
  <c r="U37" i="6"/>
  <c r="T37" i="6"/>
  <c r="S37" i="6"/>
  <c r="R95" i="6"/>
  <c r="R37" i="6"/>
  <c r="E4" i="7"/>
  <c r="AF83" i="8" l="1"/>
  <c r="AI52" i="8"/>
  <c r="AH52" i="8"/>
  <c r="B75" i="8"/>
  <c r="B73" i="8"/>
  <c r="AX213" i="8"/>
  <c r="AF7" i="8"/>
  <c r="AC82" i="7"/>
  <c r="AB82" i="7"/>
  <c r="Z73" i="7"/>
  <c r="Z75" i="7"/>
  <c r="Y82" i="7"/>
  <c r="X82" i="7"/>
  <c r="W82" i="7"/>
  <c r="V82" i="7"/>
  <c r="U82" i="7"/>
  <c r="T82" i="7"/>
  <c r="T73" i="7"/>
  <c r="S73" i="7"/>
  <c r="S75" i="7"/>
  <c r="AK213" i="7" s="1"/>
  <c r="S82" i="7"/>
  <c r="R82" i="7"/>
  <c r="R73" i="7"/>
  <c r="R75" i="7"/>
  <c r="R83" i="7" s="1"/>
  <c r="Q75" i="7"/>
  <c r="P82" i="7"/>
  <c r="P75" i="7"/>
  <c r="P73" i="7"/>
  <c r="O73" i="7"/>
  <c r="O82" i="7"/>
  <c r="N75" i="7"/>
  <c r="AF213" i="7" s="1"/>
  <c r="N73" i="7"/>
  <c r="M82" i="7"/>
  <c r="M73" i="7"/>
  <c r="I75" i="7"/>
  <c r="I7" i="7" s="1"/>
  <c r="L82" i="7"/>
  <c r="L73" i="7"/>
  <c r="K82" i="7"/>
  <c r="K75" i="7"/>
  <c r="AC213" i="7" s="1"/>
  <c r="AH56" i="7"/>
  <c r="K73" i="7"/>
  <c r="K83" i="7" s="1"/>
  <c r="J82" i="7"/>
  <c r="J73" i="7"/>
  <c r="J75" i="7"/>
  <c r="AB213" i="7" s="1"/>
  <c r="I82" i="7"/>
  <c r="H73" i="7"/>
  <c r="H75" i="7"/>
  <c r="AI76" i="7"/>
  <c r="AI80" i="7"/>
  <c r="G82" i="7"/>
  <c r="G73" i="7"/>
  <c r="F82" i="7"/>
  <c r="F75" i="7"/>
  <c r="X213" i="7" s="1"/>
  <c r="F73" i="7"/>
  <c r="AI78" i="7"/>
  <c r="E82" i="7"/>
  <c r="E73" i="7"/>
  <c r="AI79" i="7"/>
  <c r="AH68" i="7"/>
  <c r="D82" i="7"/>
  <c r="D73" i="7"/>
  <c r="C82" i="7"/>
  <c r="AI77" i="7"/>
  <c r="AH38" i="7"/>
  <c r="C73" i="7"/>
  <c r="C75" i="7" s="1"/>
  <c r="U213" i="7" s="1"/>
  <c r="AI37" i="7"/>
  <c r="AF5" i="7"/>
  <c r="AH37" i="7"/>
  <c r="AH79" i="7"/>
  <c r="B82" i="7"/>
  <c r="AI56" i="7"/>
  <c r="H4" i="7"/>
  <c r="AA213" i="7"/>
  <c r="AI213" i="7"/>
  <c r="Q7" i="7"/>
  <c r="I102" i="7"/>
  <c r="P83" i="7"/>
  <c r="J7" i="7"/>
  <c r="AJ213" i="7"/>
  <c r="R7" i="7"/>
  <c r="AR213" i="7"/>
  <c r="Z7" i="7"/>
  <c r="AH213" i="7"/>
  <c r="P7" i="7"/>
  <c r="S83" i="7"/>
  <c r="Z213" i="7"/>
  <c r="N83" i="7"/>
  <c r="AG6" i="7"/>
  <c r="AH76" i="7"/>
  <c r="B5" i="7"/>
  <c r="J5" i="7"/>
  <c r="R5" i="7"/>
  <c r="Z5" i="7"/>
  <c r="AI38" i="7"/>
  <c r="AH72" i="7"/>
  <c r="D75" i="7"/>
  <c r="L75" i="7"/>
  <c r="T75" i="7"/>
  <c r="AH77" i="7"/>
  <c r="AG83" i="7"/>
  <c r="AI68" i="7"/>
  <c r="AI72" i="7"/>
  <c r="I73" i="7"/>
  <c r="I83" i="7" s="1"/>
  <c r="Q73" i="7"/>
  <c r="Q83" i="7" s="1"/>
  <c r="E75" i="7"/>
  <c r="M75" i="7"/>
  <c r="AH78" i="7"/>
  <c r="S210" i="7"/>
  <c r="D210" i="7"/>
  <c r="K7" i="7"/>
  <c r="S7" i="7"/>
  <c r="G75" i="7"/>
  <c r="O75" i="7"/>
  <c r="O83" i="7" s="1"/>
  <c r="AH80" i="7"/>
  <c r="E191" i="7"/>
  <c r="F7" i="7"/>
  <c r="E93" i="7"/>
  <c r="F101" i="7"/>
  <c r="D191" i="7"/>
  <c r="G193" i="7"/>
  <c r="F199" i="7"/>
  <c r="E199" i="7"/>
  <c r="D199" i="7"/>
  <c r="F234" i="7"/>
  <c r="H198" i="7"/>
  <c r="AH73" i="8" l="1"/>
  <c r="AI73" i="8"/>
  <c r="B83" i="8"/>
  <c r="T213" i="8"/>
  <c r="AI75" i="8"/>
  <c r="B7" i="8"/>
  <c r="A7" i="8" s="1"/>
  <c r="AH75" i="8"/>
  <c r="Z83" i="7"/>
  <c r="N7" i="7"/>
  <c r="M83" i="7"/>
  <c r="J83" i="7"/>
  <c r="H83" i="7"/>
  <c r="H7" i="7"/>
  <c r="AH82" i="7"/>
  <c r="F83" i="7"/>
  <c r="E83" i="7"/>
  <c r="C7" i="7"/>
  <c r="D83" i="7"/>
  <c r="C83" i="7"/>
  <c r="AI82" i="7"/>
  <c r="J102" i="7"/>
  <c r="H193" i="7"/>
  <c r="G199" i="7"/>
  <c r="AE213" i="7"/>
  <c r="M7" i="7"/>
  <c r="G93" i="7"/>
  <c r="AL213" i="7"/>
  <c r="T7" i="7"/>
  <c r="W213" i="7"/>
  <c r="E7" i="7"/>
  <c r="AD213" i="7"/>
  <c r="L7" i="7"/>
  <c r="F191" i="7"/>
  <c r="G101" i="7"/>
  <c r="Y213" i="7"/>
  <c r="C208" i="7"/>
  <c r="B208" i="7"/>
  <c r="G7" i="7"/>
  <c r="V213" i="7"/>
  <c r="D7" i="7"/>
  <c r="AG213" i="7"/>
  <c r="O7" i="7"/>
  <c r="G234" i="7"/>
  <c r="I198" i="7"/>
  <c r="G83" i="7"/>
  <c r="T83" i="7"/>
  <c r="L83" i="7"/>
  <c r="AH83" i="8" l="1"/>
  <c r="AI83" i="8"/>
  <c r="K6" i="7"/>
  <c r="K102" i="7"/>
  <c r="H199" i="7"/>
  <c r="I193" i="7"/>
  <c r="H93" i="7"/>
  <c r="H234" i="7"/>
  <c r="J198" i="7"/>
  <c r="G191" i="7"/>
  <c r="H101" i="7"/>
  <c r="H191" i="7" l="1"/>
  <c r="I101" i="7"/>
  <c r="I199" i="7"/>
  <c r="J193" i="7"/>
  <c r="I93" i="7"/>
  <c r="L102" i="7"/>
  <c r="I234" i="7"/>
  <c r="K198" i="7"/>
  <c r="M102" i="7" l="1"/>
  <c r="J199" i="7"/>
  <c r="K193" i="7"/>
  <c r="J93" i="7"/>
  <c r="I191" i="7"/>
  <c r="J101" i="7"/>
  <c r="J234" i="7"/>
  <c r="L198" i="7"/>
  <c r="J191" i="7" l="1"/>
  <c r="K101" i="7"/>
  <c r="K199" i="7"/>
  <c r="L193" i="7"/>
  <c r="K93" i="7"/>
  <c r="N102" i="7"/>
  <c r="M198" i="7"/>
  <c r="K234" i="7"/>
  <c r="L234" i="7" l="1"/>
  <c r="N198" i="7"/>
  <c r="K191" i="7"/>
  <c r="L101" i="7"/>
  <c r="O102" i="7"/>
  <c r="M193" i="7"/>
  <c r="L199" i="7"/>
  <c r="L93" i="7"/>
  <c r="M199" i="7" l="1"/>
  <c r="N193" i="7"/>
  <c r="M93" i="7"/>
  <c r="P102" i="7"/>
  <c r="L191" i="7"/>
  <c r="M101" i="7"/>
  <c r="M234" i="7"/>
  <c r="O198" i="7"/>
  <c r="Q102" i="7" l="1"/>
  <c r="N199" i="7"/>
  <c r="O193" i="7"/>
  <c r="N93" i="7"/>
  <c r="M191" i="7"/>
  <c r="N101" i="7"/>
  <c r="N234" i="7"/>
  <c r="P198" i="7"/>
  <c r="P193" i="7" l="1"/>
  <c r="O199" i="7"/>
  <c r="O93" i="7"/>
  <c r="N191" i="7"/>
  <c r="O101" i="7"/>
  <c r="O234" i="7"/>
  <c r="Q198" i="7"/>
  <c r="R102" i="7"/>
  <c r="P234" i="7" l="1"/>
  <c r="R198" i="7"/>
  <c r="O191" i="7"/>
  <c r="P101" i="7"/>
  <c r="S102" i="7"/>
  <c r="P199" i="7"/>
  <c r="Q193" i="7"/>
  <c r="P93" i="7"/>
  <c r="Q199" i="7" l="1"/>
  <c r="R193" i="7"/>
  <c r="Q93" i="7"/>
  <c r="P191" i="7"/>
  <c r="Q101" i="7"/>
  <c r="Q234" i="7"/>
  <c r="S198" i="7"/>
  <c r="T102" i="7"/>
  <c r="Q191" i="7" l="1"/>
  <c r="R101" i="7"/>
  <c r="R234" i="7"/>
  <c r="T198" i="7"/>
  <c r="R199" i="7"/>
  <c r="S193" i="7"/>
  <c r="R93" i="7"/>
  <c r="U102" i="7"/>
  <c r="S199" i="7" l="1"/>
  <c r="T193" i="7"/>
  <c r="S93" i="7"/>
  <c r="S234" i="7"/>
  <c r="U198" i="7"/>
  <c r="R191" i="7"/>
  <c r="S101" i="7"/>
  <c r="V102" i="7"/>
  <c r="S191" i="7" l="1"/>
  <c r="T101" i="7"/>
  <c r="T234" i="7"/>
  <c r="V198" i="7"/>
  <c r="W102" i="7"/>
  <c r="U193" i="7"/>
  <c r="T199" i="7"/>
  <c r="T93" i="7"/>
  <c r="V193" i="7" l="1"/>
  <c r="U199" i="7"/>
  <c r="U51" i="7" s="1"/>
  <c r="U52" i="7" s="1"/>
  <c r="U93" i="7"/>
  <c r="U234" i="7"/>
  <c r="W198" i="7"/>
  <c r="T191" i="7"/>
  <c r="U101" i="7"/>
  <c r="X102" i="7"/>
  <c r="U191" i="7" l="1"/>
  <c r="V101" i="7"/>
  <c r="Y102" i="7"/>
  <c r="V234" i="7"/>
  <c r="X198" i="7"/>
  <c r="U73" i="7"/>
  <c r="U75" i="7"/>
  <c r="V199" i="7"/>
  <c r="V51" i="7" s="1"/>
  <c r="V52" i="7" s="1"/>
  <c r="W193" i="7"/>
  <c r="V93" i="7"/>
  <c r="U83" i="7" l="1"/>
  <c r="AM213" i="7"/>
  <c r="U7" i="7"/>
  <c r="W234" i="7"/>
  <c r="Y198" i="7"/>
  <c r="Z102" i="7"/>
  <c r="X193" i="7"/>
  <c r="W199" i="7"/>
  <c r="W51" i="7" s="1"/>
  <c r="W52" i="7" s="1"/>
  <c r="W93" i="7"/>
  <c r="V191" i="7"/>
  <c r="W101" i="7"/>
  <c r="V75" i="7"/>
  <c r="V73" i="7"/>
  <c r="V83" i="7" s="1"/>
  <c r="W191" i="7" l="1"/>
  <c r="X101" i="7"/>
  <c r="X199" i="7"/>
  <c r="Y193" i="7"/>
  <c r="X93" i="7"/>
  <c r="AN213" i="7"/>
  <c r="V7" i="7"/>
  <c r="AA102" i="7"/>
  <c r="X234" i="7"/>
  <c r="Z198" i="7"/>
  <c r="W73" i="7"/>
  <c r="W75" i="7"/>
  <c r="AB102" i="7" l="1"/>
  <c r="AA198" i="7"/>
  <c r="Y234" i="7"/>
  <c r="W83" i="7"/>
  <c r="Y199" i="7"/>
  <c r="Y51" i="7" s="1"/>
  <c r="Y52" i="7" s="1"/>
  <c r="Z193" i="7"/>
  <c r="Y93" i="7"/>
  <c r="X73" i="7"/>
  <c r="X75" i="7"/>
  <c r="X191" i="7"/>
  <c r="Y101" i="7"/>
  <c r="AO213" i="7"/>
  <c r="W7" i="7"/>
  <c r="Y73" i="7" l="1"/>
  <c r="Y75" i="7"/>
  <c r="Y191" i="7"/>
  <c r="Z101" i="7"/>
  <c r="Z199" i="7"/>
  <c r="AA193" i="7"/>
  <c r="Z93" i="7"/>
  <c r="Z234" i="7"/>
  <c r="AB198" i="7"/>
  <c r="AP213" i="7"/>
  <c r="X7" i="7"/>
  <c r="X83" i="7"/>
  <c r="AC102" i="7"/>
  <c r="AA199" i="7" l="1"/>
  <c r="AA51" i="7" s="1"/>
  <c r="AA52" i="7" s="1"/>
  <c r="AB193" i="7"/>
  <c r="AA93" i="7"/>
  <c r="AA101" i="7"/>
  <c r="Z191" i="7"/>
  <c r="AQ213" i="7"/>
  <c r="Y7" i="7"/>
  <c r="AD102" i="7"/>
  <c r="AC198" i="7"/>
  <c r="AA234" i="7"/>
  <c r="Y83" i="7"/>
  <c r="AD198" i="7" l="1"/>
  <c r="AB234" i="7"/>
  <c r="AC193" i="7"/>
  <c r="AB199" i="7"/>
  <c r="AB51" i="7" s="1"/>
  <c r="AB52" i="7" s="1"/>
  <c r="AB93" i="7"/>
  <c r="AE102" i="7"/>
  <c r="AA191" i="7"/>
  <c r="AB101" i="7"/>
  <c r="AA75" i="7"/>
  <c r="AA73" i="7"/>
  <c r="AA83" i="7" l="1"/>
  <c r="AF102" i="7"/>
  <c r="AB73" i="7"/>
  <c r="AB75" i="7"/>
  <c r="AD193" i="7"/>
  <c r="AC199" i="7"/>
  <c r="AC51" i="7" s="1"/>
  <c r="AC52" i="7" s="1"/>
  <c r="AC93" i="7"/>
  <c r="AS213" i="7"/>
  <c r="AA7" i="7"/>
  <c r="AB191" i="7"/>
  <c r="AC101" i="7"/>
  <c r="AE198" i="7"/>
  <c r="AC234" i="7"/>
  <c r="AB83" i="7" l="1"/>
  <c r="B102" i="7"/>
  <c r="AC73" i="7"/>
  <c r="AC75" i="7"/>
  <c r="AE193" i="7"/>
  <c r="AD199" i="7"/>
  <c r="AD51" i="7" s="1"/>
  <c r="AD52" i="7" s="1"/>
  <c r="AD93" i="7"/>
  <c r="AD234" i="7"/>
  <c r="AF198" i="7"/>
  <c r="AT213" i="7"/>
  <c r="AB7" i="7"/>
  <c r="AC191" i="7"/>
  <c r="AD101" i="7"/>
  <c r="AD75" i="7" l="1"/>
  <c r="AD73" i="7"/>
  <c r="AU213" i="7"/>
  <c r="AC7" i="7"/>
  <c r="AC83" i="7"/>
  <c r="AD191" i="7"/>
  <c r="AE101" i="7"/>
  <c r="AF193" i="7"/>
  <c r="AE199" i="7"/>
  <c r="AE51" i="7" s="1"/>
  <c r="AE52" i="7" s="1"/>
  <c r="AE93" i="7"/>
  <c r="AE234" i="7"/>
  <c r="B198" i="7"/>
  <c r="AF234" i="7" s="1"/>
  <c r="AD83" i="7" l="1"/>
  <c r="B193" i="7"/>
  <c r="AF199" i="7"/>
  <c r="AF51" i="7" s="1"/>
  <c r="AF52" i="7" s="1"/>
  <c r="AF93" i="7"/>
  <c r="AE191" i="7"/>
  <c r="AF101" i="7"/>
  <c r="AE73" i="7"/>
  <c r="AE75" i="7"/>
  <c r="AV213" i="7"/>
  <c r="AD7" i="7"/>
  <c r="AE83" i="7" l="1"/>
  <c r="AF191" i="7"/>
  <c r="B101" i="7"/>
  <c r="B191" i="7" s="1"/>
  <c r="AW213" i="7"/>
  <c r="AE7" i="7"/>
  <c r="AI93" i="7"/>
  <c r="AH93" i="7"/>
  <c r="AF73" i="7"/>
  <c r="AF75" i="7"/>
  <c r="B199" i="7"/>
  <c r="B93" i="7"/>
  <c r="AF83" i="7" l="1"/>
  <c r="AX213" i="7"/>
  <c r="AF7" i="7"/>
  <c r="AH51" i="7"/>
  <c r="AI51" i="7"/>
  <c r="B52" i="7"/>
  <c r="B73" i="7" l="1"/>
  <c r="AI52" i="7"/>
  <c r="AH52" i="7"/>
  <c r="B75" i="7"/>
  <c r="T213" i="7" l="1"/>
  <c r="AH75" i="7"/>
  <c r="B7" i="7"/>
  <c r="A7" i="7" s="1"/>
  <c r="AI75" i="7"/>
  <c r="AI73" i="7"/>
  <c r="AH73" i="7"/>
  <c r="B83" i="7"/>
  <c r="AI83" i="7" l="1"/>
  <c r="AH83" i="7"/>
  <c r="Q37" i="6" l="1"/>
  <c r="P37" i="6"/>
  <c r="O95" i="6"/>
  <c r="O37" i="6"/>
  <c r="M37" i="6" l="1"/>
  <c r="L37" i="6"/>
  <c r="K37" i="6"/>
  <c r="J37" i="6"/>
  <c r="I37" i="6"/>
  <c r="H37" i="6"/>
  <c r="AH99" i="6"/>
  <c r="AI99" i="6" s="1"/>
  <c r="C95" i="6"/>
  <c r="C37" i="6"/>
  <c r="B95" i="6"/>
  <c r="B37" i="6"/>
  <c r="B93" i="6"/>
  <c r="B80" i="6"/>
  <c r="B79" i="6"/>
  <c r="B78" i="6"/>
  <c r="B77" i="6"/>
  <c r="B82" i="6" s="1"/>
  <c r="B76" i="6"/>
  <c r="B72" i="6"/>
  <c r="B68" i="6"/>
  <c r="B56" i="6"/>
  <c r="B51" i="6"/>
  <c r="B52" i="6" s="1"/>
  <c r="B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B234" i="6"/>
  <c r="S209" i="6"/>
  <c r="AG199" i="6"/>
  <c r="C199" i="6"/>
  <c r="D198" i="6"/>
  <c r="E197" i="6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D197" i="6"/>
  <c r="E196" i="6"/>
  <c r="F196" i="6" s="1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D196" i="6"/>
  <c r="G195" i="6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F195" i="6"/>
  <c r="E195" i="6"/>
  <c r="D195" i="6"/>
  <c r="AD194" i="6"/>
  <c r="AE194" i="6" s="1"/>
  <c r="AF194" i="6" s="1"/>
  <c r="B194" i="6" s="1"/>
  <c r="E194" i="6"/>
  <c r="F194" i="6" s="1"/>
  <c r="G194" i="6" s="1"/>
  <c r="H194" i="6" s="1"/>
  <c r="I194" i="6" s="1"/>
  <c r="J194" i="6" s="1"/>
  <c r="K194" i="6" s="1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D194" i="6"/>
  <c r="D193" i="6"/>
  <c r="AG191" i="6"/>
  <c r="C191" i="6"/>
  <c r="E190" i="6"/>
  <c r="F190" i="6" s="1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B190" i="6" s="1"/>
  <c r="D190" i="6"/>
  <c r="E189" i="6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D189" i="6"/>
  <c r="D188" i="6"/>
  <c r="E188" i="6" s="1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B188" i="6" s="1"/>
  <c r="U187" i="6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B187" i="6" s="1"/>
  <c r="E187" i="6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D187" i="6"/>
  <c r="D186" i="6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B186" i="6" s="1"/>
  <c r="F185" i="6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B185" i="6" s="1"/>
  <c r="E185" i="6"/>
  <c r="D185" i="6"/>
  <c r="D184" i="6"/>
  <c r="E184" i="6" s="1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D183" i="6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E182" i="6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D182" i="6"/>
  <c r="I181" i="6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E181" i="6"/>
  <c r="F181" i="6" s="1"/>
  <c r="G181" i="6" s="1"/>
  <c r="H181" i="6" s="1"/>
  <c r="D181" i="6"/>
  <c r="F180" i="6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D180" i="6"/>
  <c r="E180" i="6" s="1"/>
  <c r="J179" i="6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B179" i="6" s="1"/>
  <c r="I179" i="6"/>
  <c r="E179" i="6"/>
  <c r="F179" i="6" s="1"/>
  <c r="G179" i="6" s="1"/>
  <c r="H179" i="6" s="1"/>
  <c r="D179" i="6"/>
  <c r="R178" i="6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B178" i="6" s="1"/>
  <c r="D178" i="6"/>
  <c r="E178" i="6" s="1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N176" i="6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D176" i="6"/>
  <c r="E176" i="6" s="1"/>
  <c r="F176" i="6" s="1"/>
  <c r="G176" i="6" s="1"/>
  <c r="H176" i="6" s="1"/>
  <c r="I176" i="6" s="1"/>
  <c r="J176" i="6" s="1"/>
  <c r="K176" i="6" s="1"/>
  <c r="L176" i="6" s="1"/>
  <c r="M176" i="6" s="1"/>
  <c r="Y175" i="6"/>
  <c r="Z175" i="6" s="1"/>
  <c r="AA175" i="6" s="1"/>
  <c r="AB175" i="6" s="1"/>
  <c r="AC175" i="6" s="1"/>
  <c r="AD175" i="6" s="1"/>
  <c r="AE175" i="6" s="1"/>
  <c r="AF175" i="6" s="1"/>
  <c r="B175" i="6" s="1"/>
  <c r="D175" i="6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I174" i="6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B174" i="6" s="1"/>
  <c r="E174" i="6"/>
  <c r="F174" i="6" s="1"/>
  <c r="G174" i="6" s="1"/>
  <c r="H174" i="6" s="1"/>
  <c r="D174" i="6"/>
  <c r="U173" i="6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73" i="6" s="1"/>
  <c r="N173" i="6"/>
  <c r="O173" i="6" s="1"/>
  <c r="P173" i="6" s="1"/>
  <c r="Q173" i="6" s="1"/>
  <c r="R173" i="6" s="1"/>
  <c r="S173" i="6" s="1"/>
  <c r="T173" i="6" s="1"/>
  <c r="E173" i="6"/>
  <c r="F173" i="6" s="1"/>
  <c r="G173" i="6" s="1"/>
  <c r="H173" i="6" s="1"/>
  <c r="I173" i="6" s="1"/>
  <c r="J173" i="6" s="1"/>
  <c r="K173" i="6" s="1"/>
  <c r="L173" i="6" s="1"/>
  <c r="M173" i="6" s="1"/>
  <c r="D173" i="6"/>
  <c r="D172" i="6"/>
  <c r="E172" i="6" s="1"/>
  <c r="F172" i="6" s="1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K171" i="6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D171" i="6"/>
  <c r="E171" i="6" s="1"/>
  <c r="F171" i="6" s="1"/>
  <c r="G171" i="6" s="1"/>
  <c r="H171" i="6" s="1"/>
  <c r="I171" i="6" s="1"/>
  <c r="J171" i="6" s="1"/>
  <c r="Y170" i="6"/>
  <c r="Z170" i="6" s="1"/>
  <c r="AA170" i="6" s="1"/>
  <c r="AB170" i="6" s="1"/>
  <c r="AC170" i="6" s="1"/>
  <c r="AD170" i="6" s="1"/>
  <c r="AE170" i="6" s="1"/>
  <c r="AF170" i="6" s="1"/>
  <c r="B170" i="6" s="1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M169" i="6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B169" i="6" s="1"/>
  <c r="G169" i="6"/>
  <c r="H169" i="6" s="1"/>
  <c r="I169" i="6" s="1"/>
  <c r="J169" i="6" s="1"/>
  <c r="K169" i="6" s="1"/>
  <c r="L169" i="6" s="1"/>
  <c r="E169" i="6"/>
  <c r="F169" i="6" s="1"/>
  <c r="D169" i="6"/>
  <c r="G167" i="6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F167" i="6"/>
  <c r="E167" i="6"/>
  <c r="D167" i="6"/>
  <c r="H166" i="6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B166" i="6" s="1"/>
  <c r="E166" i="6"/>
  <c r="F166" i="6" s="1"/>
  <c r="G166" i="6" s="1"/>
  <c r="D166" i="6"/>
  <c r="I165" i="6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B165" i="6" s="1"/>
  <c r="F165" i="6"/>
  <c r="G165" i="6" s="1"/>
  <c r="H165" i="6" s="1"/>
  <c r="E165" i="6"/>
  <c r="D165" i="6"/>
  <c r="L164" i="6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D164" i="6"/>
  <c r="E164" i="6" s="1"/>
  <c r="F164" i="6" s="1"/>
  <c r="G164" i="6" s="1"/>
  <c r="H164" i="6" s="1"/>
  <c r="I164" i="6" s="1"/>
  <c r="J164" i="6" s="1"/>
  <c r="K164" i="6" s="1"/>
  <c r="P163" i="6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E163" i="6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D163" i="6"/>
  <c r="I162" i="6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F162" i="6"/>
  <c r="G162" i="6" s="1"/>
  <c r="H162" i="6" s="1"/>
  <c r="E162" i="6"/>
  <c r="D162" i="6"/>
  <c r="K161" i="6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D161" i="6"/>
  <c r="E161" i="6" s="1"/>
  <c r="F161" i="6" s="1"/>
  <c r="G161" i="6" s="1"/>
  <c r="H161" i="6" s="1"/>
  <c r="I161" i="6" s="1"/>
  <c r="J161" i="6" s="1"/>
  <c r="B161" i="6"/>
  <c r="E160" i="6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D160" i="6"/>
  <c r="AA159" i="6"/>
  <c r="AB159" i="6" s="1"/>
  <c r="AC159" i="6" s="1"/>
  <c r="AD159" i="6" s="1"/>
  <c r="AE159" i="6" s="1"/>
  <c r="AF159" i="6" s="1"/>
  <c r="B159" i="6" s="1"/>
  <c r="P159" i="6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I159" i="6"/>
  <c r="J159" i="6" s="1"/>
  <c r="K159" i="6" s="1"/>
  <c r="L159" i="6" s="1"/>
  <c r="M159" i="6" s="1"/>
  <c r="N159" i="6" s="1"/>
  <c r="O159" i="6" s="1"/>
  <c r="G159" i="6"/>
  <c r="H159" i="6" s="1"/>
  <c r="E159" i="6"/>
  <c r="F159" i="6" s="1"/>
  <c r="D159" i="6"/>
  <c r="K158" i="6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B158" i="6" s="1"/>
  <c r="D158" i="6"/>
  <c r="E158" i="6" s="1"/>
  <c r="F158" i="6" s="1"/>
  <c r="G158" i="6" s="1"/>
  <c r="H158" i="6" s="1"/>
  <c r="I158" i="6" s="1"/>
  <c r="J158" i="6" s="1"/>
  <c r="D157" i="6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B157" i="6" s="1"/>
  <c r="E156" i="6"/>
  <c r="F156" i="6" s="1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D156" i="6"/>
  <c r="L155" i="6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B155" i="6" s="1"/>
  <c r="D155" i="6"/>
  <c r="E155" i="6" s="1"/>
  <c r="F155" i="6" s="1"/>
  <c r="G155" i="6" s="1"/>
  <c r="H155" i="6" s="1"/>
  <c r="I155" i="6" s="1"/>
  <c r="J155" i="6" s="1"/>
  <c r="K155" i="6" s="1"/>
  <c r="J153" i="6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B153" i="6" s="1"/>
  <c r="H153" i="6"/>
  <c r="I153" i="6" s="1"/>
  <c r="F153" i="6"/>
  <c r="G153" i="6" s="1"/>
  <c r="E153" i="6"/>
  <c r="D153" i="6"/>
  <c r="D152" i="6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B152" i="6" s="1"/>
  <c r="L151" i="6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F151" i="6"/>
  <c r="G151" i="6" s="1"/>
  <c r="H151" i="6" s="1"/>
  <c r="I151" i="6" s="1"/>
  <c r="J151" i="6" s="1"/>
  <c r="K151" i="6" s="1"/>
  <c r="D151" i="6"/>
  <c r="E151" i="6" s="1"/>
  <c r="J150" i="6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B150" i="6" s="1"/>
  <c r="D150" i="6"/>
  <c r="E150" i="6" s="1"/>
  <c r="F150" i="6" s="1"/>
  <c r="G150" i="6" s="1"/>
  <c r="H150" i="6" s="1"/>
  <c r="I150" i="6" s="1"/>
  <c r="H148" i="6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B148" i="6" s="1"/>
  <c r="F148" i="6"/>
  <c r="G148" i="6" s="1"/>
  <c r="E148" i="6"/>
  <c r="D148" i="6"/>
  <c r="F147" i="6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B147" i="6" s="1"/>
  <c r="D147" i="6"/>
  <c r="E147" i="6" s="1"/>
  <c r="H145" i="6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B145" i="6" s="1"/>
  <c r="G145" i="6"/>
  <c r="E145" i="6"/>
  <c r="F145" i="6" s="1"/>
  <c r="D145" i="6"/>
  <c r="D144" i="6"/>
  <c r="E144" i="6" s="1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V143" i="6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B143" i="6" s="1"/>
  <c r="L143" i="6"/>
  <c r="M143" i="6" s="1"/>
  <c r="N143" i="6" s="1"/>
  <c r="O143" i="6" s="1"/>
  <c r="P143" i="6" s="1"/>
  <c r="Q143" i="6" s="1"/>
  <c r="R143" i="6" s="1"/>
  <c r="S143" i="6" s="1"/>
  <c r="T143" i="6" s="1"/>
  <c r="U143" i="6" s="1"/>
  <c r="D143" i="6"/>
  <c r="E143" i="6" s="1"/>
  <c r="F143" i="6" s="1"/>
  <c r="G143" i="6" s="1"/>
  <c r="H143" i="6" s="1"/>
  <c r="I143" i="6" s="1"/>
  <c r="J143" i="6" s="1"/>
  <c r="K143" i="6" s="1"/>
  <c r="G142" i="6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B142" i="6" s="1"/>
  <c r="F142" i="6"/>
  <c r="D142" i="6"/>
  <c r="E142" i="6" s="1"/>
  <c r="Q141" i="6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B141" i="6" s="1"/>
  <c r="O141" i="6"/>
  <c r="P141" i="6" s="1"/>
  <c r="D141" i="6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AA140" i="6"/>
  <c r="AB140" i="6" s="1"/>
  <c r="AC140" i="6" s="1"/>
  <c r="AD140" i="6" s="1"/>
  <c r="AE140" i="6" s="1"/>
  <c r="AF140" i="6" s="1"/>
  <c r="B140" i="6" s="1"/>
  <c r="E140" i="6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D140" i="6"/>
  <c r="D139" i="6"/>
  <c r="E139" i="6" s="1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B139" i="6" s="1"/>
  <c r="H137" i="6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D137" i="6"/>
  <c r="E137" i="6" s="1"/>
  <c r="F137" i="6" s="1"/>
  <c r="G137" i="6" s="1"/>
  <c r="I136" i="6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G136" i="6"/>
  <c r="H136" i="6" s="1"/>
  <c r="D136" i="6"/>
  <c r="E136" i="6" s="1"/>
  <c r="F136" i="6" s="1"/>
  <c r="H135" i="6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E135" i="6"/>
  <c r="F135" i="6" s="1"/>
  <c r="G135" i="6" s="1"/>
  <c r="D135" i="6"/>
  <c r="J134" i="6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F134" i="6"/>
  <c r="G134" i="6" s="1"/>
  <c r="H134" i="6" s="1"/>
  <c r="I134" i="6" s="1"/>
  <c r="E134" i="6"/>
  <c r="D134" i="6"/>
  <c r="H133" i="6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B133" i="6" s="1"/>
  <c r="F133" i="6"/>
  <c r="G133" i="6" s="1"/>
  <c r="D133" i="6"/>
  <c r="E133" i="6" s="1"/>
  <c r="D132" i="6"/>
  <c r="E132" i="6" s="1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B132" i="6" s="1"/>
  <c r="D131" i="6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B131" i="6" s="1"/>
  <c r="J130" i="6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B130" i="6" s="1"/>
  <c r="H130" i="6"/>
  <c r="I130" i="6" s="1"/>
  <c r="F130" i="6"/>
  <c r="G130" i="6" s="1"/>
  <c r="E130" i="6"/>
  <c r="D130" i="6"/>
  <c r="H128" i="6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G128" i="6"/>
  <c r="F128" i="6"/>
  <c r="D128" i="6"/>
  <c r="E128" i="6" s="1"/>
  <c r="F127" i="6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E127" i="6"/>
  <c r="D127" i="6"/>
  <c r="J126" i="6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D126" i="6"/>
  <c r="E126" i="6" s="1"/>
  <c r="F126" i="6" s="1"/>
  <c r="G126" i="6" s="1"/>
  <c r="H126" i="6" s="1"/>
  <c r="I126" i="6" s="1"/>
  <c r="J125" i="6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H125" i="6"/>
  <c r="I125" i="6" s="1"/>
  <c r="E125" i="6"/>
  <c r="F125" i="6" s="1"/>
  <c r="G125" i="6" s="1"/>
  <c r="D125" i="6"/>
  <c r="G124" i="6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E124" i="6"/>
  <c r="F124" i="6" s="1"/>
  <c r="D124" i="6"/>
  <c r="I123" i="6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F123" i="6"/>
  <c r="G123" i="6" s="1"/>
  <c r="H123" i="6" s="1"/>
  <c r="E123" i="6"/>
  <c r="D123" i="6"/>
  <c r="D122" i="6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J121" i="6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B121" i="6" s="1"/>
  <c r="I121" i="6"/>
  <c r="G121" i="6"/>
  <c r="H121" i="6" s="1"/>
  <c r="E121" i="6"/>
  <c r="F121" i="6" s="1"/>
  <c r="D121" i="6"/>
  <c r="H120" i="6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G120" i="6"/>
  <c r="E120" i="6"/>
  <c r="F120" i="6" s="1"/>
  <c r="D120" i="6"/>
  <c r="F119" i="6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E119" i="6"/>
  <c r="D119" i="6"/>
  <c r="G118" i="6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B118" i="6" s="1"/>
  <c r="E118" i="6"/>
  <c r="F118" i="6" s="1"/>
  <c r="D118" i="6"/>
  <c r="G117" i="6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E117" i="6"/>
  <c r="F117" i="6" s="1"/>
  <c r="D117" i="6"/>
  <c r="E116" i="6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D116" i="6"/>
  <c r="E115" i="6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B115" i="6" s="1"/>
  <c r="D115" i="6"/>
  <c r="E114" i="6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D114" i="6"/>
  <c r="N113" i="6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M113" i="6"/>
  <c r="K113" i="6"/>
  <c r="L113" i="6" s="1"/>
  <c r="F113" i="6"/>
  <c r="G113" i="6" s="1"/>
  <c r="H113" i="6" s="1"/>
  <c r="I113" i="6" s="1"/>
  <c r="D113" i="6"/>
  <c r="E113" i="6" s="1"/>
  <c r="D112" i="6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E111" i="6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B111" i="6" s="1"/>
  <c r="D111" i="6"/>
  <c r="G109" i="6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B109" i="6" s="1"/>
  <c r="F109" i="6"/>
  <c r="D109" i="6"/>
  <c r="E109" i="6" s="1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B108" i="6" s="1"/>
  <c r="D108" i="6"/>
  <c r="D106" i="6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E105" i="6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D105" i="6"/>
  <c r="D104" i="6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F103" i="6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B103" i="6" s="1"/>
  <c r="D103" i="6"/>
  <c r="E103" i="6" s="1"/>
  <c r="F102" i="6"/>
  <c r="D102" i="6"/>
  <c r="E102" i="6" s="1"/>
  <c r="E101" i="6"/>
  <c r="D101" i="6"/>
  <c r="AH98" i="6"/>
  <c r="AI98" i="6" s="1"/>
  <c r="AH97" i="6"/>
  <c r="AI97" i="6" s="1"/>
  <c r="AH96" i="6"/>
  <c r="AI96" i="6" s="1"/>
  <c r="AH95" i="6"/>
  <c r="AI95" i="6" s="1"/>
  <c r="AH94" i="6"/>
  <c r="AI94" i="6" s="1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V82" i="6"/>
  <c r="AI81" i="6"/>
  <c r="AH81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AF78" i="6"/>
  <c r="AE78" i="6"/>
  <c r="AD78" i="6"/>
  <c r="AC78" i="6"/>
  <c r="AB78" i="6"/>
  <c r="AA78" i="6"/>
  <c r="Z78" i="6"/>
  <c r="Y78" i="6"/>
  <c r="X78" i="6"/>
  <c r="X82" i="6" s="1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AF76" i="6"/>
  <c r="AE76" i="6"/>
  <c r="AE82" i="6" s="1"/>
  <c r="AD76" i="6"/>
  <c r="AC76" i="6"/>
  <c r="AB76" i="6"/>
  <c r="AA76" i="6"/>
  <c r="Z76" i="6"/>
  <c r="Y76" i="6"/>
  <c r="X76" i="6"/>
  <c r="W76" i="6"/>
  <c r="V76" i="6"/>
  <c r="U76" i="6"/>
  <c r="T76" i="6"/>
  <c r="T82" i="6" s="1"/>
  <c r="S76" i="6"/>
  <c r="S82" i="6" s="1"/>
  <c r="R76" i="6"/>
  <c r="Q76" i="6"/>
  <c r="P76" i="6"/>
  <c r="P82" i="6" s="1"/>
  <c r="O76" i="6"/>
  <c r="O82" i="6" s="1"/>
  <c r="N76" i="6"/>
  <c r="M76" i="6"/>
  <c r="L76" i="6"/>
  <c r="K76" i="6"/>
  <c r="J76" i="6"/>
  <c r="I76" i="6"/>
  <c r="I82" i="6" s="1"/>
  <c r="H76" i="6"/>
  <c r="H82" i="6" s="1"/>
  <c r="G76" i="6"/>
  <c r="F76" i="6"/>
  <c r="E76" i="6"/>
  <c r="D76" i="6"/>
  <c r="C76" i="6"/>
  <c r="AI74" i="6"/>
  <c r="AH74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I71" i="6"/>
  <c r="AH71" i="6"/>
  <c r="AI70" i="6"/>
  <c r="AH70" i="6"/>
  <c r="AI69" i="6"/>
  <c r="AH69" i="6"/>
  <c r="AG68" i="6"/>
  <c r="AF68" i="6"/>
  <c r="AE68" i="6"/>
  <c r="AD68" i="6"/>
  <c r="AC5" i="6" s="1"/>
  <c r="AC68" i="6"/>
  <c r="AB5" i="6" s="1"/>
  <c r="AB68" i="6"/>
  <c r="AA68" i="6"/>
  <c r="Z68" i="6"/>
  <c r="X68" i="6"/>
  <c r="V68" i="6"/>
  <c r="U68" i="6"/>
  <c r="T5" i="6" s="1"/>
  <c r="T68" i="6"/>
  <c r="S5" i="6" s="1"/>
  <c r="S68" i="6"/>
  <c r="R5" i="6" s="1"/>
  <c r="R68" i="6"/>
  <c r="Q68" i="6"/>
  <c r="P5" i="6" s="1"/>
  <c r="P68" i="6"/>
  <c r="O5" i="6" s="1"/>
  <c r="O68" i="6"/>
  <c r="N68" i="6"/>
  <c r="M68" i="6"/>
  <c r="L5" i="6" s="1"/>
  <c r="L68" i="6"/>
  <c r="K5" i="6" s="1"/>
  <c r="K68" i="6"/>
  <c r="J5" i="6" s="1"/>
  <c r="J68" i="6"/>
  <c r="I68" i="6"/>
  <c r="H68" i="6"/>
  <c r="G5" i="6" s="1"/>
  <c r="G68" i="6"/>
  <c r="F5" i="6" s="1"/>
  <c r="F68" i="6"/>
  <c r="E5" i="6" s="1"/>
  <c r="E68" i="6"/>
  <c r="D5" i="6" s="1"/>
  <c r="D68" i="6"/>
  <c r="C68" i="6"/>
  <c r="B5" i="6" s="1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I55" i="6"/>
  <c r="AH55" i="6"/>
  <c r="AI54" i="6"/>
  <c r="AH54" i="6"/>
  <c r="AI53" i="6"/>
  <c r="AH53" i="6"/>
  <c r="Z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G51" i="6"/>
  <c r="AG52" i="6" s="1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E5" i="6"/>
  <c r="AD5" i="6"/>
  <c r="AA5" i="6"/>
  <c r="Z5" i="6"/>
  <c r="Y5" i="6"/>
  <c r="X5" i="6"/>
  <c r="W5" i="6"/>
  <c r="V5" i="6"/>
  <c r="U5" i="6"/>
  <c r="Q5" i="6"/>
  <c r="N5" i="6"/>
  <c r="M5" i="6"/>
  <c r="I5" i="6"/>
  <c r="H5" i="6"/>
  <c r="C5" i="6"/>
  <c r="AG4" i="6"/>
  <c r="K4" i="6"/>
  <c r="B4" i="6"/>
  <c r="AF95" i="4"/>
  <c r="AF37" i="4"/>
  <c r="AE95" i="4"/>
  <c r="AE37" i="4"/>
  <c r="AC37" i="4"/>
  <c r="AB95" i="4"/>
  <c r="AB37" i="4"/>
  <c r="AA37" i="4"/>
  <c r="W37" i="4"/>
  <c r="V37" i="4"/>
  <c r="E4" i="6"/>
  <c r="AF82" i="6" l="1"/>
  <c r="AD82" i="6"/>
  <c r="AC82" i="6"/>
  <c r="AB82" i="6"/>
  <c r="AA82" i="6"/>
  <c r="Z82" i="6"/>
  <c r="Z75" i="6"/>
  <c r="AR213" i="6" s="1"/>
  <c r="Z73" i="6"/>
  <c r="Y82" i="6"/>
  <c r="W82" i="6"/>
  <c r="U82" i="6"/>
  <c r="T75" i="6"/>
  <c r="T73" i="6"/>
  <c r="S75" i="6"/>
  <c r="AK213" i="6" s="1"/>
  <c r="S73" i="6"/>
  <c r="S83" i="6" s="1"/>
  <c r="R82" i="6"/>
  <c r="R75" i="6"/>
  <c r="AJ213" i="6" s="1"/>
  <c r="R73" i="6"/>
  <c r="R83" i="6" s="1"/>
  <c r="Q75" i="6"/>
  <c r="AI213" i="6" s="1"/>
  <c r="Q82" i="6"/>
  <c r="Q73" i="6"/>
  <c r="P75" i="6"/>
  <c r="AH213" i="6" s="1"/>
  <c r="P73" i="6"/>
  <c r="O75" i="6"/>
  <c r="AG213" i="6" s="1"/>
  <c r="O73" i="6"/>
  <c r="O83" i="6" s="1"/>
  <c r="N82" i="6"/>
  <c r="N73" i="6"/>
  <c r="N83" i="6" s="1"/>
  <c r="N75" i="6"/>
  <c r="D75" i="6"/>
  <c r="V213" i="6" s="1"/>
  <c r="M82" i="6"/>
  <c r="M75" i="6"/>
  <c r="M7" i="6" s="1"/>
  <c r="L82" i="6"/>
  <c r="L75" i="6"/>
  <c r="AD213" i="6" s="1"/>
  <c r="L73" i="6"/>
  <c r="K82" i="6"/>
  <c r="K75" i="6"/>
  <c r="AC213" i="6" s="1"/>
  <c r="K73" i="6"/>
  <c r="K83" i="6" s="1"/>
  <c r="J82" i="6"/>
  <c r="AI80" i="6"/>
  <c r="J75" i="6"/>
  <c r="AB213" i="6" s="1"/>
  <c r="J73" i="6"/>
  <c r="I75" i="6"/>
  <c r="AA213" i="6" s="1"/>
  <c r="I73" i="6"/>
  <c r="I83" i="6" s="1"/>
  <c r="AI76" i="6"/>
  <c r="H75" i="6"/>
  <c r="Z213" i="6" s="1"/>
  <c r="H73" i="6"/>
  <c r="G75" i="6"/>
  <c r="G82" i="6"/>
  <c r="G73" i="6"/>
  <c r="F82" i="6"/>
  <c r="F75" i="6"/>
  <c r="X213" i="6" s="1"/>
  <c r="F73" i="6"/>
  <c r="E82" i="6"/>
  <c r="AI56" i="6"/>
  <c r="E75" i="6"/>
  <c r="W213" i="6" s="1"/>
  <c r="AH79" i="6"/>
  <c r="AH80" i="6"/>
  <c r="D82" i="6"/>
  <c r="D73" i="6"/>
  <c r="AI78" i="6"/>
  <c r="C82" i="6"/>
  <c r="C73" i="6"/>
  <c r="C75" i="6" s="1"/>
  <c r="C7" i="6" s="1"/>
  <c r="AH38" i="6"/>
  <c r="B75" i="6"/>
  <c r="AI77" i="6"/>
  <c r="AH77" i="6"/>
  <c r="B73" i="6"/>
  <c r="B83" i="6" s="1"/>
  <c r="H4" i="6"/>
  <c r="U213" i="6"/>
  <c r="AG73" i="6"/>
  <c r="AG3" i="6"/>
  <c r="AG6" i="6" s="1"/>
  <c r="AG75" i="6"/>
  <c r="AG83" i="6" s="1"/>
  <c r="L7" i="6"/>
  <c r="AE213" i="6"/>
  <c r="AL213" i="6"/>
  <c r="T7" i="6"/>
  <c r="AF213" i="6"/>
  <c r="N7" i="6"/>
  <c r="G83" i="6"/>
  <c r="AI79" i="6"/>
  <c r="E191" i="6"/>
  <c r="F101" i="6"/>
  <c r="D210" i="6"/>
  <c r="S210" i="6"/>
  <c r="Y213" i="6"/>
  <c r="G7" i="6"/>
  <c r="P7" i="6"/>
  <c r="AI38" i="6"/>
  <c r="AH56" i="6"/>
  <c r="AH68" i="6"/>
  <c r="AH72" i="6"/>
  <c r="D93" i="6"/>
  <c r="G102" i="6"/>
  <c r="E73" i="6"/>
  <c r="AH76" i="6"/>
  <c r="AI68" i="6"/>
  <c r="AI72" i="6"/>
  <c r="AH78" i="6"/>
  <c r="M73" i="6"/>
  <c r="O7" i="6"/>
  <c r="J7" i="6"/>
  <c r="R7" i="6"/>
  <c r="Z7" i="6"/>
  <c r="D191" i="6"/>
  <c r="D199" i="6"/>
  <c r="E193" i="6"/>
  <c r="C234" i="6"/>
  <c r="E198" i="6"/>
  <c r="U37" i="4"/>
  <c r="T37" i="4"/>
  <c r="Z83" i="6" l="1"/>
  <c r="F7" i="6"/>
  <c r="H83" i="6"/>
  <c r="C83" i="6"/>
  <c r="T83" i="6"/>
  <c r="F83" i="6"/>
  <c r="D83" i="6"/>
  <c r="L83" i="6"/>
  <c r="D7" i="6"/>
  <c r="H7" i="6"/>
  <c r="Q7" i="6"/>
  <c r="S7" i="6"/>
  <c r="Q83" i="6"/>
  <c r="P83" i="6"/>
  <c r="M83" i="6"/>
  <c r="K7" i="6"/>
  <c r="J83" i="6"/>
  <c r="I7" i="6"/>
  <c r="B208" i="6"/>
  <c r="C208" i="6"/>
  <c r="K6" i="6" s="1"/>
  <c r="E83" i="6"/>
  <c r="E7" i="6"/>
  <c r="H102" i="6"/>
  <c r="F191" i="6"/>
  <c r="G101" i="6"/>
  <c r="F198" i="6"/>
  <c r="D234" i="6"/>
  <c r="AH82" i="6"/>
  <c r="AI82" i="6"/>
  <c r="F193" i="6"/>
  <c r="E199" i="6"/>
  <c r="E93" i="6"/>
  <c r="R95" i="4"/>
  <c r="R37" i="4"/>
  <c r="Q37" i="4"/>
  <c r="P37" i="4"/>
  <c r="O37" i="4"/>
  <c r="E234" i="6" l="1"/>
  <c r="G198" i="6"/>
  <c r="G193" i="6"/>
  <c r="F199" i="6"/>
  <c r="F93" i="6"/>
  <c r="I102" i="6"/>
  <c r="G191" i="6"/>
  <c r="H101" i="6"/>
  <c r="H193" i="6" l="1"/>
  <c r="G199" i="6"/>
  <c r="G93" i="6"/>
  <c r="H191" i="6"/>
  <c r="I101" i="6"/>
  <c r="F234" i="6"/>
  <c r="H198" i="6"/>
  <c r="J102" i="6"/>
  <c r="G234" i="6" l="1"/>
  <c r="I198" i="6"/>
  <c r="I191" i="6"/>
  <c r="J101" i="6"/>
  <c r="H199" i="6"/>
  <c r="I193" i="6"/>
  <c r="H93" i="6"/>
  <c r="K102" i="6"/>
  <c r="J191" i="6" l="1"/>
  <c r="K101" i="6"/>
  <c r="H234" i="6"/>
  <c r="J198" i="6"/>
  <c r="J193" i="6"/>
  <c r="I199" i="6"/>
  <c r="I93" i="6"/>
  <c r="L102" i="6"/>
  <c r="I234" i="6" l="1"/>
  <c r="K198" i="6"/>
  <c r="K191" i="6"/>
  <c r="L101" i="6"/>
  <c r="K193" i="6"/>
  <c r="J199" i="6"/>
  <c r="J93" i="6"/>
  <c r="M102" i="6"/>
  <c r="K199" i="6" l="1"/>
  <c r="L193" i="6"/>
  <c r="K93" i="6"/>
  <c r="L191" i="6"/>
  <c r="M101" i="6"/>
  <c r="N102" i="6"/>
  <c r="J234" i="6"/>
  <c r="L198" i="6"/>
  <c r="M191" i="6" l="1"/>
  <c r="N101" i="6"/>
  <c r="O102" i="6"/>
  <c r="L199" i="6"/>
  <c r="M193" i="6"/>
  <c r="L93" i="6"/>
  <c r="K234" i="6"/>
  <c r="M198" i="6"/>
  <c r="M199" i="6" l="1"/>
  <c r="N193" i="6"/>
  <c r="M93" i="6"/>
  <c r="P102" i="6"/>
  <c r="N191" i="6"/>
  <c r="O101" i="6"/>
  <c r="N198" i="6"/>
  <c r="L234" i="6"/>
  <c r="O191" i="6" l="1"/>
  <c r="P101" i="6"/>
  <c r="O198" i="6"/>
  <c r="M234" i="6"/>
  <c r="Q102" i="6"/>
  <c r="O193" i="6"/>
  <c r="N199" i="6"/>
  <c r="N93" i="6"/>
  <c r="P193" i="6" l="1"/>
  <c r="O199" i="6"/>
  <c r="O93" i="6"/>
  <c r="R102" i="6"/>
  <c r="N234" i="6"/>
  <c r="P198" i="6"/>
  <c r="P191" i="6"/>
  <c r="Q101" i="6"/>
  <c r="O234" i="6" l="1"/>
  <c r="Q198" i="6"/>
  <c r="S102" i="6"/>
  <c r="Q191" i="6"/>
  <c r="R101" i="6"/>
  <c r="P199" i="6"/>
  <c r="Q193" i="6"/>
  <c r="P93" i="6"/>
  <c r="Q199" i="6" l="1"/>
  <c r="R193" i="6"/>
  <c r="Q93" i="6"/>
  <c r="R191" i="6"/>
  <c r="S101" i="6"/>
  <c r="T102" i="6"/>
  <c r="P234" i="6"/>
  <c r="R198" i="6"/>
  <c r="S191" i="6" l="1"/>
  <c r="T101" i="6"/>
  <c r="U102" i="6"/>
  <c r="S193" i="6"/>
  <c r="R199" i="6"/>
  <c r="R93" i="6"/>
  <c r="Q234" i="6"/>
  <c r="S198" i="6"/>
  <c r="S199" i="6" l="1"/>
  <c r="T193" i="6"/>
  <c r="S93" i="6"/>
  <c r="V102" i="6"/>
  <c r="T191" i="6"/>
  <c r="U101" i="6"/>
  <c r="T198" i="6"/>
  <c r="R234" i="6"/>
  <c r="W102" i="6" l="1"/>
  <c r="S234" i="6"/>
  <c r="U198" i="6"/>
  <c r="U191" i="6"/>
  <c r="V101" i="6"/>
  <c r="T199" i="6"/>
  <c r="U193" i="6"/>
  <c r="T93" i="6"/>
  <c r="T234" i="6" l="1"/>
  <c r="V198" i="6"/>
  <c r="V191" i="6"/>
  <c r="W101" i="6"/>
  <c r="U199" i="6"/>
  <c r="U51" i="6" s="1"/>
  <c r="U52" i="6" s="1"/>
  <c r="V193" i="6"/>
  <c r="U93" i="6"/>
  <c r="X102" i="6"/>
  <c r="V199" i="6" l="1"/>
  <c r="V51" i="6" s="1"/>
  <c r="V52" i="6" s="1"/>
  <c r="W193" i="6"/>
  <c r="V93" i="6"/>
  <c r="U73" i="6"/>
  <c r="U75" i="6"/>
  <c r="W191" i="6"/>
  <c r="X101" i="6"/>
  <c r="W198" i="6"/>
  <c r="U234" i="6"/>
  <c r="Y102" i="6"/>
  <c r="X198" i="6" l="1"/>
  <c r="V234" i="6"/>
  <c r="X191" i="6"/>
  <c r="Y101" i="6"/>
  <c r="AM213" i="6"/>
  <c r="U7" i="6"/>
  <c r="Z102" i="6"/>
  <c r="X193" i="6"/>
  <c r="W199" i="6"/>
  <c r="W51" i="6" s="1"/>
  <c r="W52" i="6" s="1"/>
  <c r="W93" i="6"/>
  <c r="U83" i="6"/>
  <c r="V73" i="6"/>
  <c r="V75" i="6"/>
  <c r="AN213" i="6" l="1"/>
  <c r="V7" i="6"/>
  <c r="W75" i="6"/>
  <c r="W73" i="6"/>
  <c r="W83" i="6" s="1"/>
  <c r="AA102" i="6"/>
  <c r="V83" i="6"/>
  <c r="Y191" i="6"/>
  <c r="Z101" i="6"/>
  <c r="X199" i="6"/>
  <c r="X52" i="6" s="1"/>
  <c r="Y193" i="6"/>
  <c r="X93" i="6"/>
  <c r="W234" i="6"/>
  <c r="Y198" i="6"/>
  <c r="X234" i="6" l="1"/>
  <c r="Z198" i="6"/>
  <c r="AB102" i="6"/>
  <c r="Y199" i="6"/>
  <c r="Y51" i="6" s="1"/>
  <c r="Y52" i="6" s="1"/>
  <c r="Z193" i="6"/>
  <c r="Y93" i="6"/>
  <c r="AO213" i="6"/>
  <c r="W7" i="6"/>
  <c r="X75" i="6"/>
  <c r="X73" i="6"/>
  <c r="X83" i="6" s="1"/>
  <c r="Z191" i="6"/>
  <c r="AA101" i="6"/>
  <c r="AA193" i="6" l="1"/>
  <c r="Z199" i="6"/>
  <c r="Z93" i="6"/>
  <c r="AA191" i="6"/>
  <c r="AB101" i="6"/>
  <c r="Y75" i="6"/>
  <c r="Y73" i="6"/>
  <c r="AC102" i="6"/>
  <c r="AP213" i="6"/>
  <c r="X7" i="6"/>
  <c r="Y234" i="6"/>
  <c r="AA198" i="6"/>
  <c r="Y83" i="6" l="1"/>
  <c r="AQ213" i="6"/>
  <c r="Y7" i="6"/>
  <c r="AD102" i="6"/>
  <c r="Z234" i="6"/>
  <c r="AB198" i="6"/>
  <c r="AB191" i="6"/>
  <c r="AC101" i="6"/>
  <c r="AA199" i="6"/>
  <c r="AA51" i="6" s="1"/>
  <c r="AA52" i="6" s="1"/>
  <c r="AB193" i="6"/>
  <c r="AA93" i="6"/>
  <c r="AC191" i="6" l="1"/>
  <c r="AD101" i="6"/>
  <c r="AC193" i="6"/>
  <c r="AB199" i="6"/>
  <c r="AB51" i="6" s="1"/>
  <c r="AB52" i="6" s="1"/>
  <c r="AB93" i="6"/>
  <c r="AA234" i="6"/>
  <c r="AC198" i="6"/>
  <c r="AE102" i="6"/>
  <c r="AA75" i="6"/>
  <c r="AA73" i="6"/>
  <c r="AA83" i="6" l="1"/>
  <c r="AF102" i="6"/>
  <c r="AB75" i="6"/>
  <c r="AB73" i="6"/>
  <c r="AB83" i="6" s="1"/>
  <c r="AC199" i="6"/>
  <c r="AC51" i="6" s="1"/>
  <c r="AC52" i="6" s="1"/>
  <c r="AD193" i="6"/>
  <c r="AC93" i="6"/>
  <c r="AD198" i="6"/>
  <c r="AB234" i="6"/>
  <c r="AS213" i="6"/>
  <c r="AA7" i="6"/>
  <c r="AD191" i="6"/>
  <c r="AE101" i="6"/>
  <c r="AC234" i="6" l="1"/>
  <c r="AE198" i="6"/>
  <c r="AD199" i="6"/>
  <c r="AD51" i="6" s="1"/>
  <c r="AD52" i="6" s="1"/>
  <c r="AE193" i="6"/>
  <c r="AD93" i="6"/>
  <c r="AE191" i="6"/>
  <c r="AF101" i="6"/>
  <c r="AC75" i="6"/>
  <c r="AC73" i="6"/>
  <c r="AT213" i="6"/>
  <c r="AB7" i="6"/>
  <c r="B102" i="6"/>
  <c r="AF193" i="6" l="1"/>
  <c r="AE199" i="6"/>
  <c r="AE51" i="6" s="1"/>
  <c r="AE52" i="6" s="1"/>
  <c r="AE93" i="6"/>
  <c r="AD73" i="6"/>
  <c r="AD75" i="6"/>
  <c r="AU213" i="6"/>
  <c r="AC7" i="6"/>
  <c r="AF191" i="6"/>
  <c r="B101" i="6"/>
  <c r="B191" i="6" s="1"/>
  <c r="AD234" i="6"/>
  <c r="AF198" i="6"/>
  <c r="AC83" i="6"/>
  <c r="AD83" i="6" l="1"/>
  <c r="AV213" i="6"/>
  <c r="AD7" i="6"/>
  <c r="AE234" i="6"/>
  <c r="B198" i="6"/>
  <c r="AF234" i="6" s="1"/>
  <c r="AE75" i="6"/>
  <c r="AE73" i="6"/>
  <c r="AE83" i="6" s="1"/>
  <c r="AF199" i="6"/>
  <c r="AF51" i="6" s="1"/>
  <c r="AF52" i="6" s="1"/>
  <c r="B193" i="6"/>
  <c r="AF93" i="6"/>
  <c r="AF75" i="6" l="1"/>
  <c r="AF73" i="6"/>
  <c r="AW213" i="6"/>
  <c r="AE7" i="6"/>
  <c r="AI93" i="6"/>
  <c r="AH93" i="6"/>
  <c r="B199" i="6"/>
  <c r="AF83" i="6" l="1"/>
  <c r="AI51" i="6"/>
  <c r="AH51" i="6"/>
  <c r="AX213" i="6"/>
  <c r="AF7" i="6"/>
  <c r="AI52" i="6" l="1"/>
  <c r="AH52" i="6"/>
  <c r="AH73" i="6" l="1"/>
  <c r="AI73" i="6"/>
  <c r="T213" i="6"/>
  <c r="B7" i="6"/>
  <c r="A7" i="6" s="1"/>
  <c r="AH75" i="6"/>
  <c r="AI75" i="6"/>
  <c r="AI83" i="6" l="1"/>
  <c r="AH83" i="6"/>
  <c r="L95" i="4" l="1"/>
  <c r="L37" i="4"/>
  <c r="K37" i="4"/>
  <c r="J37" i="4"/>
  <c r="D95" i="4"/>
  <c r="D37" i="4"/>
  <c r="AH99" i="4"/>
  <c r="AI99" i="4" s="1"/>
  <c r="C95" i="4"/>
  <c r="C37" i="4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B234" i="5"/>
  <c r="S209" i="5"/>
  <c r="AG199" i="5"/>
  <c r="C199" i="5"/>
  <c r="E198" i="5"/>
  <c r="D234" i="5" s="1"/>
  <c r="D198" i="5"/>
  <c r="C234" i="5" s="1"/>
  <c r="D197" i="5"/>
  <c r="E197" i="5" s="1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E196" i="5"/>
  <c r="F196" i="5" s="1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D196" i="5"/>
  <c r="E195" i="5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5" i="5"/>
  <c r="E194" i="5"/>
  <c r="F194" i="5" s="1"/>
  <c r="G194" i="5" s="1"/>
  <c r="H194" i="5" s="1"/>
  <c r="I194" i="5" s="1"/>
  <c r="J194" i="5" s="1"/>
  <c r="K194" i="5" s="1"/>
  <c r="L194" i="5" s="1"/>
  <c r="M194" i="5" s="1"/>
  <c r="N194" i="5" s="1"/>
  <c r="O194" i="5" s="1"/>
  <c r="P194" i="5" s="1"/>
  <c r="Q194" i="5" s="1"/>
  <c r="R194" i="5" s="1"/>
  <c r="S194" i="5" s="1"/>
  <c r="T194" i="5" s="1"/>
  <c r="U194" i="5" s="1"/>
  <c r="V194" i="5" s="1"/>
  <c r="W194" i="5" s="1"/>
  <c r="X194" i="5" s="1"/>
  <c r="Y194" i="5" s="1"/>
  <c r="Z194" i="5" s="1"/>
  <c r="AA194" i="5" s="1"/>
  <c r="AB194" i="5" s="1"/>
  <c r="AC194" i="5" s="1"/>
  <c r="AD194" i="5" s="1"/>
  <c r="AE194" i="5" s="1"/>
  <c r="AF194" i="5" s="1"/>
  <c r="B194" i="5" s="1"/>
  <c r="D194" i="5"/>
  <c r="D193" i="5"/>
  <c r="D199" i="5" s="1"/>
  <c r="AG191" i="5"/>
  <c r="C191" i="5"/>
  <c r="E190" i="5"/>
  <c r="F190" i="5" s="1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D190" i="5"/>
  <c r="G189" i="5"/>
  <c r="H189" i="5" s="1"/>
  <c r="I189" i="5" s="1"/>
  <c r="J189" i="5" s="1"/>
  <c r="K189" i="5" s="1"/>
  <c r="L189" i="5" s="1"/>
  <c r="M189" i="5" s="1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F189" i="5"/>
  <c r="E189" i="5"/>
  <c r="D189" i="5"/>
  <c r="B189" i="5"/>
  <c r="E188" i="5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D188" i="5"/>
  <c r="D187" i="5"/>
  <c r="E187" i="5" s="1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I186" i="5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E186" i="5"/>
  <c r="F186" i="5" s="1"/>
  <c r="G186" i="5" s="1"/>
  <c r="H186" i="5" s="1"/>
  <c r="D186" i="5"/>
  <c r="H185" i="5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G185" i="5"/>
  <c r="F185" i="5"/>
  <c r="E185" i="5"/>
  <c r="D185" i="5"/>
  <c r="E184" i="5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4" i="5"/>
  <c r="E183" i="5"/>
  <c r="F183" i="5" s="1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D183" i="5"/>
  <c r="D182" i="5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F181" i="5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E181" i="5"/>
  <c r="D181" i="5"/>
  <c r="E180" i="5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D180" i="5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E178" i="5"/>
  <c r="F178" i="5" s="1"/>
  <c r="G178" i="5" s="1"/>
  <c r="H178" i="5" s="1"/>
  <c r="I178" i="5" s="1"/>
  <c r="J178" i="5" s="1"/>
  <c r="K178" i="5" s="1"/>
  <c r="L178" i="5" s="1"/>
  <c r="M178" i="5" s="1"/>
  <c r="N178" i="5" s="1"/>
  <c r="O178" i="5" s="1"/>
  <c r="P178" i="5" s="1"/>
  <c r="Q178" i="5" s="1"/>
  <c r="R178" i="5" s="1"/>
  <c r="S178" i="5" s="1"/>
  <c r="T178" i="5" s="1"/>
  <c r="U178" i="5" s="1"/>
  <c r="V178" i="5" s="1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B178" i="5" s="1"/>
  <c r="D178" i="5"/>
  <c r="F176" i="5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E176" i="5"/>
  <c r="D176" i="5"/>
  <c r="G175" i="5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D175" i="5"/>
  <c r="E175" i="5" s="1"/>
  <c r="F175" i="5" s="1"/>
  <c r="J174" i="5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E174" i="5"/>
  <c r="F174" i="5" s="1"/>
  <c r="G174" i="5" s="1"/>
  <c r="H174" i="5" s="1"/>
  <c r="I174" i="5" s="1"/>
  <c r="D174" i="5"/>
  <c r="D173" i="5"/>
  <c r="E173" i="5" s="1"/>
  <c r="F173" i="5" s="1"/>
  <c r="G173" i="5" s="1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F172" i="5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E172" i="5"/>
  <c r="D172" i="5"/>
  <c r="G171" i="5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D171" i="5"/>
  <c r="E171" i="5" s="1"/>
  <c r="F171" i="5" s="1"/>
  <c r="Q170" i="5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E170" i="5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D170" i="5"/>
  <c r="G169" i="5"/>
  <c r="H169" i="5" s="1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B169" i="5" s="1"/>
  <c r="D169" i="5"/>
  <c r="E169" i="5" s="1"/>
  <c r="F169" i="5" s="1"/>
  <c r="F167" i="5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E167" i="5"/>
  <c r="D167" i="5"/>
  <c r="D166" i="5"/>
  <c r="E166" i="5" s="1"/>
  <c r="F166" i="5" s="1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L165" i="5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I165" i="5"/>
  <c r="J165" i="5" s="1"/>
  <c r="K165" i="5" s="1"/>
  <c r="E165" i="5"/>
  <c r="F165" i="5" s="1"/>
  <c r="G165" i="5" s="1"/>
  <c r="H165" i="5" s="1"/>
  <c r="D165" i="5"/>
  <c r="J164" i="5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G164" i="5"/>
  <c r="H164" i="5" s="1"/>
  <c r="I164" i="5" s="1"/>
  <c r="D164" i="5"/>
  <c r="E164" i="5" s="1"/>
  <c r="F164" i="5" s="1"/>
  <c r="E163" i="5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D163" i="5"/>
  <c r="D162" i="5"/>
  <c r="E162" i="5" s="1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D161" i="5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F160" i="5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D160" i="5"/>
  <c r="E160" i="5" s="1"/>
  <c r="D159" i="5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J158" i="5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G158" i="5"/>
  <c r="H158" i="5" s="1"/>
  <c r="I158" i="5" s="1"/>
  <c r="E158" i="5"/>
  <c r="F158" i="5" s="1"/>
  <c r="D158" i="5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S156" i="5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I156" i="5"/>
  <c r="J156" i="5" s="1"/>
  <c r="K156" i="5" s="1"/>
  <c r="L156" i="5" s="1"/>
  <c r="M156" i="5" s="1"/>
  <c r="N156" i="5" s="1"/>
  <c r="O156" i="5" s="1"/>
  <c r="P156" i="5" s="1"/>
  <c r="Q156" i="5" s="1"/>
  <c r="R156" i="5" s="1"/>
  <c r="F156" i="5"/>
  <c r="G156" i="5" s="1"/>
  <c r="H156" i="5" s="1"/>
  <c r="E156" i="5"/>
  <c r="D156" i="5"/>
  <c r="F155" i="5"/>
  <c r="G155" i="5" s="1"/>
  <c r="H155" i="5" s="1"/>
  <c r="I155" i="5" s="1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B155" i="5" s="1"/>
  <c r="D155" i="5"/>
  <c r="E155" i="5" s="1"/>
  <c r="D153" i="5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D152" i="5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F151" i="5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E151" i="5"/>
  <c r="D151" i="5"/>
  <c r="F150" i="5"/>
  <c r="G150" i="5" s="1"/>
  <c r="H150" i="5" s="1"/>
  <c r="I150" i="5" s="1"/>
  <c r="J150" i="5" s="1"/>
  <c r="K150" i="5" s="1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AE150" i="5" s="1"/>
  <c r="AF150" i="5" s="1"/>
  <c r="B150" i="5" s="1"/>
  <c r="D150" i="5"/>
  <c r="E150" i="5" s="1"/>
  <c r="N148" i="5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J148" i="5"/>
  <c r="K148" i="5" s="1"/>
  <c r="L148" i="5" s="1"/>
  <c r="M148" i="5" s="1"/>
  <c r="D148" i="5"/>
  <c r="E148" i="5" s="1"/>
  <c r="F148" i="5" s="1"/>
  <c r="G148" i="5" s="1"/>
  <c r="H148" i="5" s="1"/>
  <c r="I148" i="5" s="1"/>
  <c r="E147" i="5"/>
  <c r="F147" i="5" s="1"/>
  <c r="G147" i="5" s="1"/>
  <c r="H147" i="5" s="1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B147" i="5" s="1"/>
  <c r="D147" i="5"/>
  <c r="J145" i="5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F145" i="5"/>
  <c r="G145" i="5" s="1"/>
  <c r="H145" i="5" s="1"/>
  <c r="I145" i="5" s="1"/>
  <c r="E145" i="5"/>
  <c r="D145" i="5"/>
  <c r="I144" i="5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F144" i="5"/>
  <c r="G144" i="5" s="1"/>
  <c r="H144" i="5" s="1"/>
  <c r="D144" i="5"/>
  <c r="E144" i="5" s="1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E142" i="5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D142" i="5"/>
  <c r="N141" i="5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K141" i="5"/>
  <c r="L141" i="5" s="1"/>
  <c r="M141" i="5" s="1"/>
  <c r="E141" i="5"/>
  <c r="F141" i="5" s="1"/>
  <c r="G141" i="5" s="1"/>
  <c r="H141" i="5" s="1"/>
  <c r="I141" i="5" s="1"/>
  <c r="J141" i="5" s="1"/>
  <c r="D141" i="5"/>
  <c r="N140" i="5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H140" i="5"/>
  <c r="I140" i="5" s="1"/>
  <c r="J140" i="5" s="1"/>
  <c r="K140" i="5" s="1"/>
  <c r="L140" i="5" s="1"/>
  <c r="M140" i="5" s="1"/>
  <c r="D140" i="5"/>
  <c r="E140" i="5" s="1"/>
  <c r="F140" i="5" s="1"/>
  <c r="G140" i="5" s="1"/>
  <c r="G139" i="5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B139" i="5" s="1"/>
  <c r="E139" i="5"/>
  <c r="F139" i="5" s="1"/>
  <c r="D139" i="5"/>
  <c r="J137" i="5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D137" i="5"/>
  <c r="E137" i="5" s="1"/>
  <c r="F137" i="5" s="1"/>
  <c r="G137" i="5" s="1"/>
  <c r="H137" i="5" s="1"/>
  <c r="I137" i="5" s="1"/>
  <c r="D136" i="5"/>
  <c r="E136" i="5" s="1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D135" i="5"/>
  <c r="E135" i="5" s="1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E134" i="5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D134" i="5"/>
  <c r="G133" i="5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D133" i="5"/>
  <c r="E133" i="5" s="1"/>
  <c r="F133" i="5" s="1"/>
  <c r="E132" i="5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D132" i="5"/>
  <c r="D131" i="5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I130" i="5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B130" i="5" s="1"/>
  <c r="F130" i="5"/>
  <c r="G130" i="5" s="1"/>
  <c r="H130" i="5" s="1"/>
  <c r="E130" i="5"/>
  <c r="D130" i="5"/>
  <c r="I128" i="5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G128" i="5"/>
  <c r="H128" i="5" s="1"/>
  <c r="D128" i="5"/>
  <c r="E128" i="5" s="1"/>
  <c r="F128" i="5" s="1"/>
  <c r="G127" i="5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F127" i="5"/>
  <c r="E127" i="5"/>
  <c r="D127" i="5"/>
  <c r="D126" i="5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E124" i="5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D124" i="5"/>
  <c r="H123" i="5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E123" i="5"/>
  <c r="F123" i="5" s="1"/>
  <c r="G123" i="5" s="1"/>
  <c r="D123" i="5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D121" i="5"/>
  <c r="E121" i="5" s="1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D120" i="5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E119" i="5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D119" i="5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I117" i="5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D117" i="5"/>
  <c r="E117" i="5" s="1"/>
  <c r="F117" i="5" s="1"/>
  <c r="G117" i="5" s="1"/>
  <c r="H117" i="5" s="1"/>
  <c r="D116" i="5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E115" i="5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D115" i="5"/>
  <c r="D114" i="5"/>
  <c r="E114" i="5" s="1"/>
  <c r="K113" i="5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H113" i="5"/>
  <c r="I113" i="5" s="1"/>
  <c r="D113" i="5"/>
  <c r="E113" i="5" s="1"/>
  <c r="F113" i="5" s="1"/>
  <c r="G113" i="5" s="1"/>
  <c r="F112" i="5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E112" i="5"/>
  <c r="D112" i="5"/>
  <c r="D111" i="5"/>
  <c r="E111" i="5" s="1"/>
  <c r="F111" i="5" s="1"/>
  <c r="G111" i="5" s="1"/>
  <c r="H111" i="5" s="1"/>
  <c r="I111" i="5" s="1"/>
  <c r="J111" i="5" s="1"/>
  <c r="K111" i="5" s="1"/>
  <c r="L111" i="5" s="1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B111" i="5" s="1"/>
  <c r="D109" i="5"/>
  <c r="E109" i="5" s="1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B109" i="5" s="1"/>
  <c r="G108" i="5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B108" i="5" s="1"/>
  <c r="D108" i="5"/>
  <c r="E108" i="5" s="1"/>
  <c r="F108" i="5" s="1"/>
  <c r="E106" i="5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D106" i="5"/>
  <c r="D105" i="5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D104" i="5"/>
  <c r="E104" i="5" s="1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D103" i="5"/>
  <c r="E103" i="5" s="1"/>
  <c r="F103" i="5" s="1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B103" i="5" s="1"/>
  <c r="F102" i="5"/>
  <c r="G102" i="5" s="1"/>
  <c r="E102" i="5"/>
  <c r="D102" i="5"/>
  <c r="D101" i="5"/>
  <c r="D191" i="5" s="1"/>
  <c r="AI98" i="5"/>
  <c r="AH98" i="5"/>
  <c r="AH97" i="5"/>
  <c r="AI97" i="5" s="1"/>
  <c r="AH96" i="5"/>
  <c r="AI96" i="5" s="1"/>
  <c r="AI95" i="5"/>
  <c r="AH95" i="5"/>
  <c r="AI94" i="5"/>
  <c r="AH94" i="5"/>
  <c r="D93" i="5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G82" i="5"/>
  <c r="Z82" i="5"/>
  <c r="R82" i="5"/>
  <c r="J82" i="5"/>
  <c r="B82" i="5"/>
  <c r="AI81" i="5"/>
  <c r="AH81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H80" i="5" s="1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H79" i="5" s="1"/>
  <c r="C79" i="5"/>
  <c r="B79" i="5"/>
  <c r="AI79" i="5" s="1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I78" i="5" s="1"/>
  <c r="AF77" i="5"/>
  <c r="AF82" i="5" s="1"/>
  <c r="AE77" i="5"/>
  <c r="AD77" i="5"/>
  <c r="AC77" i="5"/>
  <c r="AB77" i="5"/>
  <c r="AA77" i="5"/>
  <c r="AA82" i="5" s="1"/>
  <c r="Z77" i="5"/>
  <c r="Y77" i="5"/>
  <c r="X77" i="5"/>
  <c r="X82" i="5" s="1"/>
  <c r="W77" i="5"/>
  <c r="V77" i="5"/>
  <c r="U77" i="5"/>
  <c r="T77" i="5"/>
  <c r="S77" i="5"/>
  <c r="S82" i="5" s="1"/>
  <c r="R77" i="5"/>
  <c r="Q77" i="5"/>
  <c r="P77" i="5"/>
  <c r="P82" i="5" s="1"/>
  <c r="O77" i="5"/>
  <c r="N77" i="5"/>
  <c r="M77" i="5"/>
  <c r="L77" i="5"/>
  <c r="K77" i="5"/>
  <c r="K82" i="5" s="1"/>
  <c r="J77" i="5"/>
  <c r="I77" i="5"/>
  <c r="H77" i="5"/>
  <c r="H82" i="5" s="1"/>
  <c r="G77" i="5"/>
  <c r="F77" i="5"/>
  <c r="AH77" i="5" s="1"/>
  <c r="E77" i="5"/>
  <c r="D77" i="5"/>
  <c r="C77" i="5"/>
  <c r="C82" i="5" s="1"/>
  <c r="B77" i="5"/>
  <c r="AI77" i="5" s="1"/>
  <c r="AF76" i="5"/>
  <c r="AE76" i="5"/>
  <c r="AE82" i="5" s="1"/>
  <c r="AD76" i="5"/>
  <c r="AD82" i="5" s="1"/>
  <c r="AC76" i="5"/>
  <c r="AC82" i="5" s="1"/>
  <c r="AB76" i="5"/>
  <c r="AB82" i="5" s="1"/>
  <c r="AA76" i="5"/>
  <c r="Z76" i="5"/>
  <c r="Y76" i="5"/>
  <c r="Y82" i="5" s="1"/>
  <c r="X76" i="5"/>
  <c r="W76" i="5"/>
  <c r="W82" i="5" s="1"/>
  <c r="V76" i="5"/>
  <c r="V82" i="5" s="1"/>
  <c r="U76" i="5"/>
  <c r="U82" i="5" s="1"/>
  <c r="T76" i="5"/>
  <c r="T82" i="5" s="1"/>
  <c r="S76" i="5"/>
  <c r="R76" i="5"/>
  <c r="Q76" i="5"/>
  <c r="Q82" i="5" s="1"/>
  <c r="P76" i="5"/>
  <c r="O76" i="5"/>
  <c r="O82" i="5" s="1"/>
  <c r="N76" i="5"/>
  <c r="N82" i="5" s="1"/>
  <c r="M76" i="5"/>
  <c r="M82" i="5" s="1"/>
  <c r="L76" i="5"/>
  <c r="L82" i="5" s="1"/>
  <c r="K76" i="5"/>
  <c r="J76" i="5"/>
  <c r="I76" i="5"/>
  <c r="AH76" i="5" s="1"/>
  <c r="H76" i="5"/>
  <c r="G76" i="5"/>
  <c r="G82" i="5" s="1"/>
  <c r="F76" i="5"/>
  <c r="F82" i="5" s="1"/>
  <c r="E76" i="5"/>
  <c r="E82" i="5" s="1"/>
  <c r="D76" i="5"/>
  <c r="D82" i="5" s="1"/>
  <c r="C76" i="5"/>
  <c r="B76" i="5"/>
  <c r="AI76" i="5" s="1"/>
  <c r="AI74" i="5"/>
  <c r="AH74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I71" i="5"/>
  <c r="AH71" i="5"/>
  <c r="AI70" i="5"/>
  <c r="AH70" i="5"/>
  <c r="AI69" i="5"/>
  <c r="AH69" i="5"/>
  <c r="AG68" i="5"/>
  <c r="AG73" i="5" s="1"/>
  <c r="AF68" i="5"/>
  <c r="AE68" i="5"/>
  <c r="AD5" i="5" s="1"/>
  <c r="AD68" i="5"/>
  <c r="AC68" i="5"/>
  <c r="AB68" i="5"/>
  <c r="AA5" i="5" s="1"/>
  <c r="AA68" i="5"/>
  <c r="Z68" i="5"/>
  <c r="Y68" i="5"/>
  <c r="X68" i="5"/>
  <c r="W68" i="5"/>
  <c r="V5" i="5" s="1"/>
  <c r="V68" i="5"/>
  <c r="U68" i="5"/>
  <c r="T68" i="5"/>
  <c r="S5" i="5" s="1"/>
  <c r="S68" i="5"/>
  <c r="R68" i="5"/>
  <c r="Q68" i="5"/>
  <c r="P68" i="5"/>
  <c r="O68" i="5"/>
  <c r="N5" i="5" s="1"/>
  <c r="N68" i="5"/>
  <c r="M68" i="5"/>
  <c r="L68" i="5"/>
  <c r="K5" i="5" s="1"/>
  <c r="K68" i="5"/>
  <c r="J68" i="5"/>
  <c r="I68" i="5"/>
  <c r="H68" i="5"/>
  <c r="G68" i="5"/>
  <c r="F5" i="5" s="1"/>
  <c r="F68" i="5"/>
  <c r="E68" i="5"/>
  <c r="D68" i="5"/>
  <c r="C5" i="5" s="1"/>
  <c r="C68" i="5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I56" i="5" s="1"/>
  <c r="AI55" i="5"/>
  <c r="AH55" i="5"/>
  <c r="AI54" i="5"/>
  <c r="AH54" i="5"/>
  <c r="AI53" i="5"/>
  <c r="AH53" i="5"/>
  <c r="AG52" i="5"/>
  <c r="AG3" i="5" s="1"/>
  <c r="AG6" i="5" s="1"/>
  <c r="Z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G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S75" i="5" s="1"/>
  <c r="R38" i="5"/>
  <c r="Q38" i="5"/>
  <c r="P38" i="5"/>
  <c r="P73" i="5" s="1"/>
  <c r="O38" i="5"/>
  <c r="O73" i="5" s="1"/>
  <c r="N38" i="5"/>
  <c r="N75" i="5" s="1"/>
  <c r="M38" i="5"/>
  <c r="M73" i="5" s="1"/>
  <c r="L38" i="5"/>
  <c r="K38" i="5"/>
  <c r="K75" i="5" s="1"/>
  <c r="J38" i="5"/>
  <c r="I38" i="5"/>
  <c r="H38" i="5"/>
  <c r="H73" i="5" s="1"/>
  <c r="G38" i="5"/>
  <c r="G73" i="5" s="1"/>
  <c r="F38" i="5"/>
  <c r="F75" i="5" s="1"/>
  <c r="E38" i="5"/>
  <c r="E73" i="5" s="1"/>
  <c r="D38" i="5"/>
  <c r="C38" i="5"/>
  <c r="B38" i="5"/>
  <c r="AI38" i="5" s="1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E5" i="5"/>
  <c r="AC5" i="5"/>
  <c r="AB5" i="5"/>
  <c r="Z5" i="5"/>
  <c r="Y5" i="5"/>
  <c r="W5" i="5"/>
  <c r="U5" i="5"/>
  <c r="T5" i="5"/>
  <c r="R5" i="5"/>
  <c r="Q5" i="5"/>
  <c r="O5" i="5"/>
  <c r="M5" i="5"/>
  <c r="L5" i="5"/>
  <c r="J5" i="5"/>
  <c r="I5" i="5"/>
  <c r="G5" i="5"/>
  <c r="E5" i="5"/>
  <c r="D5" i="5"/>
  <c r="B5" i="5"/>
  <c r="AG4" i="5"/>
  <c r="K4" i="5"/>
  <c r="AG2" i="5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C234" i="4"/>
  <c r="B234" i="4"/>
  <c r="S209" i="4"/>
  <c r="AG199" i="4"/>
  <c r="C199" i="4"/>
  <c r="F198" i="4"/>
  <c r="E198" i="4"/>
  <c r="D234" i="4" s="1"/>
  <c r="D198" i="4"/>
  <c r="D197" i="4"/>
  <c r="E197" i="4" s="1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D196" i="4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E195" i="4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D195" i="4"/>
  <c r="F194" i="4"/>
  <c r="G194" i="4" s="1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B194" i="4" s="1"/>
  <c r="E194" i="4"/>
  <c r="D194" i="4"/>
  <c r="D193" i="4"/>
  <c r="AG191" i="4"/>
  <c r="C191" i="4"/>
  <c r="J190" i="4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D190" i="4"/>
  <c r="E190" i="4" s="1"/>
  <c r="F190" i="4" s="1"/>
  <c r="G190" i="4" s="1"/>
  <c r="H190" i="4" s="1"/>
  <c r="I190" i="4" s="1"/>
  <c r="H189" i="4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E189" i="4"/>
  <c r="F189" i="4" s="1"/>
  <c r="G189" i="4" s="1"/>
  <c r="D189" i="4"/>
  <c r="D188" i="4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D187" i="4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O186" i="4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J186" i="4"/>
  <c r="K186" i="4" s="1"/>
  <c r="L186" i="4" s="1"/>
  <c r="M186" i="4" s="1"/>
  <c r="N186" i="4" s="1"/>
  <c r="G186" i="4"/>
  <c r="H186" i="4" s="1"/>
  <c r="I186" i="4" s="1"/>
  <c r="F186" i="4"/>
  <c r="E186" i="4"/>
  <c r="D186" i="4"/>
  <c r="E185" i="4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D185" i="4"/>
  <c r="F184" i="4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D184" i="4"/>
  <c r="E184" i="4" s="1"/>
  <c r="H183" i="4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D183" i="4"/>
  <c r="E183" i="4" s="1"/>
  <c r="F183" i="4" s="1"/>
  <c r="G183" i="4" s="1"/>
  <c r="G182" i="4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F182" i="4"/>
  <c r="E182" i="4"/>
  <c r="D182" i="4"/>
  <c r="D181" i="4"/>
  <c r="E181" i="4" s="1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I180" i="4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F180" i="4"/>
  <c r="G180" i="4" s="1"/>
  <c r="H180" i="4" s="1"/>
  <c r="D180" i="4"/>
  <c r="E180" i="4" s="1"/>
  <c r="D179" i="4"/>
  <c r="E179" i="4" s="1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O178" i="4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B178" i="4" s="1"/>
  <c r="E178" i="4"/>
  <c r="F178" i="4" s="1"/>
  <c r="G178" i="4" s="1"/>
  <c r="H178" i="4" s="1"/>
  <c r="I178" i="4" s="1"/>
  <c r="J178" i="4" s="1"/>
  <c r="K178" i="4" s="1"/>
  <c r="L178" i="4" s="1"/>
  <c r="M178" i="4" s="1"/>
  <c r="N178" i="4" s="1"/>
  <c r="D178" i="4"/>
  <c r="D176" i="4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W175" i="4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G175" i="4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E175" i="4"/>
  <c r="F175" i="4" s="1"/>
  <c r="D175" i="4"/>
  <c r="E174" i="4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D174" i="4"/>
  <c r="F173" i="4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E173" i="4"/>
  <c r="D173" i="4"/>
  <c r="B173" i="4"/>
  <c r="D172" i="4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G171" i="4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E171" i="4"/>
  <c r="F171" i="4" s="1"/>
  <c r="D171" i="4"/>
  <c r="E170" i="4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D170" i="4"/>
  <c r="AA169" i="4"/>
  <c r="AB169" i="4" s="1"/>
  <c r="AC169" i="4" s="1"/>
  <c r="AD169" i="4" s="1"/>
  <c r="AE169" i="4" s="1"/>
  <c r="AF169" i="4" s="1"/>
  <c r="B169" i="4" s="1"/>
  <c r="K169" i="4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F169" i="4"/>
  <c r="G169" i="4" s="1"/>
  <c r="H169" i="4" s="1"/>
  <c r="I169" i="4" s="1"/>
  <c r="J169" i="4" s="1"/>
  <c r="E169" i="4"/>
  <c r="D169" i="4"/>
  <c r="D167" i="4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B167" i="4" s="1"/>
  <c r="E166" i="4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D166" i="4"/>
  <c r="E165" i="4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D165" i="4"/>
  <c r="Q164" i="4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F164" i="4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E164" i="4"/>
  <c r="D164" i="4"/>
  <c r="T163" i="4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B163" i="4" s="1"/>
  <c r="D163" i="4"/>
  <c r="E163" i="4" s="1"/>
  <c r="F163" i="4" s="1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E162" i="4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D162" i="4"/>
  <c r="E161" i="4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D161" i="4"/>
  <c r="G160" i="4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F160" i="4"/>
  <c r="E160" i="4"/>
  <c r="D160" i="4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E157" i="4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D157" i="4"/>
  <c r="P156" i="4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B156" i="4" s="1"/>
  <c r="H156" i="4"/>
  <c r="I156" i="4" s="1"/>
  <c r="J156" i="4" s="1"/>
  <c r="K156" i="4" s="1"/>
  <c r="L156" i="4" s="1"/>
  <c r="M156" i="4" s="1"/>
  <c r="N156" i="4" s="1"/>
  <c r="O156" i="4" s="1"/>
  <c r="D156" i="4"/>
  <c r="E156" i="4" s="1"/>
  <c r="F156" i="4" s="1"/>
  <c r="G156" i="4" s="1"/>
  <c r="N155" i="4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B155" i="4" s="1"/>
  <c r="F155" i="4"/>
  <c r="G155" i="4" s="1"/>
  <c r="H155" i="4" s="1"/>
  <c r="I155" i="4" s="1"/>
  <c r="J155" i="4" s="1"/>
  <c r="K155" i="4" s="1"/>
  <c r="L155" i="4" s="1"/>
  <c r="M155" i="4" s="1"/>
  <c r="D155" i="4"/>
  <c r="E155" i="4" s="1"/>
  <c r="AB153" i="4"/>
  <c r="AC153" i="4" s="1"/>
  <c r="AD153" i="4" s="1"/>
  <c r="AE153" i="4" s="1"/>
  <c r="AF153" i="4" s="1"/>
  <c r="B153" i="4" s="1"/>
  <c r="T153" i="4"/>
  <c r="U153" i="4" s="1"/>
  <c r="V153" i="4" s="1"/>
  <c r="W153" i="4" s="1"/>
  <c r="X153" i="4" s="1"/>
  <c r="Y153" i="4" s="1"/>
  <c r="Z153" i="4" s="1"/>
  <c r="AA153" i="4" s="1"/>
  <c r="L153" i="4"/>
  <c r="M153" i="4" s="1"/>
  <c r="N153" i="4" s="1"/>
  <c r="O153" i="4" s="1"/>
  <c r="P153" i="4" s="1"/>
  <c r="Q153" i="4" s="1"/>
  <c r="R153" i="4" s="1"/>
  <c r="S153" i="4" s="1"/>
  <c r="D153" i="4"/>
  <c r="E153" i="4" s="1"/>
  <c r="F153" i="4" s="1"/>
  <c r="G153" i="4" s="1"/>
  <c r="H153" i="4" s="1"/>
  <c r="I153" i="4" s="1"/>
  <c r="J153" i="4" s="1"/>
  <c r="K153" i="4" s="1"/>
  <c r="R152" i="4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J152" i="4"/>
  <c r="K152" i="4" s="1"/>
  <c r="L152" i="4" s="1"/>
  <c r="M152" i="4" s="1"/>
  <c r="N152" i="4" s="1"/>
  <c r="O152" i="4" s="1"/>
  <c r="P152" i="4" s="1"/>
  <c r="Q152" i="4" s="1"/>
  <c r="E152" i="4"/>
  <c r="F152" i="4" s="1"/>
  <c r="G152" i="4" s="1"/>
  <c r="H152" i="4" s="1"/>
  <c r="I152" i="4" s="1"/>
  <c r="D152" i="4"/>
  <c r="D151" i="4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N150" i="4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B150" i="4" s="1"/>
  <c r="F150" i="4"/>
  <c r="G150" i="4" s="1"/>
  <c r="H150" i="4" s="1"/>
  <c r="I150" i="4" s="1"/>
  <c r="J150" i="4" s="1"/>
  <c r="K150" i="4" s="1"/>
  <c r="L150" i="4" s="1"/>
  <c r="M150" i="4" s="1"/>
  <c r="D150" i="4"/>
  <c r="E150" i="4" s="1"/>
  <c r="L148" i="4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D148" i="4"/>
  <c r="E148" i="4" s="1"/>
  <c r="F148" i="4" s="1"/>
  <c r="G148" i="4" s="1"/>
  <c r="H148" i="4" s="1"/>
  <c r="I148" i="4" s="1"/>
  <c r="J148" i="4" s="1"/>
  <c r="K148" i="4" s="1"/>
  <c r="R147" i="4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B147" i="4" s="1"/>
  <c r="J147" i="4"/>
  <c r="K147" i="4" s="1"/>
  <c r="L147" i="4" s="1"/>
  <c r="M147" i="4" s="1"/>
  <c r="N147" i="4" s="1"/>
  <c r="O147" i="4" s="1"/>
  <c r="P147" i="4" s="1"/>
  <c r="Q147" i="4" s="1"/>
  <c r="E147" i="4"/>
  <c r="F147" i="4" s="1"/>
  <c r="G147" i="4" s="1"/>
  <c r="H147" i="4" s="1"/>
  <c r="I147" i="4" s="1"/>
  <c r="D147" i="4"/>
  <c r="D145" i="4"/>
  <c r="E145" i="4" s="1"/>
  <c r="F145" i="4" s="1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AB144" i="4"/>
  <c r="AC144" i="4" s="1"/>
  <c r="AD144" i="4" s="1"/>
  <c r="AE144" i="4" s="1"/>
  <c r="AF144" i="4" s="1"/>
  <c r="B144" i="4" s="1"/>
  <c r="D144" i="4"/>
  <c r="E144" i="4" s="1"/>
  <c r="F144" i="4" s="1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J143" i="4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G143" i="4"/>
  <c r="H143" i="4" s="1"/>
  <c r="I143" i="4" s="1"/>
  <c r="E143" i="4"/>
  <c r="F143" i="4" s="1"/>
  <c r="D143" i="4"/>
  <c r="X142" i="4"/>
  <c r="Y142" i="4" s="1"/>
  <c r="Z142" i="4" s="1"/>
  <c r="AA142" i="4" s="1"/>
  <c r="AB142" i="4" s="1"/>
  <c r="AC142" i="4" s="1"/>
  <c r="AD142" i="4" s="1"/>
  <c r="AE142" i="4" s="1"/>
  <c r="AF142" i="4" s="1"/>
  <c r="B142" i="4" s="1"/>
  <c r="H142" i="4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F142" i="4"/>
  <c r="G142" i="4" s="1"/>
  <c r="E142" i="4"/>
  <c r="D142" i="4"/>
  <c r="F141" i="4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D141" i="4"/>
  <c r="E141" i="4" s="1"/>
  <c r="G140" i="4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F140" i="4"/>
  <c r="D140" i="4"/>
  <c r="E140" i="4" s="1"/>
  <c r="G139" i="4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B139" i="4" s="1"/>
  <c r="F139" i="4"/>
  <c r="E139" i="4"/>
  <c r="D139" i="4"/>
  <c r="D137" i="4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G136" i="4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F136" i="4"/>
  <c r="E136" i="4"/>
  <c r="D136" i="4"/>
  <c r="E135" i="4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D135" i="4"/>
  <c r="F134" i="4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E134" i="4"/>
  <c r="D134" i="4"/>
  <c r="Q133" i="4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I133" i="4"/>
  <c r="J133" i="4" s="1"/>
  <c r="K133" i="4" s="1"/>
  <c r="L133" i="4" s="1"/>
  <c r="M133" i="4" s="1"/>
  <c r="N133" i="4" s="1"/>
  <c r="O133" i="4" s="1"/>
  <c r="P133" i="4" s="1"/>
  <c r="D133" i="4"/>
  <c r="E133" i="4" s="1"/>
  <c r="F133" i="4" s="1"/>
  <c r="G133" i="4" s="1"/>
  <c r="H133" i="4" s="1"/>
  <c r="G132" i="4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F132" i="4"/>
  <c r="E132" i="4"/>
  <c r="D132" i="4"/>
  <c r="AC131" i="4"/>
  <c r="AD131" i="4" s="1"/>
  <c r="AE131" i="4" s="1"/>
  <c r="AF131" i="4" s="1"/>
  <c r="B131" i="4" s="1"/>
  <c r="M131" i="4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H131" i="4"/>
  <c r="I131" i="4" s="1"/>
  <c r="J131" i="4" s="1"/>
  <c r="K131" i="4" s="1"/>
  <c r="L131" i="4" s="1"/>
  <c r="E131" i="4"/>
  <c r="F131" i="4" s="1"/>
  <c r="G131" i="4" s="1"/>
  <c r="D131" i="4"/>
  <c r="N130" i="4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B130" i="4" s="1"/>
  <c r="K130" i="4"/>
  <c r="L130" i="4" s="1"/>
  <c r="M130" i="4" s="1"/>
  <c r="F130" i="4"/>
  <c r="G130" i="4" s="1"/>
  <c r="H130" i="4" s="1"/>
  <c r="I130" i="4" s="1"/>
  <c r="J130" i="4" s="1"/>
  <c r="E130" i="4"/>
  <c r="D130" i="4"/>
  <c r="D128" i="4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G127" i="4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F127" i="4"/>
  <c r="E127" i="4"/>
  <c r="D127" i="4"/>
  <c r="U126" i="4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I126" i="4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H126" i="4"/>
  <c r="E126" i="4"/>
  <c r="F126" i="4" s="1"/>
  <c r="G126" i="4" s="1"/>
  <c r="D126" i="4"/>
  <c r="K125" i="4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F125" i="4"/>
  <c r="G125" i="4" s="1"/>
  <c r="H125" i="4" s="1"/>
  <c r="I125" i="4" s="1"/>
  <c r="J125" i="4" s="1"/>
  <c r="E125" i="4"/>
  <c r="D125" i="4"/>
  <c r="D124" i="4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B124" i="4" s="1"/>
  <c r="G123" i="4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F123" i="4"/>
  <c r="E123" i="4"/>
  <c r="D123" i="4"/>
  <c r="D122" i="4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W121" i="4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O121" i="4"/>
  <c r="P121" i="4" s="1"/>
  <c r="Q121" i="4" s="1"/>
  <c r="R121" i="4" s="1"/>
  <c r="S121" i="4" s="1"/>
  <c r="T121" i="4" s="1"/>
  <c r="U121" i="4" s="1"/>
  <c r="V121" i="4" s="1"/>
  <c r="G121" i="4"/>
  <c r="H121" i="4" s="1"/>
  <c r="I121" i="4" s="1"/>
  <c r="J121" i="4" s="1"/>
  <c r="K121" i="4" s="1"/>
  <c r="L121" i="4" s="1"/>
  <c r="M121" i="4" s="1"/>
  <c r="N121" i="4" s="1"/>
  <c r="F121" i="4"/>
  <c r="E121" i="4"/>
  <c r="D121" i="4"/>
  <c r="Q120" i="4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I120" i="4"/>
  <c r="J120" i="4" s="1"/>
  <c r="K120" i="4" s="1"/>
  <c r="L120" i="4" s="1"/>
  <c r="M120" i="4" s="1"/>
  <c r="N120" i="4" s="1"/>
  <c r="O120" i="4" s="1"/>
  <c r="P120" i="4" s="1"/>
  <c r="D120" i="4"/>
  <c r="E120" i="4" s="1"/>
  <c r="F120" i="4" s="1"/>
  <c r="G120" i="4" s="1"/>
  <c r="H120" i="4" s="1"/>
  <c r="G119" i="4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F119" i="4"/>
  <c r="E119" i="4"/>
  <c r="D119" i="4"/>
  <c r="D118" i="4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E117" i="4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D117" i="4"/>
  <c r="D116" i="4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G115" i="4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E115" i="4"/>
  <c r="F115" i="4" s="1"/>
  <c r="D115" i="4"/>
  <c r="G114" i="4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D114" i="4"/>
  <c r="E114" i="4" s="1"/>
  <c r="F114" i="4" s="1"/>
  <c r="K113" i="4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D113" i="4"/>
  <c r="E113" i="4" s="1"/>
  <c r="F113" i="4" s="1"/>
  <c r="G113" i="4" s="1"/>
  <c r="H113" i="4" s="1"/>
  <c r="I113" i="4" s="1"/>
  <c r="G112" i="4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F112" i="4"/>
  <c r="D112" i="4"/>
  <c r="E112" i="4" s="1"/>
  <c r="I111" i="4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B111" i="4" s="1"/>
  <c r="F111" i="4"/>
  <c r="G111" i="4" s="1"/>
  <c r="H111" i="4" s="1"/>
  <c r="E111" i="4"/>
  <c r="D111" i="4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I108" i="4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B108" i="4" s="1"/>
  <c r="E108" i="4"/>
  <c r="F108" i="4" s="1"/>
  <c r="G108" i="4" s="1"/>
  <c r="H108" i="4" s="1"/>
  <c r="D108" i="4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I105" i="4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F105" i="4"/>
  <c r="G105" i="4" s="1"/>
  <c r="H105" i="4" s="1"/>
  <c r="E105" i="4"/>
  <c r="D105" i="4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I103" i="4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B103" i="4" s="1"/>
  <c r="E103" i="4"/>
  <c r="F103" i="4" s="1"/>
  <c r="G103" i="4" s="1"/>
  <c r="H103" i="4" s="1"/>
  <c r="D103" i="4"/>
  <c r="D102" i="4"/>
  <c r="E102" i="4" s="1"/>
  <c r="F101" i="4"/>
  <c r="E101" i="4"/>
  <c r="D101" i="4"/>
  <c r="AH98" i="4"/>
  <c r="AI98" i="4" s="1"/>
  <c r="AH97" i="4"/>
  <c r="AI97" i="4" s="1"/>
  <c r="AH96" i="4"/>
  <c r="AI96" i="4" s="1"/>
  <c r="AH95" i="4"/>
  <c r="AI95" i="4" s="1"/>
  <c r="B95" i="4"/>
  <c r="AH94" i="4"/>
  <c r="AI94" i="4" s="1"/>
  <c r="D93" i="4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AI81" i="4"/>
  <c r="AH81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F76" i="4"/>
  <c r="AE76" i="4"/>
  <c r="AD76" i="4"/>
  <c r="AC76" i="4"/>
  <c r="AB76" i="4"/>
  <c r="AA76" i="4"/>
  <c r="Z76" i="4"/>
  <c r="Y76" i="4"/>
  <c r="X76" i="4"/>
  <c r="X82" i="4" s="1"/>
  <c r="W76" i="4"/>
  <c r="V76" i="4"/>
  <c r="U76" i="4"/>
  <c r="T76" i="4"/>
  <c r="S76" i="4"/>
  <c r="R76" i="4"/>
  <c r="Q76" i="4"/>
  <c r="Q82" i="4" s="1"/>
  <c r="P76" i="4"/>
  <c r="O76" i="4"/>
  <c r="O82" i="4" s="1"/>
  <c r="N76" i="4"/>
  <c r="M76" i="4"/>
  <c r="L76" i="4"/>
  <c r="K76" i="4"/>
  <c r="J76" i="4"/>
  <c r="I76" i="4"/>
  <c r="H76" i="4"/>
  <c r="G76" i="4"/>
  <c r="F76" i="4"/>
  <c r="F82" i="4" s="1"/>
  <c r="E76" i="4"/>
  <c r="D76" i="4"/>
  <c r="C76" i="4"/>
  <c r="B76" i="4"/>
  <c r="AI74" i="4"/>
  <c r="AH74" i="4"/>
  <c r="AG72" i="4"/>
  <c r="AG75" i="4" s="1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I72" i="4" s="1"/>
  <c r="AI71" i="4"/>
  <c r="AH71" i="4"/>
  <c r="AI70" i="4"/>
  <c r="AH70" i="4"/>
  <c r="AI69" i="4"/>
  <c r="AH69" i="4"/>
  <c r="AG68" i="4"/>
  <c r="AG73" i="4" s="1"/>
  <c r="AF68" i="4"/>
  <c r="AE5" i="4" s="1"/>
  <c r="AE68" i="4"/>
  <c r="AD68" i="4"/>
  <c r="AC68" i="4"/>
  <c r="AB68" i="4"/>
  <c r="AA5" i="4" s="1"/>
  <c r="AA68" i="4"/>
  <c r="Z5" i="4" s="1"/>
  <c r="Z68" i="4"/>
  <c r="Y5" i="4" s="1"/>
  <c r="Y68" i="4"/>
  <c r="X5" i="4" s="1"/>
  <c r="X68" i="4"/>
  <c r="W5" i="4" s="1"/>
  <c r="W68" i="4"/>
  <c r="V68" i="4"/>
  <c r="U68" i="4"/>
  <c r="T68" i="4"/>
  <c r="S68" i="4"/>
  <c r="R5" i="4" s="1"/>
  <c r="R68" i="4"/>
  <c r="Q5" i="4" s="1"/>
  <c r="Q68" i="4"/>
  <c r="P68" i="4"/>
  <c r="O68" i="4"/>
  <c r="N68" i="4"/>
  <c r="M68" i="4"/>
  <c r="L5" i="4" s="1"/>
  <c r="L68" i="4"/>
  <c r="K5" i="4" s="1"/>
  <c r="K68" i="4"/>
  <c r="J5" i="4" s="1"/>
  <c r="J68" i="4"/>
  <c r="I5" i="4" s="1"/>
  <c r="I68" i="4"/>
  <c r="H5" i="4" s="1"/>
  <c r="H68" i="4"/>
  <c r="G68" i="4"/>
  <c r="F5" i="4" s="1"/>
  <c r="F68" i="4"/>
  <c r="E68" i="4"/>
  <c r="D5" i="4" s="1"/>
  <c r="D68" i="4"/>
  <c r="C5" i="4" s="1"/>
  <c r="C68" i="4"/>
  <c r="B5" i="4" s="1"/>
  <c r="B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I55" i="4"/>
  <c r="AH55" i="4"/>
  <c r="AI54" i="4"/>
  <c r="AH54" i="4"/>
  <c r="AI53" i="4"/>
  <c r="AH53" i="4"/>
  <c r="AG52" i="4"/>
  <c r="Z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G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37" i="4"/>
  <c r="AI37" i="4" s="1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D5" i="4"/>
  <c r="AB5" i="4"/>
  <c r="V5" i="4"/>
  <c r="T5" i="4"/>
  <c r="S5" i="4"/>
  <c r="P5" i="4"/>
  <c r="O5" i="4"/>
  <c r="N5" i="4"/>
  <c r="G5" i="4"/>
  <c r="AG4" i="4"/>
  <c r="K4" i="4"/>
  <c r="B4" i="4"/>
  <c r="AG3" i="4"/>
  <c r="AG2" i="4"/>
  <c r="AG6" i="4" s="1"/>
  <c r="E4" i="5"/>
  <c r="E4" i="4"/>
  <c r="X213" i="5" l="1"/>
  <c r="F7" i="5"/>
  <c r="AF213" i="5"/>
  <c r="N7" i="5"/>
  <c r="I73" i="5"/>
  <c r="Q73" i="5"/>
  <c r="J73" i="5"/>
  <c r="R73" i="5"/>
  <c r="Z73" i="5"/>
  <c r="C73" i="5"/>
  <c r="C75" i="5" s="1"/>
  <c r="K73" i="5"/>
  <c r="S73" i="5"/>
  <c r="E75" i="5"/>
  <c r="E7" i="5" s="1"/>
  <c r="M75" i="5"/>
  <c r="AE213" i="5" s="1"/>
  <c r="G75" i="5"/>
  <c r="O75" i="5"/>
  <c r="F73" i="5"/>
  <c r="F83" i="5" s="1"/>
  <c r="N73" i="5"/>
  <c r="N83" i="5" s="1"/>
  <c r="H75" i="5"/>
  <c r="H83" i="5" s="1"/>
  <c r="P75" i="5"/>
  <c r="AH213" i="5" s="1"/>
  <c r="AF82" i="4"/>
  <c r="AE82" i="4"/>
  <c r="AD82" i="4"/>
  <c r="AC82" i="4"/>
  <c r="AB82" i="4"/>
  <c r="Z82" i="4"/>
  <c r="Z73" i="4"/>
  <c r="Y82" i="4"/>
  <c r="W82" i="4"/>
  <c r="V82" i="4"/>
  <c r="U82" i="4"/>
  <c r="S82" i="4"/>
  <c r="T73" i="4"/>
  <c r="T82" i="4"/>
  <c r="S73" i="4"/>
  <c r="S83" i="4" s="1"/>
  <c r="S75" i="4"/>
  <c r="R82" i="4"/>
  <c r="R73" i="4"/>
  <c r="R75" i="4"/>
  <c r="R7" i="4" s="1"/>
  <c r="Q75" i="4"/>
  <c r="Q73" i="4"/>
  <c r="P82" i="4"/>
  <c r="P75" i="4"/>
  <c r="AH213" i="4" s="1"/>
  <c r="P73" i="4"/>
  <c r="O73" i="4"/>
  <c r="M82" i="4"/>
  <c r="N82" i="4"/>
  <c r="N73" i="4"/>
  <c r="AI76" i="4"/>
  <c r="M73" i="4"/>
  <c r="L82" i="4"/>
  <c r="L73" i="4"/>
  <c r="K82" i="4"/>
  <c r="K73" i="4"/>
  <c r="K75" i="4"/>
  <c r="K7" i="4" s="1"/>
  <c r="J82" i="4"/>
  <c r="J73" i="4"/>
  <c r="I82" i="4"/>
  <c r="H73" i="4"/>
  <c r="H82" i="4"/>
  <c r="H75" i="4"/>
  <c r="Z213" i="4" s="1"/>
  <c r="I75" i="4"/>
  <c r="AA213" i="4" s="1"/>
  <c r="I73" i="4"/>
  <c r="I83" i="4" s="1"/>
  <c r="G82" i="4"/>
  <c r="G73" i="4"/>
  <c r="G75" i="4"/>
  <c r="G7" i="4" s="1"/>
  <c r="AI79" i="4"/>
  <c r="AH79" i="4"/>
  <c r="F73" i="4"/>
  <c r="E82" i="4"/>
  <c r="E73" i="4"/>
  <c r="E75" i="4"/>
  <c r="W213" i="4" s="1"/>
  <c r="AI77" i="4"/>
  <c r="AH77" i="4"/>
  <c r="D82" i="4"/>
  <c r="D73" i="4"/>
  <c r="AH78" i="4"/>
  <c r="C82" i="4"/>
  <c r="AI68" i="4"/>
  <c r="AH80" i="4"/>
  <c r="AI56" i="4"/>
  <c r="AI38" i="4"/>
  <c r="C73" i="4"/>
  <c r="C75" i="4" s="1"/>
  <c r="U213" i="4" s="1"/>
  <c r="H4" i="5"/>
  <c r="Z213" i="5"/>
  <c r="H7" i="5"/>
  <c r="AG83" i="5"/>
  <c r="R83" i="5"/>
  <c r="Z83" i="5"/>
  <c r="C83" i="5"/>
  <c r="K83" i="5"/>
  <c r="S83" i="5"/>
  <c r="AC213" i="5"/>
  <c r="K7" i="5"/>
  <c r="AK213" i="5"/>
  <c r="S7" i="5"/>
  <c r="L83" i="5"/>
  <c r="U213" i="5"/>
  <c r="C7" i="5"/>
  <c r="Y213" i="5"/>
  <c r="G7" i="5"/>
  <c r="AG213" i="5"/>
  <c r="O7" i="5"/>
  <c r="H102" i="5"/>
  <c r="F114" i="5"/>
  <c r="E93" i="5"/>
  <c r="D73" i="5"/>
  <c r="L73" i="5"/>
  <c r="T73" i="5"/>
  <c r="T83" i="5" s="1"/>
  <c r="AI80" i="5"/>
  <c r="E83" i="5"/>
  <c r="M83" i="5"/>
  <c r="I75" i="5"/>
  <c r="Q75" i="5"/>
  <c r="AG75" i="5"/>
  <c r="H5" i="5"/>
  <c r="P5" i="5"/>
  <c r="X5" i="5"/>
  <c r="AF5" i="5"/>
  <c r="J75" i="5"/>
  <c r="J83" i="5" s="1"/>
  <c r="R75" i="5"/>
  <c r="Z75" i="5"/>
  <c r="I82" i="5"/>
  <c r="AI82" i="5" s="1"/>
  <c r="G83" i="5"/>
  <c r="O83" i="5"/>
  <c r="AH38" i="5"/>
  <c r="AH56" i="5"/>
  <c r="AH68" i="5"/>
  <c r="AH72" i="5"/>
  <c r="D75" i="5"/>
  <c r="D83" i="5" s="1"/>
  <c r="L75" i="5"/>
  <c r="T75" i="5"/>
  <c r="E101" i="5"/>
  <c r="AI68" i="5"/>
  <c r="AI72" i="5"/>
  <c r="AH78" i="5"/>
  <c r="S210" i="5"/>
  <c r="D210" i="5"/>
  <c r="F198" i="5"/>
  <c r="E193" i="5"/>
  <c r="H4" i="4"/>
  <c r="AC213" i="4"/>
  <c r="AK213" i="4"/>
  <c r="S7" i="4"/>
  <c r="Y213" i="4"/>
  <c r="H83" i="4"/>
  <c r="S210" i="4"/>
  <c r="D210" i="4"/>
  <c r="E5" i="4"/>
  <c r="M5" i="4"/>
  <c r="U5" i="4"/>
  <c r="AC5" i="4"/>
  <c r="F75" i="4"/>
  <c r="N75" i="4"/>
  <c r="AI78" i="4"/>
  <c r="G101" i="4"/>
  <c r="AI80" i="4"/>
  <c r="O75" i="4"/>
  <c r="O83" i="4" s="1"/>
  <c r="AH37" i="4"/>
  <c r="J75" i="4"/>
  <c r="Z75" i="4"/>
  <c r="Z83" i="4" s="1"/>
  <c r="H7" i="4"/>
  <c r="AH38" i="4"/>
  <c r="AG83" i="4"/>
  <c r="AH76" i="4"/>
  <c r="B82" i="4"/>
  <c r="AH56" i="4"/>
  <c r="AH68" i="4"/>
  <c r="AH72" i="4"/>
  <c r="D75" i="4"/>
  <c r="L75" i="4"/>
  <c r="L83" i="4" s="1"/>
  <c r="T75" i="4"/>
  <c r="T83" i="4" s="1"/>
  <c r="M75" i="4"/>
  <c r="AA82" i="4"/>
  <c r="E191" i="4"/>
  <c r="F102" i="4"/>
  <c r="F191" i="4" s="1"/>
  <c r="D191" i="4"/>
  <c r="D199" i="4"/>
  <c r="E193" i="4"/>
  <c r="E234" i="4"/>
  <c r="G198" i="4"/>
  <c r="W213" i="5" l="1"/>
  <c r="P83" i="5"/>
  <c r="M7" i="5"/>
  <c r="Q83" i="5"/>
  <c r="P7" i="5"/>
  <c r="R83" i="4"/>
  <c r="AJ213" i="4"/>
  <c r="P7" i="4"/>
  <c r="Q83" i="4"/>
  <c r="Q7" i="4"/>
  <c r="AI213" i="4"/>
  <c r="P83" i="4"/>
  <c r="N83" i="4"/>
  <c r="K83" i="4"/>
  <c r="I7" i="4"/>
  <c r="G83" i="4"/>
  <c r="E83" i="4"/>
  <c r="E7" i="4"/>
  <c r="F83" i="4"/>
  <c r="D83" i="4"/>
  <c r="C83" i="4"/>
  <c r="C7" i="4"/>
  <c r="AL213" i="5"/>
  <c r="T7" i="5"/>
  <c r="AA213" i="5"/>
  <c r="I7" i="5"/>
  <c r="AD213" i="5"/>
  <c r="L7" i="5"/>
  <c r="B208" i="5"/>
  <c r="G114" i="5"/>
  <c r="F93" i="5"/>
  <c r="C208" i="5"/>
  <c r="I102" i="5"/>
  <c r="AR213" i="5"/>
  <c r="Z7" i="5"/>
  <c r="F193" i="5"/>
  <c r="E199" i="5"/>
  <c r="E191" i="5"/>
  <c r="F101" i="5"/>
  <c r="AH82" i="5"/>
  <c r="AJ213" i="5"/>
  <c r="R7" i="5"/>
  <c r="I83" i="5"/>
  <c r="V213" i="5"/>
  <c r="D7" i="5"/>
  <c r="E234" i="5"/>
  <c r="G198" i="5"/>
  <c r="AB213" i="5"/>
  <c r="J7" i="5"/>
  <c r="AI213" i="5"/>
  <c r="Q7" i="5"/>
  <c r="F234" i="4"/>
  <c r="H198" i="4"/>
  <c r="H101" i="4"/>
  <c r="AE213" i="4"/>
  <c r="M7" i="4"/>
  <c r="F193" i="4"/>
  <c r="E199" i="4"/>
  <c r="AD213" i="4"/>
  <c r="L7" i="4"/>
  <c r="AI82" i="4"/>
  <c r="AH82" i="4"/>
  <c r="E93" i="4"/>
  <c r="V213" i="4"/>
  <c r="D7" i="4"/>
  <c r="AR213" i="4"/>
  <c r="Z7" i="4"/>
  <c r="G102" i="4"/>
  <c r="AB213" i="4"/>
  <c r="J7" i="4"/>
  <c r="J83" i="4"/>
  <c r="B208" i="4"/>
  <c r="AG213" i="4"/>
  <c r="O7" i="4"/>
  <c r="AF213" i="4"/>
  <c r="N7" i="4"/>
  <c r="C208" i="4"/>
  <c r="AL213" i="4"/>
  <c r="T7" i="4"/>
  <c r="X213" i="4"/>
  <c r="F7" i="4"/>
  <c r="M83" i="4"/>
  <c r="K6" i="5" l="1"/>
  <c r="K6" i="4"/>
  <c r="J102" i="5"/>
  <c r="F234" i="5"/>
  <c r="H198" i="5"/>
  <c r="F191" i="5"/>
  <c r="G101" i="5"/>
  <c r="G193" i="5"/>
  <c r="F199" i="5"/>
  <c r="H114" i="5"/>
  <c r="G193" i="4"/>
  <c r="F199" i="4"/>
  <c r="I101" i="4"/>
  <c r="G93" i="4"/>
  <c r="H102" i="4"/>
  <c r="G191" i="4"/>
  <c r="F93" i="4"/>
  <c r="G234" i="4"/>
  <c r="I198" i="4"/>
  <c r="G234" i="5" l="1"/>
  <c r="I198" i="5"/>
  <c r="H193" i="5"/>
  <c r="G199" i="5"/>
  <c r="G191" i="5"/>
  <c r="H101" i="5"/>
  <c r="G93" i="5"/>
  <c r="I114" i="5"/>
  <c r="H93" i="5"/>
  <c r="K102" i="5"/>
  <c r="H234" i="4"/>
  <c r="J198" i="4"/>
  <c r="J101" i="4"/>
  <c r="I102" i="4"/>
  <c r="I191" i="4" s="1"/>
  <c r="H93" i="4"/>
  <c r="H191" i="4"/>
  <c r="H193" i="4"/>
  <c r="G199" i="4"/>
  <c r="H191" i="5" l="1"/>
  <c r="I101" i="5"/>
  <c r="J114" i="5"/>
  <c r="I93" i="5"/>
  <c r="L102" i="5"/>
  <c r="I193" i="5"/>
  <c r="H199" i="5"/>
  <c r="H234" i="5"/>
  <c r="J198" i="5"/>
  <c r="K101" i="4"/>
  <c r="K198" i="4"/>
  <c r="I234" i="4"/>
  <c r="I193" i="4"/>
  <c r="H199" i="4"/>
  <c r="J102" i="4"/>
  <c r="I93" i="4"/>
  <c r="M102" i="5" l="1"/>
  <c r="I199" i="5"/>
  <c r="J193" i="5"/>
  <c r="K114" i="5"/>
  <c r="J93" i="5"/>
  <c r="K198" i="5"/>
  <c r="I234" i="5"/>
  <c r="I191" i="5"/>
  <c r="J101" i="5"/>
  <c r="I199" i="4"/>
  <c r="J193" i="4"/>
  <c r="L101" i="4"/>
  <c r="J93" i="4"/>
  <c r="K102" i="4"/>
  <c r="J234" i="4"/>
  <c r="L198" i="4"/>
  <c r="J191" i="4"/>
  <c r="L114" i="5" l="1"/>
  <c r="J234" i="5"/>
  <c r="L198" i="5"/>
  <c r="J199" i="5"/>
  <c r="K193" i="5"/>
  <c r="J191" i="5"/>
  <c r="K101" i="5"/>
  <c r="N102" i="5"/>
  <c r="L102" i="4"/>
  <c r="K93" i="4"/>
  <c r="M198" i="4"/>
  <c r="K234" i="4"/>
  <c r="K191" i="4"/>
  <c r="L191" i="4"/>
  <c r="M101" i="4"/>
  <c r="J199" i="4"/>
  <c r="K193" i="4"/>
  <c r="K191" i="5" l="1"/>
  <c r="L101" i="5"/>
  <c r="K199" i="5"/>
  <c r="L193" i="5"/>
  <c r="K234" i="5"/>
  <c r="M198" i="5"/>
  <c r="K93" i="5"/>
  <c r="O102" i="5"/>
  <c r="M114" i="5"/>
  <c r="L93" i="5"/>
  <c r="N101" i="4"/>
  <c r="L234" i="4"/>
  <c r="N198" i="4"/>
  <c r="K199" i="4"/>
  <c r="L193" i="4"/>
  <c r="M102" i="4"/>
  <c r="L93" i="4"/>
  <c r="L234" i="5" l="1"/>
  <c r="N198" i="5"/>
  <c r="L199" i="5"/>
  <c r="M193" i="5"/>
  <c r="L191" i="5"/>
  <c r="M101" i="5"/>
  <c r="P102" i="5"/>
  <c r="N114" i="5"/>
  <c r="M93" i="5"/>
  <c r="N102" i="4"/>
  <c r="M93" i="4"/>
  <c r="L199" i="4"/>
  <c r="M193" i="4"/>
  <c r="M234" i="4"/>
  <c r="O198" i="4"/>
  <c r="N191" i="4"/>
  <c r="O101" i="4"/>
  <c r="M191" i="4"/>
  <c r="N193" i="5" l="1"/>
  <c r="M199" i="5"/>
  <c r="Q102" i="5"/>
  <c r="M191" i="5"/>
  <c r="N101" i="5"/>
  <c r="M234" i="5"/>
  <c r="O198" i="5"/>
  <c r="O114" i="5"/>
  <c r="N93" i="5"/>
  <c r="N193" i="4"/>
  <c r="M199" i="4"/>
  <c r="P101" i="4"/>
  <c r="N234" i="4"/>
  <c r="P198" i="4"/>
  <c r="N93" i="4"/>
  <c r="O102" i="4"/>
  <c r="R102" i="5" l="1"/>
  <c r="N234" i="5"/>
  <c r="P198" i="5"/>
  <c r="N191" i="5"/>
  <c r="O101" i="5"/>
  <c r="P114" i="5"/>
  <c r="O93" i="5"/>
  <c r="O193" i="5"/>
  <c r="N199" i="5"/>
  <c r="P102" i="4"/>
  <c r="O234" i="4"/>
  <c r="Q198" i="4"/>
  <c r="P191" i="4"/>
  <c r="Q101" i="4"/>
  <c r="O191" i="4"/>
  <c r="O193" i="4"/>
  <c r="N199" i="4"/>
  <c r="O191" i="5" l="1"/>
  <c r="P101" i="5"/>
  <c r="Q114" i="5"/>
  <c r="O234" i="5"/>
  <c r="Q198" i="5"/>
  <c r="P193" i="5"/>
  <c r="O199" i="5"/>
  <c r="S102" i="5"/>
  <c r="P193" i="4"/>
  <c r="O199" i="4"/>
  <c r="R101" i="4"/>
  <c r="P234" i="4"/>
  <c r="R198" i="4"/>
  <c r="Q102" i="4"/>
  <c r="Q191" i="4" s="1"/>
  <c r="P93" i="4"/>
  <c r="O93" i="4"/>
  <c r="Q193" i="5" l="1"/>
  <c r="P199" i="5"/>
  <c r="P234" i="5"/>
  <c r="R198" i="5"/>
  <c r="P93" i="5"/>
  <c r="R114" i="5"/>
  <c r="Q93" i="5"/>
  <c r="P191" i="5"/>
  <c r="Q101" i="5"/>
  <c r="T102" i="5"/>
  <c r="S198" i="4"/>
  <c r="Q234" i="4"/>
  <c r="S101" i="4"/>
  <c r="R102" i="4"/>
  <c r="Q93" i="4"/>
  <c r="Q193" i="4"/>
  <c r="P199" i="4"/>
  <c r="S114" i="5" l="1"/>
  <c r="S198" i="5"/>
  <c r="Q234" i="5"/>
  <c r="U102" i="5"/>
  <c r="Q191" i="5"/>
  <c r="R101" i="5"/>
  <c r="Q199" i="5"/>
  <c r="R193" i="5"/>
  <c r="Q199" i="4"/>
  <c r="R193" i="4"/>
  <c r="R93" i="4"/>
  <c r="S102" i="4"/>
  <c r="S191" i="4"/>
  <c r="T101" i="4"/>
  <c r="R191" i="4"/>
  <c r="R234" i="4"/>
  <c r="T198" i="4"/>
  <c r="R191" i="5" l="1"/>
  <c r="S101" i="5"/>
  <c r="V102" i="5"/>
  <c r="R234" i="5"/>
  <c r="T198" i="5"/>
  <c r="R199" i="5"/>
  <c r="S193" i="5"/>
  <c r="R93" i="5"/>
  <c r="T114" i="5"/>
  <c r="T102" i="4"/>
  <c r="S93" i="4"/>
  <c r="R199" i="4"/>
  <c r="S193" i="4"/>
  <c r="T191" i="4"/>
  <c r="U101" i="4"/>
  <c r="U198" i="4"/>
  <c r="S234" i="4"/>
  <c r="S199" i="5" l="1"/>
  <c r="T193" i="5"/>
  <c r="S234" i="5"/>
  <c r="U198" i="5"/>
  <c r="W102" i="5"/>
  <c r="S93" i="5"/>
  <c r="U114" i="5"/>
  <c r="T93" i="5"/>
  <c r="S191" i="5"/>
  <c r="T101" i="5"/>
  <c r="T234" i="4"/>
  <c r="V198" i="4"/>
  <c r="V101" i="4"/>
  <c r="S199" i="4"/>
  <c r="T193" i="4"/>
  <c r="U102" i="4"/>
  <c r="T93" i="4"/>
  <c r="X102" i="5" l="1"/>
  <c r="V114" i="5"/>
  <c r="U93" i="5"/>
  <c r="T234" i="5"/>
  <c r="V198" i="5"/>
  <c r="T191" i="5"/>
  <c r="U101" i="5"/>
  <c r="T199" i="5"/>
  <c r="U193" i="5"/>
  <c r="V102" i="4"/>
  <c r="U93" i="4"/>
  <c r="T199" i="4"/>
  <c r="U193" i="4"/>
  <c r="V191" i="4"/>
  <c r="W101" i="4"/>
  <c r="U191" i="4"/>
  <c r="U234" i="4"/>
  <c r="W198" i="4"/>
  <c r="U191" i="5" l="1"/>
  <c r="V101" i="5"/>
  <c r="U234" i="5"/>
  <c r="W198" i="5"/>
  <c r="W114" i="5"/>
  <c r="V93" i="5"/>
  <c r="Y102" i="5"/>
  <c r="V193" i="5"/>
  <c r="U199" i="5"/>
  <c r="U51" i="5" s="1"/>
  <c r="U52" i="5" s="1"/>
  <c r="W191" i="4"/>
  <c r="X101" i="4"/>
  <c r="V193" i="4"/>
  <c r="U199" i="4"/>
  <c r="U51" i="4" s="1"/>
  <c r="U52" i="4" s="1"/>
  <c r="V234" i="4"/>
  <c r="X198" i="4"/>
  <c r="V93" i="4"/>
  <c r="W102" i="4"/>
  <c r="Z102" i="5" l="1"/>
  <c r="X114" i="5"/>
  <c r="W93" i="5"/>
  <c r="V234" i="5"/>
  <c r="X198" i="5"/>
  <c r="U73" i="5"/>
  <c r="U75" i="5"/>
  <c r="V191" i="5"/>
  <c r="W101" i="5"/>
  <c r="W193" i="5"/>
  <c r="V199" i="5"/>
  <c r="V51" i="5" s="1"/>
  <c r="V52" i="5" s="1"/>
  <c r="X102" i="4"/>
  <c r="W234" i="4"/>
  <c r="Y198" i="4"/>
  <c r="U75" i="4"/>
  <c r="U73" i="4"/>
  <c r="U83" i="4" s="1"/>
  <c r="W193" i="4"/>
  <c r="V199" i="4"/>
  <c r="V51" i="4" s="1"/>
  <c r="V52" i="4" s="1"/>
  <c r="X191" i="4"/>
  <c r="Y101" i="4"/>
  <c r="U83" i="5" l="1"/>
  <c r="W234" i="5"/>
  <c r="Y198" i="5"/>
  <c r="AM213" i="5"/>
  <c r="U7" i="5"/>
  <c r="V75" i="5"/>
  <c r="V73" i="5"/>
  <c r="V83" i="5" s="1"/>
  <c r="X193" i="5"/>
  <c r="W199" i="5"/>
  <c r="W51" i="5" s="1"/>
  <c r="W52" i="5" s="1"/>
  <c r="Y114" i="5"/>
  <c r="W191" i="5"/>
  <c r="X101" i="5"/>
  <c r="AA102" i="5"/>
  <c r="AM213" i="4"/>
  <c r="U7" i="4"/>
  <c r="V75" i="4"/>
  <c r="V73" i="4"/>
  <c r="X234" i="4"/>
  <c r="Z198" i="4"/>
  <c r="X193" i="4"/>
  <c r="W199" i="4"/>
  <c r="W51" i="4" s="1"/>
  <c r="W52" i="4" s="1"/>
  <c r="Z101" i="4"/>
  <c r="Y102" i="4"/>
  <c r="X93" i="4"/>
  <c r="W93" i="4"/>
  <c r="V83" i="4" l="1"/>
  <c r="AN213" i="5"/>
  <c r="V7" i="5"/>
  <c r="X191" i="5"/>
  <c r="Y101" i="5"/>
  <c r="AB102" i="5"/>
  <c r="Y193" i="5"/>
  <c r="X199" i="5"/>
  <c r="X51" i="5" s="1"/>
  <c r="X52" i="5" s="1"/>
  <c r="X93" i="5"/>
  <c r="X234" i="5"/>
  <c r="Z198" i="5"/>
  <c r="Z114" i="5"/>
  <c r="Y93" i="5"/>
  <c r="W73" i="5"/>
  <c r="W75" i="5"/>
  <c r="W73" i="4"/>
  <c r="W75" i="4"/>
  <c r="Y193" i="4"/>
  <c r="X199" i="4"/>
  <c r="X52" i="4" s="1"/>
  <c r="Z102" i="4"/>
  <c r="Y93" i="4"/>
  <c r="AN213" i="4"/>
  <c r="V7" i="4"/>
  <c r="AA101" i="4"/>
  <c r="AA198" i="4"/>
  <c r="Y234" i="4"/>
  <c r="Y191" i="4"/>
  <c r="W83" i="5" l="1"/>
  <c r="X73" i="5"/>
  <c r="X75" i="5"/>
  <c r="AO213" i="5"/>
  <c r="W7" i="5"/>
  <c r="Y199" i="5"/>
  <c r="Y51" i="5" s="1"/>
  <c r="Y52" i="5" s="1"/>
  <c r="Z193" i="5"/>
  <c r="AC102" i="5"/>
  <c r="AA114" i="5"/>
  <c r="Y191" i="5"/>
  <c r="Z101" i="5"/>
  <c r="AA198" i="5"/>
  <c r="Y234" i="5"/>
  <c r="AA102" i="4"/>
  <c r="X73" i="4"/>
  <c r="X75" i="4"/>
  <c r="Z234" i="4"/>
  <c r="AB198" i="4"/>
  <c r="Y199" i="4"/>
  <c r="Y51" i="4" s="1"/>
  <c r="Y52" i="4" s="1"/>
  <c r="Z193" i="4"/>
  <c r="AA191" i="4"/>
  <c r="AB101" i="4"/>
  <c r="AO213" i="4"/>
  <c r="W7" i="4"/>
  <c r="Z191" i="4"/>
  <c r="W83" i="4"/>
  <c r="X83" i="5" l="1"/>
  <c r="AD102" i="5"/>
  <c r="Z199" i="5"/>
  <c r="AA193" i="5"/>
  <c r="AB114" i="5"/>
  <c r="AA93" i="5"/>
  <c r="Z234" i="5"/>
  <c r="AB198" i="5"/>
  <c r="Y75" i="5"/>
  <c r="Y73" i="5"/>
  <c r="Y83" i="5" s="1"/>
  <c r="Z191" i="5"/>
  <c r="AA101" i="5"/>
  <c r="Z93" i="5"/>
  <c r="AP213" i="5"/>
  <c r="X7" i="5"/>
  <c r="AC198" i="4"/>
  <c r="AA234" i="4"/>
  <c r="Z199" i="4"/>
  <c r="AA193" i="4"/>
  <c r="AP213" i="4"/>
  <c r="X7" i="4"/>
  <c r="X83" i="4"/>
  <c r="Y75" i="4"/>
  <c r="Y73" i="4"/>
  <c r="AC101" i="4"/>
  <c r="AB102" i="4"/>
  <c r="AA93" i="4"/>
  <c r="Z93" i="4"/>
  <c r="AA191" i="5" l="1"/>
  <c r="AB101" i="5"/>
  <c r="AA199" i="5"/>
  <c r="AA51" i="5" s="1"/>
  <c r="AA52" i="5" s="1"/>
  <c r="AB193" i="5"/>
  <c r="AA234" i="5"/>
  <c r="AC198" i="5"/>
  <c r="AE102" i="5"/>
  <c r="AC114" i="5"/>
  <c r="AQ213" i="5"/>
  <c r="Y7" i="5"/>
  <c r="AC102" i="4"/>
  <c r="AB93" i="4"/>
  <c r="AA199" i="4"/>
  <c r="AA51" i="4" s="1"/>
  <c r="AA52" i="4" s="1"/>
  <c r="AB193" i="4"/>
  <c r="AQ213" i="4"/>
  <c r="Y7" i="4"/>
  <c r="AC191" i="4"/>
  <c r="AD101" i="4"/>
  <c r="AB191" i="4"/>
  <c r="Y83" i="4"/>
  <c r="AB234" i="4"/>
  <c r="AD198" i="4"/>
  <c r="AF102" i="5" l="1"/>
  <c r="AB234" i="5"/>
  <c r="AD198" i="5"/>
  <c r="AB199" i="5"/>
  <c r="AB51" i="5" s="1"/>
  <c r="AB52" i="5" s="1"/>
  <c r="AC193" i="5"/>
  <c r="AA75" i="5"/>
  <c r="AA73" i="5"/>
  <c r="AA83" i="5" s="1"/>
  <c r="AB93" i="5"/>
  <c r="AB191" i="5"/>
  <c r="AC101" i="5"/>
  <c r="AD114" i="5"/>
  <c r="AC93" i="5"/>
  <c r="AE101" i="4"/>
  <c r="AC234" i="4"/>
  <c r="AE198" i="4"/>
  <c r="AB199" i="4"/>
  <c r="AB51" i="4" s="1"/>
  <c r="AB52" i="4" s="1"/>
  <c r="AC193" i="4"/>
  <c r="AA75" i="4"/>
  <c r="AA73" i="4"/>
  <c r="AD102" i="4"/>
  <c r="AA83" i="4" l="1"/>
  <c r="AS213" i="5"/>
  <c r="AA7" i="5"/>
  <c r="AD193" i="5"/>
  <c r="AC199" i="5"/>
  <c r="AC51" i="5" s="1"/>
  <c r="AC52" i="5" s="1"/>
  <c r="AB75" i="5"/>
  <c r="AB73" i="5"/>
  <c r="AB83" i="5" s="1"/>
  <c r="AE114" i="5"/>
  <c r="AD93" i="5"/>
  <c r="AC234" i="5"/>
  <c r="AE198" i="5"/>
  <c r="AC191" i="5"/>
  <c r="AD101" i="5"/>
  <c r="B102" i="5"/>
  <c r="AS213" i="4"/>
  <c r="AA7" i="4"/>
  <c r="AD193" i="4"/>
  <c r="AC199" i="4"/>
  <c r="AC51" i="4" s="1"/>
  <c r="AC52" i="4" s="1"/>
  <c r="AB73" i="4"/>
  <c r="AB75" i="4"/>
  <c r="AD234" i="4"/>
  <c r="AF198" i="4"/>
  <c r="AC93" i="4"/>
  <c r="AF101" i="4"/>
  <c r="AD93" i="4"/>
  <c r="AE102" i="4"/>
  <c r="AD191" i="4"/>
  <c r="AF114" i="5" l="1"/>
  <c r="AE93" i="5"/>
  <c r="AT213" i="5"/>
  <c r="AB7" i="5"/>
  <c r="AD191" i="5"/>
  <c r="AE101" i="5"/>
  <c r="AC73" i="5"/>
  <c r="AC75" i="5"/>
  <c r="AE193" i="5"/>
  <c r="AD199" i="5"/>
  <c r="AD51" i="5" s="1"/>
  <c r="AD52" i="5" s="1"/>
  <c r="AD234" i="5"/>
  <c r="AF198" i="5"/>
  <c r="B198" i="4"/>
  <c r="AF234" i="4" s="1"/>
  <c r="AE234" i="4"/>
  <c r="AT213" i="4"/>
  <c r="AB7" i="4"/>
  <c r="AE93" i="4"/>
  <c r="AF102" i="4"/>
  <c r="AB83" i="4"/>
  <c r="AC75" i="4"/>
  <c r="AC73" i="4"/>
  <c r="B101" i="4"/>
  <c r="AE193" i="4"/>
  <c r="AD199" i="4"/>
  <c r="AD51" i="4" s="1"/>
  <c r="AD52" i="4" s="1"/>
  <c r="AE191" i="4"/>
  <c r="AC83" i="5" l="1"/>
  <c r="B198" i="5"/>
  <c r="AF234" i="5" s="1"/>
  <c r="AE234" i="5"/>
  <c r="AD75" i="5"/>
  <c r="AD73" i="5"/>
  <c r="AD83" i="5" s="1"/>
  <c r="AE191" i="5"/>
  <c r="AF101" i="5"/>
  <c r="AF193" i="5"/>
  <c r="AE199" i="5"/>
  <c r="AE51" i="5" s="1"/>
  <c r="AE52" i="5" s="1"/>
  <c r="AU213" i="5"/>
  <c r="AC7" i="5"/>
  <c r="B114" i="5"/>
  <c r="AU213" i="4"/>
  <c r="AC7" i="4"/>
  <c r="B102" i="4"/>
  <c r="AD73" i="4"/>
  <c r="AD75" i="4"/>
  <c r="AF193" i="4"/>
  <c r="AE199" i="4"/>
  <c r="AE51" i="4" s="1"/>
  <c r="AE52" i="4" s="1"/>
  <c r="AF191" i="4"/>
  <c r="AC83" i="4"/>
  <c r="AF199" i="5" l="1"/>
  <c r="AF51" i="5" s="1"/>
  <c r="AF52" i="5" s="1"/>
  <c r="B193" i="5"/>
  <c r="B199" i="5" s="1"/>
  <c r="B51" i="5" s="1"/>
  <c r="AE73" i="5"/>
  <c r="AE75" i="5"/>
  <c r="AF191" i="5"/>
  <c r="B101" i="5"/>
  <c r="B191" i="5" s="1"/>
  <c r="AF93" i="5"/>
  <c r="B93" i="5"/>
  <c r="AV213" i="5"/>
  <c r="AD7" i="5"/>
  <c r="AE73" i="4"/>
  <c r="AE75" i="4"/>
  <c r="AF199" i="4"/>
  <c r="AF51" i="4" s="1"/>
  <c r="AF52" i="4" s="1"/>
  <c r="B193" i="4"/>
  <c r="B199" i="4" s="1"/>
  <c r="B51" i="4" s="1"/>
  <c r="AV213" i="4"/>
  <c r="AD7" i="4"/>
  <c r="AD83" i="4"/>
  <c r="AF93" i="4"/>
  <c r="B93" i="4"/>
  <c r="B191" i="4"/>
  <c r="AI93" i="5" l="1"/>
  <c r="AH93" i="5"/>
  <c r="AW213" i="5"/>
  <c r="AE7" i="5"/>
  <c r="AE83" i="5"/>
  <c r="B52" i="5"/>
  <c r="AI51" i="5"/>
  <c r="AH51" i="5"/>
  <c r="AF73" i="5"/>
  <c r="AF75" i="5"/>
  <c r="AH93" i="4"/>
  <c r="AI93" i="4"/>
  <c r="B52" i="4"/>
  <c r="AI51" i="4"/>
  <c r="AH51" i="4"/>
  <c r="AF73" i="4"/>
  <c r="AF75" i="4"/>
  <c r="AW213" i="4"/>
  <c r="AE7" i="4"/>
  <c r="AE83" i="4"/>
  <c r="AF83" i="5" l="1"/>
  <c r="AI52" i="5"/>
  <c r="AH52" i="5"/>
  <c r="B73" i="5"/>
  <c r="B75" i="5"/>
  <c r="AX213" i="5"/>
  <c r="AF7" i="5"/>
  <c r="AF83" i="4"/>
  <c r="AI52" i="4"/>
  <c r="AH52" i="4"/>
  <c r="B75" i="4"/>
  <c r="B73" i="4"/>
  <c r="AX213" i="4"/>
  <c r="AF7" i="4"/>
  <c r="T213" i="5" l="1"/>
  <c r="B7" i="5"/>
  <c r="A7" i="5" s="1"/>
  <c r="AI75" i="5"/>
  <c r="AH75" i="5"/>
  <c r="AI73" i="5"/>
  <c r="AH73" i="5"/>
  <c r="B83" i="5"/>
  <c r="T213" i="4"/>
  <c r="B7" i="4"/>
  <c r="A7" i="4" s="1"/>
  <c r="AI75" i="4"/>
  <c r="AH75" i="4"/>
  <c r="AI73" i="4"/>
  <c r="AH73" i="4"/>
  <c r="B83" i="4"/>
  <c r="AI83" i="5" l="1"/>
  <c r="AH83" i="5"/>
  <c r="AI83" i="4"/>
  <c r="AH83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R9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Lost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<sst xmlns="http://schemas.openxmlformats.org/spreadsheetml/2006/main" count="7540" uniqueCount="236">
  <si>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</si>
  <si>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</si>
  <si>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</si>
  <si>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</si>
  <si>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</si>
  <si>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</si>
  <si>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</si>
  <si>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</si>
  <si>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</si>
  <si>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</si>
  <si>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</si>
  <si>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</si>
  <si>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</si>
  <si>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</si>
  <si>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</si>
  <si>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</si>
  <si>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</si>
  <si>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</si>
  <si>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</si>
  <si>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</si>
  <si>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</si>
  <si>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</si>
  <si>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</si>
  <si>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</si>
  <si>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</si>
  <si>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</si>
  <si>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</si>
  <si>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</si>
  <si>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</si>
  <si>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</si>
  <si>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</si>
  <si>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</si>
  <si>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</si>
  <si>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</si>
  <si>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</si>
  <si>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</si>
  <si>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</si>
  <si>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</si>
  <si>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</si>
  <si>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</si>
  <si>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</si>
  <si>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</si>
  <si>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</si>
  <si>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</si>
  <si>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</si>
  <si>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</si>
  <si>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</si>
  <si>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</si>
  <si>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</si>
  <si>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</si>
  <si>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</si>
  <si>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</si>
  <si>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</si>
  <si>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</si>
  <si>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</si>
  <si>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</si>
  <si>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</si>
  <si>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</si>
  <si>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</si>
  <si>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</si>
  <si>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</si>
  <si>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</si>
  <si>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</si>
  <si>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</si>
  <si>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</si>
  <si>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</si>
  <si>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</si>
  <si>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</si>
  <si>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</si>
  <si>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</si>
  <si>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</si>
  <si>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</si>
  <si>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</si>
  <si>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</si>
  <si>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</si>
  <si>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</si>
  <si>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</si>
  <si>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</si>
  <si>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</si>
  <si>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</si>
  <si>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</si>
  <si>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</si>
  <si>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</si>
  <si>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</si>
  <si>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</si>
  <si>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</si>
  <si>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</si>
  <si>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</si>
  <si>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</si>
  <si>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</si>
  <si>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</si>
  <si>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</si>
  <si>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</si>
  <si>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</si>
  <si>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</si>
  <si>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</si>
  <si>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</si>
  <si>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</si>
  <si>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</si>
  <si>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</si>
  <si>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</si>
  <si>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</si>
  <si>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</si>
  <si>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</si>
  <si>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</si>
  <si>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</si>
  <si>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</si>
  <si>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</si>
  <si>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</si>
  <si>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</si>
  <si>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</si>
  <si>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</si>
  <si>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</si>
  <si>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</si>
  <si>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</si>
  <si>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</si>
  <si>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</si>
  <si>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</si>
  <si>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</si>
  <si>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</si>
  <si>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</si>
  <si>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</si>
  <si>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</si>
  <si>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</si>
  <si>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</si>
  <si>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</si>
  <si>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</si>
  <si>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</si>
  <si>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</si>
  <si>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</si>
  <si>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</si>
  <si>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</si>
  <si>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</si>
  <si>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</si>
  <si>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</si>
  <si>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</si>
  <si>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</si>
  <si>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</si>
  <si>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</si>
  <si>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</si>
  <si>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</si>
  <si>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</si>
  <si>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</si>
  <si>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</si>
  <si>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</si>
  <si>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</si>
  <si>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</si>
  <si>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</si>
  <si>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</si>
  <si>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</si>
  <si>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</si>
  <si>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</si>
  <si>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</si>
  <si>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</si>
  <si>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</si>
  <si>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</si>
  <si>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</si>
  <si>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</si>
  <si>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</si>
  <si>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</si>
  <si>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</si>
  <si>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</si>
  <si>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</si>
  <si>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</si>
  <si>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</si>
  <si>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</si>
  <si>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</si>
  <si>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</si>
  <si>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</si>
  <si>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</si>
  <si>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</si>
  <si>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</si>
  <si>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</si>
  <si>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</si>
  <si>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</si>
  <si>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</si>
  <si>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</si>
  <si>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</si>
  <si>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</si>
  <si>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</si>
  <si>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</si>
  <si>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</si>
  <si>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</si>
  <si>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</si>
  <si>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</si>
  <si>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</si>
  <si>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</si>
  <si>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</si>
  <si>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</si>
  <si>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</si>
  <si>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</si>
  <si>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</si>
  <si>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</si>
  <si>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</si>
  <si>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</si>
  <si>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</si>
  <si>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</si>
  <si>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</si>
  <si>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</si>
  <si>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</si>
  <si>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</si>
  <si>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</si>
  <si>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</si>
  <si>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</si>
  <si>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</si>
  <si>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</si>
  <si>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</si>
  <si>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</si>
  <si>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</si>
  <si>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</si>
  <si>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</si>
  <si>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</si>
  <si>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</si>
  <si>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</si>
  <si>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</si>
  <si>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</si>
  <si>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</si>
  <si>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BHARATPUR - KAWASOTI</t>
  </si>
  <si>
    <t>S</t>
  </si>
  <si>
    <t>Y</t>
  </si>
  <si>
    <t>T</t>
  </si>
  <si>
    <t>E</t>
  </si>
  <si>
    <t>M</t>
  </si>
  <si>
    <t>C</t>
  </si>
  <si>
    <t>O</t>
  </si>
  <si>
    <t>L</t>
  </si>
  <si>
    <t>A</t>
  </si>
  <si>
    <t>P</t>
  </si>
  <si>
    <t>D</t>
  </si>
  <si>
    <t>129..5</t>
  </si>
  <si>
    <t>Saturday</t>
  </si>
  <si>
    <t>N/A</t>
  </si>
  <si>
    <t>R</t>
  </si>
  <si>
    <t>I</t>
  </si>
  <si>
    <t>aaaaaa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</si>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</sst>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3" xfId="0" applyFont="1" applyBorder="1" applyAlignment="1">
      <alignment horizontal="right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6" xfId="0" applyNumberFormat="1" applyFont="1" applyBorder="1" applyAlignment="1" applyProtection="1">
      <alignment horizontal="center" vertical="center"/>
      <protection locked="0"/>
    </xf>
    <xf numFmtId="2" fontId="12" fillId="0" borderId="24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7" fontId="12" fillId="0" borderId="24" xfId="0" applyNumberFormat="1" applyFont="1" applyBorder="1" applyAlignment="1">
      <alignment horizontal="center" vertical="center"/>
    </xf>
    <xf numFmtId="2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167" fontId="12" fillId="0" borderId="2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 vertical="center"/>
    </xf>
    <xf numFmtId="2" fontId="25" fillId="0" borderId="31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7" fontId="12" fillId="9" borderId="24" xfId="0" applyNumberFormat="1" applyFont="1" applyFill="1" applyBorder="1" applyAlignment="1" applyProtection="1">
      <alignment horizontal="center" vertical="center"/>
      <protection locked="0"/>
    </xf>
    <xf numFmtId="0" fontId="16" fillId="0" borderId="32" xfId="0" applyFont="1" applyBorder="1" applyAlignment="1">
      <alignment horizontal="left" vertical="center"/>
    </xf>
    <xf numFmtId="167" fontId="16" fillId="0" borderId="3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8" borderId="34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5" xfId="0" applyFont="1" applyBorder="1" applyAlignment="1">
      <alignment horizontal="right" vertical="center"/>
    </xf>
    <xf numFmtId="2" fontId="26" fillId="0" borderId="29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0" borderId="34" xfId="0" applyNumberFormat="1" applyFont="1" applyBorder="1" applyAlignment="1" applyProtection="1">
      <alignment horizontal="center" vertical="center"/>
      <protection locked="0"/>
    </xf>
    <xf numFmtId="167" fontId="12" fillId="5" borderId="34" xfId="0" applyNumberFormat="1" applyFont="1" applyFill="1" applyBorder="1" applyAlignment="1" applyProtection="1">
      <alignment horizontal="center" vertical="center"/>
      <protection locked="0"/>
    </xf>
    <xf numFmtId="2" fontId="25" fillId="0" borderId="22" xfId="0" applyNumberFormat="1" applyFont="1" applyBorder="1" applyAlignment="1">
      <alignment horizontal="center" vertical="center"/>
    </xf>
    <xf numFmtId="167" fontId="12" fillId="10" borderId="24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0" fontId="16" fillId="11" borderId="32" xfId="0" applyFont="1" applyFill="1" applyBorder="1" applyAlignment="1">
      <alignment vertical="center" wrapText="1"/>
    </xf>
    <xf numFmtId="167" fontId="12" fillId="0" borderId="33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2" fontId="12" fillId="0" borderId="42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2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167" fontId="12" fillId="0" borderId="2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167" fontId="12" fillId="0" borderId="29" xfId="0" applyNumberFormat="1" applyFont="1" applyBorder="1" applyAlignment="1" applyProtection="1">
      <alignment horizontal="center"/>
      <protection locked="0"/>
    </xf>
    <xf numFmtId="2" fontId="0" fillId="0" borderId="29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46" xfId="0" applyFont="1" applyBorder="1" applyAlignment="1">
      <alignment vertical="center"/>
    </xf>
    <xf numFmtId="0" fontId="0" fillId="0" borderId="47" xfId="0" applyBorder="1" applyAlignment="1">
      <alignment horizontal="center"/>
    </xf>
    <xf numFmtId="2" fontId="0" fillId="0" borderId="47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48" xfId="0" applyFont="1" applyBorder="1" applyAlignment="1">
      <alignment vertical="center"/>
    </xf>
    <xf numFmtId="2" fontId="12" fillId="0" borderId="24" xfId="0" applyNumberFormat="1" applyFont="1" applyBorder="1" applyAlignment="1">
      <alignment horizontal="center" vertical="center"/>
    </xf>
    <xf numFmtId="170" fontId="25" fillId="0" borderId="49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50" xfId="0" applyNumberFormat="1" applyFont="1" applyBorder="1" applyAlignment="1">
      <alignment horizontal="center" vertical="center"/>
    </xf>
    <xf numFmtId="170" fontId="25" fillId="0" borderId="51" xfId="0" applyNumberFormat="1" applyFont="1" applyBorder="1" applyAlignment="1">
      <alignment horizontal="center" vertical="center"/>
    </xf>
    <xf numFmtId="0" fontId="12" fillId="0" borderId="52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50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28" fillId="0" borderId="51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2" fontId="12" fillId="0" borderId="33" xfId="0" applyNumberFormat="1" applyFont="1" applyBorder="1" applyAlignment="1">
      <alignment horizontal="center" vertical="center"/>
    </xf>
    <xf numFmtId="2" fontId="0" fillId="0" borderId="54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48" xfId="0" applyFont="1" applyBorder="1" applyAlignment="1">
      <alignment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49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0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29" xfId="0" applyNumberFormat="1" applyFont="1" applyBorder="1" applyAlignment="1">
      <alignment vertical="center"/>
    </xf>
    <xf numFmtId="168" fontId="12" fillId="0" borderId="56" xfId="0" applyNumberFormat="1" applyFont="1" applyBorder="1" applyAlignment="1">
      <alignment vertical="center"/>
    </xf>
    <xf numFmtId="168" fontId="12" fillId="0" borderId="29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167" fontId="12" fillId="0" borderId="50" xfId="0" applyNumberFormat="1" applyFont="1" applyBorder="1" applyAlignment="1" applyProtection="1">
      <alignment horizontal="center" vertical="center"/>
      <protection locked="0"/>
    </xf>
    <xf numFmtId="167" fontId="12" fillId="0" borderId="50" xfId="0" applyNumberFormat="1" applyFont="1" applyBorder="1" applyAlignment="1" applyProtection="1">
      <alignment horizontal="center"/>
      <protection locked="0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167" fontId="12" fillId="0" borderId="57" xfId="0" applyNumberFormat="1" applyFont="1" applyBorder="1" applyAlignment="1" applyProtection="1">
      <alignment horizontal="center" vertical="center"/>
      <protection locked="0"/>
    </xf>
    <xf numFmtId="167" fontId="12" fillId="0" borderId="58" xfId="0" applyNumberFormat="1" applyFont="1" applyBorder="1" applyAlignment="1" applyProtection="1">
      <alignment horizontal="center" vertical="center"/>
      <protection locked="0"/>
    </xf>
    <xf numFmtId="167" fontId="12" fillId="0" borderId="59" xfId="0" applyNumberFormat="1" applyFont="1" applyBorder="1" applyAlignment="1" applyProtection="1">
      <alignment horizontal="center"/>
      <protection locked="0"/>
    </xf>
    <xf numFmtId="0" fontId="34" fillId="5" borderId="0" xfId="0" applyFont="1" applyFill="1"/>
    <xf numFmtId="167" fontId="12" fillId="0" borderId="0" xfId="0" applyNumberFormat="1" applyFont="1" applyBorder="1" applyAlignment="1" applyProtection="1">
      <alignment horizontal="center" vertical="center"/>
      <protection locked="0"/>
    </xf>
    <xf numFmtId="167" fontId="12" fillId="0" borderId="0" xfId="0" applyNumberFormat="1" applyFont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9" fontId="24" fillId="7" borderId="19" xfId="0" applyNumberFormat="1" applyFont="1" applyFill="1" applyBorder="1" applyAlignment="1">
      <alignment horizontal="center" vertical="center" wrapText="1"/>
    </xf>
    <xf numFmtId="169" fontId="24" fillId="7" borderId="22" xfId="0" applyNumberFormat="1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</cellXfs>
  <cellStyles count="2">
    <cellStyle name="Comma" xfId="1" builtinId="3"/>
    <cellStyle name="Normal" xfId="0" builtinId="0"/>
  </cellStyles>
  <dxfs count="9260"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'1'!$T$211:$AX$211</c:f>
              <c:numCache>
                <c:formatCode>General</c:formatCode>
                <c:ptCount val="31"/>
              </c:numCache>
            </c:numRef>
          </c:cat>
          <c:val>
            <c:numRef>
              <c:f>'1'!$U$212:$AX$212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321344"/>
        <c:axId val="337339904"/>
      </c:lineChart>
      <c:catAx>
        <c:axId val="337321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39904"/>
        <c:crosses val="autoZero"/>
        <c:auto val="1"/>
        <c:lblAlgn val="ctr"/>
        <c:lblOffset val="100"/>
        <c:noMultiLvlLbl val="0"/>
      </c:catAx>
      <c:valAx>
        <c:axId val="337339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2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'2'!$T$211:$AX$211</c:f>
              <c:numCache>
                <c:formatCode>General</c:formatCode>
                <c:ptCount val="31"/>
              </c:numCache>
            </c:numRef>
          </c:cat>
          <c:val>
            <c:numRef>
              <c:f>'2'!$U$212:$AX$212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91392"/>
        <c:axId val="338191872"/>
      </c:lineChart>
      <c:catAx>
        <c:axId val="338091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91872"/>
        <c:crosses val="autoZero"/>
        <c:auto val="1"/>
        <c:lblAlgn val="ctr"/>
        <c:lblOffset val="100"/>
        <c:noMultiLvlLbl val="0"/>
      </c:catAx>
      <c:valAx>
        <c:axId val="33819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9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'3'!$T$211:$AX$211</c:f>
              <c:numCache>
                <c:formatCode>General</c:formatCode>
                <c:ptCount val="31"/>
              </c:numCache>
            </c:numRef>
          </c:cat>
          <c:val>
            <c:numRef>
              <c:f>'3'!$U$212:$AX$212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282944"/>
        <c:axId val="339293312"/>
      </c:lineChart>
      <c:catAx>
        <c:axId val="339282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93312"/>
        <c:crosses val="autoZero"/>
        <c:auto val="1"/>
        <c:lblAlgn val="ctr"/>
        <c:lblOffset val="100"/>
        <c:noMultiLvlLbl val="0"/>
      </c:catAx>
      <c:valAx>
        <c:axId val="339293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8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'4'!$T$211:$AX$211</c:f>
              <c:numCache>
                <c:formatCode>General</c:formatCode>
                <c:ptCount val="31"/>
              </c:numCache>
            </c:numRef>
          </c:cat>
          <c:val>
            <c:numRef>
              <c:f>'4'!$U$212:$AX$212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249600"/>
        <c:axId val="340292736"/>
      </c:lineChart>
      <c:catAx>
        <c:axId val="340249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92736"/>
        <c:crosses val="autoZero"/>
        <c:auto val="1"/>
        <c:lblAlgn val="ctr"/>
        <c:lblOffset val="100"/>
        <c:noMultiLvlLbl val="0"/>
      </c:catAx>
      <c:valAx>
        <c:axId val="34029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'5'!$T$211:$AX$211</c:f>
              <c:numCache>
                <c:formatCode>General</c:formatCode>
                <c:ptCount val="31"/>
              </c:numCache>
            </c:numRef>
          </c:cat>
          <c:val>
            <c:numRef>
              <c:f>'5'!$U$212:$AX$212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342848"/>
        <c:axId val="341349120"/>
      </c:lineChart>
      <c:catAx>
        <c:axId val="34134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9120"/>
        <c:crosses val="autoZero"/>
        <c:auto val="1"/>
        <c:lblAlgn val="ctr"/>
        <c:lblOffset val="100"/>
        <c:noMultiLvlLbl val="0"/>
      </c:catAx>
      <c:valAx>
        <c:axId val="341349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'6'!$T$211:$AX$211</c:f>
              <c:numCache>
                <c:formatCode>General</c:formatCode>
                <c:ptCount val="31"/>
              </c:numCache>
            </c:numRef>
          </c:cat>
          <c:val>
            <c:numRef>
              <c:f>'6'!$U$212:$AX$212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937536"/>
        <c:axId val="341976576"/>
      </c:lineChart>
      <c:catAx>
        <c:axId val="341937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76576"/>
        <c:crosses val="autoZero"/>
        <c:auto val="1"/>
        <c:lblAlgn val="ctr"/>
        <c:lblOffset val="100"/>
        <c:noMultiLvlLbl val="0"/>
      </c:catAx>
      <c:valAx>
        <c:axId val="341976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'7'!$T$211:$AX$211</c:f>
              <c:numCache>
                <c:formatCode>General</c:formatCode>
                <c:ptCount val="31"/>
              </c:numCache>
            </c:numRef>
          </c:cat>
          <c:val>
            <c:numRef>
              <c:f>'7'!$U$212:$AX$212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593920"/>
        <c:axId val="342701568"/>
      </c:lineChart>
      <c:catAx>
        <c:axId val="326593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01568"/>
        <c:crosses val="autoZero"/>
        <c:auto val="1"/>
        <c:lblAlgn val="ctr"/>
        <c:lblOffset val="100"/>
        <c:noMultiLvlLbl val="0"/>
      </c:catAx>
      <c:valAx>
        <c:axId val="342701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'8'!$T$211:$AX$211</c:f>
              <c:numCache>
                <c:formatCode>General</c:formatCode>
                <c:ptCount val="31"/>
              </c:numCache>
            </c:numRef>
          </c:cat>
          <c:val>
            <c:numRef>
              <c:f>'8'!$U$212:$AX$212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535616"/>
        <c:axId val="343537536"/>
      </c:lineChart>
      <c:catAx>
        <c:axId val="343535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37536"/>
        <c:crosses val="autoZero"/>
        <c:auto val="1"/>
        <c:lblAlgn val="ctr"/>
        <c:lblOffset val="100"/>
        <c:noMultiLvlLbl val="0"/>
      </c:catAx>
      <c:valAx>
        <c:axId val="343537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3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'9'!$T$211:$AX$211</c:f>
              <c:numCache>
                <c:formatCode>General</c:formatCode>
                <c:ptCount val="31"/>
              </c:numCache>
            </c:numRef>
          </c:cat>
          <c:val>
            <c:numRef>
              <c:f>'9'!$U$212:$AX$212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117248"/>
        <c:axId val="344119168"/>
      </c:lineChart>
      <c:catAx>
        <c:axId val="344117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19168"/>
        <c:crosses val="autoZero"/>
        <c:auto val="1"/>
        <c:lblAlgn val="ctr"/>
        <c:lblOffset val="100"/>
        <c:noMultiLvlLbl val="0"/>
      </c:catAx>
      <c:valAx>
        <c:axId val="344119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'10'!$T$211:$AX$211</c:f>
              <c:numCache>
                <c:formatCode>General</c:formatCode>
                <c:ptCount val="31"/>
              </c:numCache>
            </c:numRef>
          </c:cat>
          <c:val>
            <c:numRef>
              <c:f>'10'!$U$212:$AX$212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14656"/>
        <c:axId val="345433216"/>
      </c:lineChart>
      <c:catAx>
        <c:axId val="345414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33216"/>
        <c:crosses val="autoZero"/>
        <c:auto val="1"/>
        <c:lblAlgn val="ctr"/>
        <c:lblOffset val="100"/>
        <c:noMultiLvlLbl val="0"/>
      </c:catAx>
      <c:valAx>
        <c:axId val="345433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1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'11'!$T$211:$AX$211</c:f>
              <c:numCache>
                <c:formatCode>General</c:formatCode>
                <c:ptCount val="31"/>
              </c:numCache>
            </c:numRef>
          </c:cat>
          <c:val>
            <c:numRef>
              <c:f>'11'!$U$212:$AX$212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21568"/>
        <c:axId val="346227840"/>
      </c:lineChart>
      <c:catAx>
        <c:axId val="346221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27840"/>
        <c:crosses val="autoZero"/>
        <c:auto val="1"/>
        <c:lblAlgn val="ctr"/>
        <c:lblOffset val="100"/>
        <c:noMultiLvlLbl val="0"/>
      </c:catAx>
      <c:valAx>
        <c:axId val="34622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'12'!$T$211:$AX$211</c:f>
              <c:numCache>
                <c:formatCode>General</c:formatCode>
                <c:ptCount val="31"/>
              </c:numCache>
            </c:numRef>
          </c:cat>
          <c:val>
            <c:numRef>
              <c:f>'12'!$U$212:$AX$212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930176"/>
        <c:axId val="346952832"/>
      </c:lineChart>
      <c:catAx>
        <c:axId val="346930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52832"/>
        <c:crosses val="autoZero"/>
        <c:auto val="1"/>
        <c:lblAlgn val="ctr"/>
        <c:lblOffset val="100"/>
        <c:noMultiLvlLbl val="0"/>
      </c:catAx>
      <c:valAx>
        <c:axId val="346952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3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'13'!$T$211:$AX$211</c:f>
              <c:numCache>
                <c:formatCode>General</c:formatCode>
                <c:ptCount val="31"/>
              </c:numCache>
            </c:numRef>
          </c:cat>
          <c:val>
            <c:numRef>
              <c:f>'13'!$U$212:$AX$212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323456"/>
        <c:axId val="350325376"/>
      </c:lineChart>
      <c:catAx>
        <c:axId val="350323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25376"/>
        <c:crosses val="autoZero"/>
        <c:auto val="1"/>
        <c:lblAlgn val="ctr"/>
        <c:lblOffset val="100"/>
        <c:noMultiLvlLbl val="0"/>
      </c:catAx>
      <c:valAx>
        <c:axId val="350325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2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'14'!$T$211:$AX$211</c:f>
              <c:numCache>
                <c:formatCode>General</c:formatCode>
                <c:ptCount val="31"/>
              </c:numCache>
            </c:numRef>
          </c:cat>
          <c:val>
            <c:numRef>
              <c:f>'14'!$U$212:$AX$212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347840"/>
        <c:axId val="351349760"/>
      </c:lineChart>
      <c:catAx>
        <c:axId val="351347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49760"/>
        <c:crosses val="autoZero"/>
        <c:auto val="1"/>
        <c:lblAlgn val="ctr"/>
        <c:lblOffset val="100"/>
        <c:noMultiLvlLbl val="0"/>
      </c:catAx>
      <c:valAx>
        <c:axId val="35134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'15'!$T$211:$AX$211</c:f>
              <c:numCache>
                <c:formatCode>General</c:formatCode>
                <c:ptCount val="31"/>
              </c:numCache>
            </c:numRef>
          </c:cat>
          <c:val>
            <c:numRef>
              <c:f>'15'!$U$212:$AX$212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002624"/>
        <c:axId val="353004544"/>
      </c:lineChart>
      <c:catAx>
        <c:axId val="353002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04544"/>
        <c:crosses val="autoZero"/>
        <c:auto val="1"/>
        <c:lblAlgn val="ctr"/>
        <c:lblOffset val="100"/>
        <c:noMultiLvlLbl val="0"/>
      </c:catAx>
      <c:valAx>
        <c:axId val="353004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'16'!$T$211:$AX$211</c:f>
              <c:numCache>
                <c:formatCode>General</c:formatCode>
                <c:ptCount val="31"/>
              </c:numCache>
            </c:numRef>
          </c:cat>
          <c:val>
            <c:numRef>
              <c:f>'16'!$U$212:$AX$212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370112"/>
        <c:axId val="355372032"/>
      </c:lineChart>
      <c:catAx>
        <c:axId val="355370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72032"/>
        <c:crosses val="autoZero"/>
        <c:auto val="1"/>
        <c:lblAlgn val="ctr"/>
        <c:lblOffset val="100"/>
        <c:noMultiLvlLbl val="0"/>
      </c:catAx>
      <c:valAx>
        <c:axId val="355372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7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'17'!$T$211:$AX$211</c:f>
              <c:numCache>
                <c:formatCode>General</c:formatCode>
                <c:ptCount val="31"/>
              </c:numCache>
            </c:numRef>
          </c:cat>
          <c:val>
            <c:numRef>
              <c:f>'17'!$U$212:$AX$212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056896"/>
        <c:axId val="379058816"/>
      </c:lineChart>
      <c:catAx>
        <c:axId val="379056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58816"/>
        <c:crosses val="autoZero"/>
        <c:auto val="1"/>
        <c:lblAlgn val="ctr"/>
        <c:lblOffset val="100"/>
        <c:noMultiLvlLbl val="0"/>
      </c:catAx>
      <c:valAx>
        <c:axId val="379058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5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'18'!$T$211:$AX$211</c:f>
              <c:numCache>
                <c:formatCode>General</c:formatCode>
                <c:ptCount val="31"/>
              </c:numCache>
            </c:numRef>
          </c:cat>
          <c:val>
            <c:numRef>
              <c:f>'18'!$U$212:$AX$212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801024"/>
        <c:axId val="382802944"/>
      </c:lineChart>
      <c:catAx>
        <c:axId val="382801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02944"/>
        <c:crosses val="autoZero"/>
        <c:auto val="1"/>
        <c:lblAlgn val="ctr"/>
        <c:lblOffset val="100"/>
        <c:noMultiLvlLbl val="0"/>
      </c:catAx>
      <c:valAx>
        <c:axId val="382802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0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'19'!$T$211:$AX$211</c:f>
              <c:numCache>
                <c:formatCode>General</c:formatCode>
                <c:ptCount val="31"/>
              </c:numCache>
            </c:numRef>
          </c:cat>
          <c:val>
            <c:numRef>
              <c:f>'19'!$U$212:$AX$212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943616"/>
        <c:axId val="384945536"/>
      </c:lineChart>
      <c:catAx>
        <c:axId val="384943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45536"/>
        <c:crosses val="autoZero"/>
        <c:auto val="1"/>
        <c:lblAlgn val="ctr"/>
        <c:lblOffset val="100"/>
        <c:noMultiLvlLbl val="0"/>
      </c:catAx>
      <c:valAx>
        <c:axId val="38494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4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'20'!$T$211:$AX$211</c:f>
              <c:numCache>
                <c:formatCode>General</c:formatCode>
                <c:ptCount val="31"/>
              </c:numCache>
            </c:numRef>
          </c:cat>
          <c:val>
            <c:numRef>
              <c:f>'20'!$U$212:$AX$212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48960"/>
        <c:axId val="390650880"/>
      </c:lineChart>
      <c:catAx>
        <c:axId val="390648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50880"/>
        <c:crosses val="autoZero"/>
        <c:auto val="1"/>
        <c:lblAlgn val="ctr"/>
        <c:lblOffset val="100"/>
        <c:noMultiLvlLbl val="0"/>
      </c:catAx>
      <c:valAx>
        <c:axId val="39065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'21'!$T$211:$AX$211</c:f>
              <c:numCache>
                <c:formatCode>General</c:formatCode>
                <c:ptCount val="31"/>
              </c:numCache>
            </c:numRef>
          </c:cat>
          <c:val>
            <c:numRef>
              <c:f>'21'!$U$212:$AX$212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630272"/>
        <c:axId val="394632192"/>
      </c:lineChart>
      <c:catAx>
        <c:axId val="394630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32192"/>
        <c:crosses val="autoZero"/>
        <c:auto val="1"/>
        <c:lblAlgn val="ctr"/>
        <c:lblOffset val="100"/>
        <c:noMultiLvlLbl val="0"/>
      </c:catAx>
      <c:valAx>
        <c:axId val="394632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3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'22'!$T$211:$AX$211</c:f>
              <c:numCache>
                <c:formatCode>General</c:formatCode>
                <c:ptCount val="31"/>
              </c:numCache>
            </c:numRef>
          </c:cat>
          <c:val>
            <c:numRef>
              <c:f>'22'!$U$212:$AX$212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013696"/>
        <c:axId val="412015616"/>
      </c:lineChart>
      <c:catAx>
        <c:axId val="412013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15616"/>
        <c:crosses val="autoZero"/>
        <c:auto val="1"/>
        <c:lblAlgn val="ctr"/>
        <c:lblOffset val="100"/>
        <c:noMultiLvlLbl val="0"/>
      </c:catAx>
      <c:valAx>
        <c:axId val="412015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1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'23'!$T$211:$AX$211</c:f>
              <c:numCache>
                <c:formatCode>General</c:formatCode>
                <c:ptCount val="31"/>
              </c:numCache>
            </c:numRef>
          </c:cat>
          <c:val>
            <c:numRef>
              <c:f>'23'!$U$212:$AX$212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27424"/>
        <c:axId val="415133696"/>
      </c:lineChart>
      <c:catAx>
        <c:axId val="415127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33696"/>
        <c:crosses val="autoZero"/>
        <c:auto val="1"/>
        <c:lblAlgn val="ctr"/>
        <c:lblOffset val="100"/>
        <c:noMultiLvlLbl val="0"/>
      </c:catAx>
      <c:valAx>
        <c:axId val="415133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2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'24'!$T$211:$AX$211</c:f>
              <c:numCache>
                <c:formatCode>General</c:formatCode>
                <c:ptCount val="31"/>
              </c:numCache>
            </c:numRef>
          </c:cat>
          <c:val>
            <c:numRef>
              <c:f>'24'!$U$212:$AX$212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416384"/>
        <c:axId val="422418304"/>
      </c:lineChart>
      <c:catAx>
        <c:axId val="422416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18304"/>
        <c:crosses val="autoZero"/>
        <c:auto val="1"/>
        <c:lblAlgn val="ctr"/>
        <c:lblOffset val="100"/>
        <c:noMultiLvlLbl val="0"/>
      </c:catAx>
      <c:valAx>
        <c:axId val="42241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1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'25'!$T$211:$AX$211</c:f>
              <c:numCache>
                <c:formatCode>General</c:formatCode>
                <c:ptCount val="31"/>
              </c:numCache>
            </c:numRef>
          </c:cat>
          <c:val>
            <c:numRef>
              <c:f>'25'!$U$212:$AX$212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63136"/>
        <c:axId val="424365056"/>
      </c:lineChart>
      <c:catAx>
        <c:axId val="424363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5056"/>
        <c:crosses val="autoZero"/>
        <c:auto val="1"/>
        <c:lblAlgn val="ctr"/>
        <c:lblOffset val="100"/>
        <c:noMultiLvlLbl val="0"/>
      </c:catAx>
      <c:valAx>
        <c:axId val="424365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'26'!$T$211:$AX$211</c:f>
              <c:numCache>
                <c:formatCode>General</c:formatCode>
                <c:ptCount val="31"/>
              </c:numCache>
            </c:numRef>
          </c:cat>
          <c:val>
            <c:numRef>
              <c:f>'26'!$U$212:$AX$212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801792"/>
        <c:axId val="444803712"/>
      </c:lineChart>
      <c:catAx>
        <c:axId val="444801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03712"/>
        <c:crosses val="autoZero"/>
        <c:auto val="1"/>
        <c:lblAlgn val="ctr"/>
        <c:lblOffset val="100"/>
        <c:noMultiLvlLbl val="0"/>
      </c:catAx>
      <c:valAx>
        <c:axId val="444803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'27'!$T$211:$AX$211</c:f>
              <c:numCache>
                <c:formatCode>General</c:formatCode>
                <c:ptCount val="31"/>
              </c:numCache>
            </c:numRef>
          </c:cat>
          <c:val>
            <c:numRef>
              <c:f>'27'!$U$212:$AX$212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464832"/>
        <c:axId val="453466752"/>
      </c:lineChart>
      <c:catAx>
        <c:axId val="453464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66752"/>
        <c:crosses val="autoZero"/>
        <c:auto val="1"/>
        <c:lblAlgn val="ctr"/>
        <c:lblOffset val="100"/>
        <c:noMultiLvlLbl val="0"/>
      </c:catAx>
      <c:valAx>
        <c:axId val="453466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'28'!$T$211:$AX$211</c:f>
              <c:numCache>
                <c:formatCode>General</c:formatCode>
                <c:ptCount val="31"/>
              </c:numCache>
            </c:numRef>
          </c:cat>
          <c:val>
            <c:numRef>
              <c:f>'28'!$U$212:$AX$212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64960"/>
        <c:axId val="469467136"/>
      </c:lineChart>
      <c:catAx>
        <c:axId val="469464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467136"/>
        <c:crosses val="autoZero"/>
        <c:auto val="1"/>
        <c:lblAlgn val="ctr"/>
        <c:lblOffset val="100"/>
        <c:noMultiLvlLbl val="0"/>
      </c:catAx>
      <c:valAx>
        <c:axId val="469467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4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'29'!$T$211:$AX$211</c:f>
              <c:numCache>
                <c:formatCode>General</c:formatCode>
                <c:ptCount val="31"/>
              </c:numCache>
            </c:numRef>
          </c:cat>
          <c:val>
            <c:numRef>
              <c:f>'29'!$U$212:$AX$212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978560"/>
        <c:axId val="475001216"/>
      </c:lineChart>
      <c:catAx>
        <c:axId val="47497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001216"/>
        <c:crosses val="autoZero"/>
        <c:auto val="1"/>
        <c:lblAlgn val="ctr"/>
        <c:lblOffset val="100"/>
        <c:noMultiLvlLbl val="0"/>
      </c:catAx>
      <c:valAx>
        <c:axId val="475001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'30'!$T$211:$AX$211</c:f>
              <c:numCache>
                <c:formatCode>General</c:formatCode>
                <c:ptCount val="31"/>
              </c:numCache>
            </c:numRef>
          </c:cat>
          <c:val>
            <c:numRef>
              <c:f>'30'!$U$212:$AX$212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130368"/>
        <c:axId val="481136640"/>
      </c:lineChart>
      <c:catAx>
        <c:axId val="481130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36640"/>
        <c:crosses val="autoZero"/>
        <c:auto val="1"/>
        <c:lblAlgn val="ctr"/>
        <c:lblOffset val="100"/>
        <c:noMultiLvlLbl val="0"/>
      </c:catAx>
      <c:valAx>
        <c:axId val="481136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3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'M1'!$A$211:$A$215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'M1'!$B$211:$B$215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'M1'!$T$211:$AX$211</c:f>
              <c:numCache>
                <c:formatCode>General</c:formatCode>
                <c:ptCount val="31"/>
              </c:numCache>
            </c:numRef>
          </c:cat>
          <c:val>
            <c:numRef>
              <c:f>'M1'!$U$212:$AX$212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41184"/>
        <c:axId val="493743104"/>
      </c:lineChart>
      <c:catAx>
        <c:axId val="493741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43104"/>
        <c:crosses val="autoZero"/>
        <c:auto val="1"/>
        <c:lblAlgn val="ctr"/>
        <c:lblOffset val="100"/>
        <c:noMultiLvlLbl val="0"/>
      </c:catAx>
      <c:valAx>
        <c:axId val="49374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4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new_sample!$T$211:$AX$211</c:f>
              <c:numCache>
                <c:formatCode>General</c:formatCode>
                <c:ptCount val="31"/>
              </c:numCache>
            </c:numRef>
          </c:cat>
          <c:val>
            <c:numRef>
              <c:f>new_sample!$U$212:$AX$212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524928"/>
        <c:axId val="498526848"/>
      </c:lineChart>
      <c:catAx>
        <c:axId val="49852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26848"/>
        <c:crosses val="autoZero"/>
        <c:auto val="1"/>
        <c:lblAlgn val="ctr"/>
        <c:lblOffset val="100"/>
        <c:noMultiLvlLbl val="0"/>
      </c:catAx>
      <c:valAx>
        <c:axId val="498526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2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C42" sqref="C4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2078/08/1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121</v>
      </c>
      <c r="C5" s="32">
        <f t="shared" si="0"/>
        <v>85.4</v>
      </c>
      <c r="D5" s="32">
        <f t="shared" si="0"/>
        <v>88</v>
      </c>
      <c r="E5" s="32">
        <f t="shared" si="0"/>
        <v>95</v>
      </c>
      <c r="F5" s="32">
        <f t="shared" si="0"/>
        <v>119</v>
      </c>
      <c r="G5" s="32">
        <f t="shared" si="0"/>
        <v>150</v>
      </c>
      <c r="H5" s="32">
        <f t="shared" si="0"/>
        <v>209</v>
      </c>
      <c r="I5" s="32">
        <f t="shared" si="0"/>
        <v>223</v>
      </c>
      <c r="J5" s="32">
        <f t="shared" si="0"/>
        <v>209</v>
      </c>
      <c r="K5" s="32">
        <f t="shared" si="0"/>
        <v>10</v>
      </c>
      <c r="L5" s="32">
        <f t="shared" si="0"/>
        <v>40</v>
      </c>
      <c r="M5" s="32">
        <f t="shared" si="0"/>
        <v>0</v>
      </c>
      <c r="N5" s="32">
        <f t="shared" si="0"/>
        <v>14.8</v>
      </c>
      <c r="O5" s="32">
        <f t="shared" si="0"/>
        <v>259</v>
      </c>
      <c r="P5" s="32">
        <f t="shared" si="0"/>
        <v>294</v>
      </c>
      <c r="Q5" s="32">
        <f t="shared" si="0"/>
        <v>318</v>
      </c>
      <c r="R5" s="32">
        <f t="shared" si="0"/>
        <v>0</v>
      </c>
      <c r="S5" s="32">
        <f t="shared" si="0"/>
        <v>315</v>
      </c>
      <c r="T5" s="32">
        <f t="shared" si="0"/>
        <v>327.9</v>
      </c>
      <c r="U5" s="32">
        <f t="shared" si="0"/>
        <v>98.3</v>
      </c>
      <c r="V5" s="32">
        <f t="shared" si="0"/>
        <v>122.2</v>
      </c>
      <c r="W5" s="32">
        <f t="shared" si="0"/>
        <v>170.8</v>
      </c>
      <c r="X5" s="32">
        <f t="shared" si="0"/>
        <v>116.2</v>
      </c>
      <c r="Y5" s="32">
        <f t="shared" si="0"/>
        <v>65.5</v>
      </c>
      <c r="Z5" s="32">
        <f t="shared" si="0"/>
        <v>57.5</v>
      </c>
      <c r="AA5" s="32">
        <f t="shared" si="0"/>
        <v>107</v>
      </c>
      <c r="AB5" s="32">
        <f t="shared" si="0"/>
        <v>72</v>
      </c>
      <c r="AC5" s="32">
        <f t="shared" si="0"/>
        <v>180</v>
      </c>
      <c r="AD5" s="32">
        <f t="shared" si="0"/>
        <v>185</v>
      </c>
      <c r="AE5" s="32">
        <f t="shared" si="0"/>
        <v>83</v>
      </c>
      <c r="AF5" s="32">
        <f>B68</f>
        <v>120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887.04</v>
      </c>
      <c r="C7" s="37">
        <f t="shared" ref="C7:AF7" si="1">C75</f>
        <v>870.74</v>
      </c>
      <c r="D7" s="37">
        <f t="shared" si="1"/>
        <v>834.93999999999994</v>
      </c>
      <c r="E7" s="37">
        <f t="shared" si="1"/>
        <v>838.54</v>
      </c>
      <c r="F7" s="37">
        <f t="shared" si="1"/>
        <v>847.24</v>
      </c>
      <c r="G7" s="37">
        <f t="shared" si="1"/>
        <v>908.24</v>
      </c>
      <c r="H7" s="37">
        <f t="shared" si="1"/>
        <v>969.43999999999994</v>
      </c>
      <c r="I7" s="37">
        <f t="shared" si="1"/>
        <v>1138.1399999999999</v>
      </c>
      <c r="J7" s="37">
        <f t="shared" si="1"/>
        <v>1202.1399999999999</v>
      </c>
      <c r="K7" s="37">
        <f t="shared" si="1"/>
        <v>1338.3400000000001</v>
      </c>
      <c r="L7" s="37">
        <f t="shared" si="1"/>
        <v>1426.54</v>
      </c>
      <c r="M7" s="37">
        <f t="shared" si="1"/>
        <v>1463.3400000000001</v>
      </c>
      <c r="N7" s="37">
        <f t="shared" si="1"/>
        <v>1353.3400000000001</v>
      </c>
      <c r="O7" s="37">
        <f t="shared" si="1"/>
        <v>1333.8400000000001</v>
      </c>
      <c r="P7" s="37">
        <f t="shared" si="1"/>
        <v>1324.6399999999999</v>
      </c>
      <c r="Q7" s="37">
        <f t="shared" si="1"/>
        <v>1210.8399999999999</v>
      </c>
      <c r="R7" s="37">
        <f t="shared" si="1"/>
        <v>1170.44</v>
      </c>
      <c r="S7" s="37">
        <f t="shared" si="1"/>
        <v>3.54</v>
      </c>
      <c r="T7" s="37">
        <f t="shared" si="1"/>
        <v>1160.54</v>
      </c>
      <c r="U7" s="37">
        <f t="shared" si="1"/>
        <v>1224.9399999999998</v>
      </c>
      <c r="V7" s="37">
        <f t="shared" si="1"/>
        <v>1271.6400000000001</v>
      </c>
      <c r="W7" s="37">
        <f t="shared" si="1"/>
        <v>1448.8400000000001</v>
      </c>
      <c r="X7" s="37">
        <f t="shared" si="1"/>
        <v>1543.24</v>
      </c>
      <c r="Y7" s="37">
        <f t="shared" si="1"/>
        <v>1489.24</v>
      </c>
      <c r="Z7" s="37">
        <f t="shared" si="1"/>
        <v>1384.1399999999999</v>
      </c>
      <c r="AA7" s="37">
        <f t="shared" si="1"/>
        <v>1372.24</v>
      </c>
      <c r="AB7" s="37">
        <f t="shared" si="1"/>
        <v>1342.24</v>
      </c>
      <c r="AC7" s="37">
        <f t="shared" si="1"/>
        <v>1246.24</v>
      </c>
      <c r="AD7" s="37">
        <f t="shared" si="1"/>
        <v>1240.4399999999998</v>
      </c>
      <c r="AE7" s="37">
        <f t="shared" si="1"/>
        <v>1040.3399999999999</v>
      </c>
      <c r="AF7" s="37">
        <f t="shared" si="1"/>
        <v>924.54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10</v>
      </c>
      <c r="D11" s="49">
        <v>10</v>
      </c>
      <c r="E11" s="49">
        <v>11</v>
      </c>
      <c r="F11" s="49">
        <v>11</v>
      </c>
      <c r="G11" s="49">
        <v>9.8000000000000007</v>
      </c>
      <c r="H11" s="49">
        <v>40</v>
      </c>
      <c r="I11" s="49">
        <v>90</v>
      </c>
      <c r="J11" s="49">
        <v>140</v>
      </c>
      <c r="K11" s="49">
        <v>200</v>
      </c>
      <c r="L11" s="49">
        <v>400</v>
      </c>
      <c r="M11" s="50">
        <v>420</v>
      </c>
      <c r="N11" s="50">
        <v>350</v>
      </c>
      <c r="O11" s="50">
        <v>370</v>
      </c>
      <c r="P11" s="50">
        <v>145</v>
      </c>
      <c r="Q11" s="50">
        <v>50</v>
      </c>
      <c r="R11" s="50">
        <v>30</v>
      </c>
      <c r="S11" s="50" t="s">
        <v>218</v>
      </c>
      <c r="T11" s="50">
        <v>17</v>
      </c>
      <c r="U11" s="50">
        <v>16</v>
      </c>
      <c r="V11" s="50">
        <v>220</v>
      </c>
      <c r="W11" s="50">
        <v>340</v>
      </c>
      <c r="X11" s="50">
        <v>390</v>
      </c>
      <c r="Y11" s="50">
        <v>400</v>
      </c>
      <c r="Z11" s="52">
        <v>370</v>
      </c>
      <c r="AA11" s="52">
        <v>370</v>
      </c>
      <c r="AB11" s="52">
        <v>300</v>
      </c>
      <c r="AC11" s="50">
        <v>250</v>
      </c>
      <c r="AD11" s="50">
        <v>150</v>
      </c>
      <c r="AE11" s="50">
        <v>50</v>
      </c>
      <c r="AF11" s="49">
        <v>20</v>
      </c>
      <c r="AG11" s="53">
        <v>456</v>
      </c>
      <c r="AH11" s="54">
        <f>MAX(B11:AF11)</f>
        <v>420</v>
      </c>
      <c r="AI11" s="55">
        <f>MIN(B11:AF11)</f>
        <v>9.8000000000000007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49">
        <v>55</v>
      </c>
      <c r="N12" s="49">
        <v>55</v>
      </c>
      <c r="O12" s="49">
        <v>55</v>
      </c>
      <c r="P12" s="49">
        <v>55</v>
      </c>
      <c r="Q12" s="49">
        <v>55</v>
      </c>
      <c r="R12" s="49">
        <v>55</v>
      </c>
      <c r="S12" s="58" t="s">
        <v>219</v>
      </c>
      <c r="T12" s="58">
        <v>55</v>
      </c>
      <c r="U12" s="58">
        <v>55</v>
      </c>
      <c r="V12" s="58">
        <v>55</v>
      </c>
      <c r="W12" s="58">
        <v>55</v>
      </c>
      <c r="X12" s="58">
        <v>55</v>
      </c>
      <c r="Y12" s="58">
        <v>55</v>
      </c>
      <c r="Z12" s="58">
        <v>55</v>
      </c>
      <c r="AA12" s="58">
        <v>55</v>
      </c>
      <c r="AB12" s="58">
        <v>55</v>
      </c>
      <c r="AC12" s="58">
        <v>55</v>
      </c>
      <c r="AD12" s="58">
        <v>55</v>
      </c>
      <c r="AE12" s="58">
        <v>55</v>
      </c>
      <c r="AF12" s="58">
        <v>55</v>
      </c>
      <c r="AG12" s="59">
        <v>60</v>
      </c>
      <c r="AH12" s="54">
        <f t="shared" ref="AH12:AH75" si="2">MAX(B12:AF12)</f>
        <v>55</v>
      </c>
      <c r="AI12" s="55">
        <f t="shared" ref="AI12:AI75" si="3">MIN(B12:AF12)</f>
        <v>55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28.2</v>
      </c>
      <c r="C13" s="50">
        <v>28.2</v>
      </c>
      <c r="D13" s="50">
        <v>28.2</v>
      </c>
      <c r="E13" s="50">
        <v>28.2</v>
      </c>
      <c r="F13" s="50">
        <v>28.2</v>
      </c>
      <c r="G13" s="50">
        <v>28.2</v>
      </c>
      <c r="H13" s="50">
        <v>28.2</v>
      </c>
      <c r="I13" s="50">
        <v>28.2</v>
      </c>
      <c r="J13" s="50">
        <v>28.2</v>
      </c>
      <c r="K13" s="50">
        <v>28.2</v>
      </c>
      <c r="L13" s="50">
        <v>28.2</v>
      </c>
      <c r="M13" s="49">
        <v>28.2</v>
      </c>
      <c r="N13" s="49">
        <v>28.2</v>
      </c>
      <c r="O13" s="49">
        <v>28.2</v>
      </c>
      <c r="P13" s="49">
        <v>28.2</v>
      </c>
      <c r="Q13" s="49">
        <v>28.2</v>
      </c>
      <c r="R13" s="49">
        <v>28.2</v>
      </c>
      <c r="S13" s="58" t="s">
        <v>218</v>
      </c>
      <c r="T13" s="58">
        <v>28.2</v>
      </c>
      <c r="U13" s="58">
        <v>28.2</v>
      </c>
      <c r="V13" s="58">
        <v>28.2</v>
      </c>
      <c r="W13" s="58">
        <v>28.2</v>
      </c>
      <c r="X13" s="58">
        <v>28.2</v>
      </c>
      <c r="Y13" s="58">
        <v>28.2</v>
      </c>
      <c r="Z13" s="58">
        <v>28.2</v>
      </c>
      <c r="AA13" s="58">
        <v>28.2</v>
      </c>
      <c r="AB13" s="58">
        <v>28.2</v>
      </c>
      <c r="AC13" s="58">
        <v>28.2</v>
      </c>
      <c r="AD13" s="58">
        <v>28.2</v>
      </c>
      <c r="AE13" s="58">
        <v>28.2</v>
      </c>
      <c r="AF13" s="58">
        <v>28.2</v>
      </c>
      <c r="AG13" s="59">
        <v>52.4</v>
      </c>
      <c r="AH13" s="54">
        <f t="shared" si="2"/>
        <v>28.2</v>
      </c>
      <c r="AI13" s="55">
        <f t="shared" si="3"/>
        <v>28.2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50.2</v>
      </c>
      <c r="C14" s="50">
        <v>50.4</v>
      </c>
      <c r="D14" s="50">
        <v>50.8</v>
      </c>
      <c r="E14" s="50">
        <v>50.8</v>
      </c>
      <c r="F14" s="50">
        <v>50.8</v>
      </c>
      <c r="G14" s="50">
        <v>50.8</v>
      </c>
      <c r="H14" s="50">
        <v>50.8</v>
      </c>
      <c r="I14" s="50">
        <v>50.8</v>
      </c>
      <c r="J14" s="50">
        <v>50.8</v>
      </c>
      <c r="K14" s="50">
        <v>50.8</v>
      </c>
      <c r="L14" s="50">
        <v>50.3</v>
      </c>
      <c r="M14" s="50">
        <v>50.3</v>
      </c>
      <c r="N14" s="50">
        <v>50.3</v>
      </c>
      <c r="O14" s="50">
        <v>50.6</v>
      </c>
      <c r="P14" s="50">
        <v>50.6</v>
      </c>
      <c r="Q14" s="50">
        <v>50.6</v>
      </c>
      <c r="R14" s="50">
        <v>50.6</v>
      </c>
      <c r="S14" s="60" t="s">
        <v>220</v>
      </c>
      <c r="T14" s="60">
        <v>50.6</v>
      </c>
      <c r="U14" s="60">
        <v>50.6</v>
      </c>
      <c r="V14" s="60">
        <v>50.6</v>
      </c>
      <c r="W14" s="60">
        <v>50.6</v>
      </c>
      <c r="X14" s="60">
        <v>50.6</v>
      </c>
      <c r="Y14" s="60">
        <v>50.6</v>
      </c>
      <c r="Z14" s="60">
        <v>50.6</v>
      </c>
      <c r="AA14" s="60">
        <v>50.6</v>
      </c>
      <c r="AB14" s="60">
        <v>50</v>
      </c>
      <c r="AC14" s="60">
        <v>50</v>
      </c>
      <c r="AD14" s="60">
        <v>50</v>
      </c>
      <c r="AE14" s="60">
        <v>50</v>
      </c>
      <c r="AF14" s="60">
        <v>50</v>
      </c>
      <c r="AG14" s="59">
        <v>50</v>
      </c>
      <c r="AH14" s="54">
        <f t="shared" si="2"/>
        <v>50.8</v>
      </c>
      <c r="AI14" s="55">
        <f t="shared" si="3"/>
        <v>50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27.2</v>
      </c>
      <c r="C15" s="50">
        <v>25.6</v>
      </c>
      <c r="D15" s="50">
        <v>25.6</v>
      </c>
      <c r="E15" s="50">
        <v>25.6</v>
      </c>
      <c r="F15" s="50">
        <v>25.6</v>
      </c>
      <c r="G15" s="50">
        <v>25.6</v>
      </c>
      <c r="H15" s="50">
        <v>25.6</v>
      </c>
      <c r="I15" s="50">
        <v>25.6</v>
      </c>
      <c r="J15" s="50">
        <v>25.6</v>
      </c>
      <c r="K15" s="50">
        <v>25.6</v>
      </c>
      <c r="L15" s="50">
        <v>24.6</v>
      </c>
      <c r="M15" s="50">
        <v>24.6</v>
      </c>
      <c r="N15" s="50">
        <v>24.6</v>
      </c>
      <c r="O15" s="50">
        <v>23.6</v>
      </c>
      <c r="P15" s="50">
        <v>23.6</v>
      </c>
      <c r="Q15" s="50">
        <v>23.6</v>
      </c>
      <c r="R15" s="50">
        <v>23.6</v>
      </c>
      <c r="S15" s="60" t="s">
        <v>221</v>
      </c>
      <c r="T15" s="60">
        <v>23.6</v>
      </c>
      <c r="U15" s="60">
        <v>23.6</v>
      </c>
      <c r="V15" s="60">
        <v>29.8</v>
      </c>
      <c r="W15" s="60">
        <v>29.8</v>
      </c>
      <c r="X15" s="60">
        <v>29</v>
      </c>
      <c r="Y15" s="60">
        <v>29</v>
      </c>
      <c r="Z15" s="60">
        <v>28.1</v>
      </c>
      <c r="AA15" s="60">
        <v>28.1</v>
      </c>
      <c r="AB15" s="60">
        <v>28.3</v>
      </c>
      <c r="AC15" s="60">
        <v>28.3</v>
      </c>
      <c r="AD15" s="60">
        <v>28.3</v>
      </c>
      <c r="AE15" s="60">
        <v>27.8</v>
      </c>
      <c r="AF15" s="60">
        <v>27.8</v>
      </c>
      <c r="AG15" s="62">
        <v>45</v>
      </c>
      <c r="AH15" s="54">
        <f t="shared" si="2"/>
        <v>29.8</v>
      </c>
      <c r="AI15" s="55">
        <f t="shared" si="3"/>
        <v>23.6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16</v>
      </c>
      <c r="C16" s="50">
        <v>16</v>
      </c>
      <c r="D16" s="50">
        <v>16</v>
      </c>
      <c r="E16" s="50">
        <v>16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0">
        <v>16</v>
      </c>
      <c r="M16" s="50">
        <v>16</v>
      </c>
      <c r="N16" s="50">
        <v>16</v>
      </c>
      <c r="O16" s="50">
        <v>16</v>
      </c>
      <c r="P16" s="50">
        <v>0</v>
      </c>
      <c r="Q16" s="50">
        <v>0</v>
      </c>
      <c r="R16" s="50">
        <v>0</v>
      </c>
      <c r="S16" s="63" t="s">
        <v>222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14</v>
      </c>
      <c r="AC16" s="63">
        <v>14</v>
      </c>
      <c r="AD16" s="63">
        <v>14</v>
      </c>
      <c r="AE16" s="63">
        <v>14</v>
      </c>
      <c r="AF16" s="63">
        <v>14</v>
      </c>
      <c r="AG16" s="59">
        <v>45</v>
      </c>
      <c r="AH16" s="54">
        <f t="shared" si="2"/>
        <v>16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60"/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59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 t="s">
        <v>223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12.6</v>
      </c>
      <c r="C19" s="50">
        <v>12.6</v>
      </c>
      <c r="D19" s="50">
        <v>12.6</v>
      </c>
      <c r="E19" s="50">
        <v>12.6</v>
      </c>
      <c r="F19" s="50">
        <v>12.6</v>
      </c>
      <c r="G19" s="50">
        <v>12.6</v>
      </c>
      <c r="H19" s="50">
        <v>12.6</v>
      </c>
      <c r="I19" s="50">
        <v>12.6</v>
      </c>
      <c r="J19" s="50">
        <v>12.6</v>
      </c>
      <c r="K19" s="50">
        <v>12.6</v>
      </c>
      <c r="L19" s="50">
        <v>12.5</v>
      </c>
      <c r="M19" s="50">
        <v>12.5</v>
      </c>
      <c r="N19" s="50">
        <v>12.5</v>
      </c>
      <c r="O19" s="50">
        <v>13.3</v>
      </c>
      <c r="P19" s="50">
        <v>13.3</v>
      </c>
      <c r="Q19" s="50">
        <v>13.3</v>
      </c>
      <c r="R19" s="50">
        <v>13.3</v>
      </c>
      <c r="S19" s="50" t="s">
        <v>224</v>
      </c>
      <c r="T19" s="50">
        <v>13.3</v>
      </c>
      <c r="U19" s="50">
        <v>13.3</v>
      </c>
      <c r="V19" s="50">
        <v>12.8</v>
      </c>
      <c r="W19" s="50">
        <v>12.8</v>
      </c>
      <c r="X19" s="50">
        <v>12.8</v>
      </c>
      <c r="Y19" s="50">
        <v>12.8</v>
      </c>
      <c r="Z19" s="50">
        <v>12.8</v>
      </c>
      <c r="AA19" s="50">
        <v>12.8</v>
      </c>
      <c r="AB19" s="50">
        <v>12.7</v>
      </c>
      <c r="AC19" s="50">
        <v>12.7</v>
      </c>
      <c r="AD19" s="50">
        <v>12.7</v>
      </c>
      <c r="AE19" s="50">
        <v>12.8</v>
      </c>
      <c r="AF19" s="50">
        <v>12.8</v>
      </c>
      <c r="AG19" s="59">
        <v>30</v>
      </c>
      <c r="AH19" s="54">
        <f t="shared" si="2"/>
        <v>13.3</v>
      </c>
      <c r="AI19" s="55">
        <f t="shared" si="3"/>
        <v>12.5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 t="s">
        <v>225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 t="s">
        <v>225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18</v>
      </c>
      <c r="C22" s="50">
        <v>18</v>
      </c>
      <c r="D22" s="50">
        <v>18</v>
      </c>
      <c r="E22" s="50">
        <v>18</v>
      </c>
      <c r="F22" s="50">
        <v>18</v>
      </c>
      <c r="G22" s="50">
        <v>18</v>
      </c>
      <c r="H22" s="50">
        <v>18</v>
      </c>
      <c r="I22" s="50">
        <v>18</v>
      </c>
      <c r="J22" s="50">
        <v>18</v>
      </c>
      <c r="K22" s="50">
        <v>18</v>
      </c>
      <c r="L22" s="50">
        <v>18</v>
      </c>
      <c r="M22" s="50">
        <v>18</v>
      </c>
      <c r="N22" s="50">
        <v>18</v>
      </c>
      <c r="O22" s="50">
        <v>18</v>
      </c>
      <c r="P22" s="50">
        <v>18</v>
      </c>
      <c r="Q22" s="50">
        <v>18</v>
      </c>
      <c r="R22" s="50">
        <v>18</v>
      </c>
      <c r="S22" s="50" t="s">
        <v>226</v>
      </c>
      <c r="T22" s="50">
        <v>18</v>
      </c>
      <c r="U22" s="50">
        <v>18</v>
      </c>
      <c r="V22" s="50">
        <v>18</v>
      </c>
      <c r="W22" s="50">
        <v>18</v>
      </c>
      <c r="X22" s="50">
        <v>21</v>
      </c>
      <c r="Y22" s="50">
        <v>17</v>
      </c>
      <c r="Z22" s="50">
        <v>16.600000000000001</v>
      </c>
      <c r="AA22" s="50">
        <v>16.600000000000001</v>
      </c>
      <c r="AB22" s="50">
        <v>16.399999999999999</v>
      </c>
      <c r="AC22" s="50">
        <v>16.399999999999999</v>
      </c>
      <c r="AD22" s="50">
        <v>16.399999999999999</v>
      </c>
      <c r="AE22" s="50">
        <v>16.899999999999999</v>
      </c>
      <c r="AF22" s="50">
        <v>16.899999999999999</v>
      </c>
      <c r="AG22" s="59">
        <v>25</v>
      </c>
      <c r="AH22" s="54">
        <f t="shared" si="2"/>
        <v>21</v>
      </c>
      <c r="AI22" s="55">
        <f t="shared" si="3"/>
        <v>16.399999999999999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 t="s">
        <v>227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</v>
      </c>
      <c r="C24" s="50">
        <v>10</v>
      </c>
      <c r="D24" s="50">
        <v>10</v>
      </c>
      <c r="E24" s="50">
        <v>10</v>
      </c>
      <c r="F24" s="50">
        <v>10</v>
      </c>
      <c r="G24" s="50">
        <v>10</v>
      </c>
      <c r="H24" s="50">
        <v>10</v>
      </c>
      <c r="I24" s="50">
        <v>10</v>
      </c>
      <c r="J24" s="50">
        <v>10</v>
      </c>
      <c r="K24" s="50">
        <v>10</v>
      </c>
      <c r="L24" s="50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 t="s">
        <v>218</v>
      </c>
      <c r="T24" s="50">
        <v>10</v>
      </c>
      <c r="U24" s="50">
        <v>10</v>
      </c>
      <c r="V24" s="50">
        <v>9.9</v>
      </c>
      <c r="W24" s="50">
        <v>9.9</v>
      </c>
      <c r="X24" s="50">
        <v>9.9</v>
      </c>
      <c r="Y24" s="50">
        <v>9.9</v>
      </c>
      <c r="Z24" s="50">
        <v>9.9</v>
      </c>
      <c r="AA24" s="50">
        <v>9.9</v>
      </c>
      <c r="AB24" s="50">
        <v>9.9</v>
      </c>
      <c r="AC24" s="50">
        <v>9.9</v>
      </c>
      <c r="AD24" s="50">
        <v>9.9</v>
      </c>
      <c r="AE24" s="50">
        <v>9.9</v>
      </c>
      <c r="AF24" s="50">
        <v>9.9</v>
      </c>
      <c r="AG24" s="59">
        <v>25</v>
      </c>
      <c r="AH24" s="54">
        <f t="shared" si="2"/>
        <v>10</v>
      </c>
      <c r="AI24" s="55">
        <f t="shared" si="3"/>
        <v>9.9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 t="s">
        <v>221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0">
        <v>11</v>
      </c>
      <c r="N26" s="50">
        <v>11</v>
      </c>
      <c r="O26" s="50">
        <v>11</v>
      </c>
      <c r="P26" s="50">
        <v>11</v>
      </c>
      <c r="Q26" s="50">
        <v>11</v>
      </c>
      <c r="R26" s="50">
        <v>11</v>
      </c>
      <c r="S26" s="50" t="s">
        <v>228</v>
      </c>
      <c r="T26" s="50">
        <v>11</v>
      </c>
      <c r="U26" s="50">
        <v>11</v>
      </c>
      <c r="V26" s="50">
        <v>11</v>
      </c>
      <c r="W26" s="50">
        <v>11</v>
      </c>
      <c r="X26" s="50">
        <v>11</v>
      </c>
      <c r="Y26" s="50">
        <v>11</v>
      </c>
      <c r="Z26" s="50">
        <v>11</v>
      </c>
      <c r="AA26" s="50">
        <v>11</v>
      </c>
      <c r="AB26" s="50">
        <v>11</v>
      </c>
      <c r="AC26" s="50">
        <v>11</v>
      </c>
      <c r="AD26" s="50">
        <v>11</v>
      </c>
      <c r="AE26" s="50">
        <v>11</v>
      </c>
      <c r="AF26" s="50">
        <v>11</v>
      </c>
      <c r="AG26" s="59">
        <v>20</v>
      </c>
      <c r="AH26" s="54">
        <f t="shared" si="2"/>
        <v>11</v>
      </c>
      <c r="AI26" s="55">
        <f t="shared" si="3"/>
        <v>11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/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/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/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/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/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/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/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/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67">
        <v>20</v>
      </c>
      <c r="AH34" s="54">
        <f t="shared" si="2"/>
        <v>6.2</v>
      </c>
      <c r="AI34" s="55">
        <f t="shared" si="3"/>
        <v>6.2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/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170</v>
      </c>
      <c r="C36" s="61">
        <v>170</v>
      </c>
      <c r="D36" s="61">
        <v>170</v>
      </c>
      <c r="E36" s="61">
        <v>170</v>
      </c>
      <c r="F36" s="61">
        <v>170</v>
      </c>
      <c r="G36" s="61">
        <v>170</v>
      </c>
      <c r="H36" s="61">
        <v>170</v>
      </c>
      <c r="I36" s="61">
        <v>170</v>
      </c>
      <c r="J36" s="61">
        <v>170</v>
      </c>
      <c r="K36" s="61">
        <v>170</v>
      </c>
      <c r="L36" s="61">
        <v>170</v>
      </c>
      <c r="M36" s="61">
        <v>170</v>
      </c>
      <c r="N36" s="61">
        <v>170</v>
      </c>
      <c r="O36" s="61">
        <v>170</v>
      </c>
      <c r="P36" s="61">
        <v>170</v>
      </c>
      <c r="Q36" s="61">
        <v>170</v>
      </c>
      <c r="R36" s="61">
        <v>170</v>
      </c>
      <c r="S36" s="61"/>
      <c r="T36" s="61">
        <v>170</v>
      </c>
      <c r="U36" s="61">
        <v>170</v>
      </c>
      <c r="V36" s="61">
        <v>170</v>
      </c>
      <c r="W36" s="61">
        <v>170</v>
      </c>
      <c r="X36" s="61">
        <v>170</v>
      </c>
      <c r="Y36" s="61">
        <v>170</v>
      </c>
      <c r="Z36" s="61">
        <v>170</v>
      </c>
      <c r="AA36" s="61">
        <v>170</v>
      </c>
      <c r="AB36" s="61">
        <v>170</v>
      </c>
      <c r="AC36" s="61">
        <v>170</v>
      </c>
      <c r="AD36" s="61">
        <v>170</v>
      </c>
      <c r="AE36" s="61">
        <v>170</v>
      </c>
      <c r="AF36" s="61">
        <v>170</v>
      </c>
      <c r="AG36" s="67">
        <v>85</v>
      </c>
      <c r="AH36" s="54">
        <f t="shared" si="2"/>
        <v>170</v>
      </c>
      <c r="AI36" s="55">
        <f t="shared" si="3"/>
        <v>170</v>
      </c>
      <c r="AK36" s="56"/>
    </row>
    <row r="37" spans="1:88" ht="15.75" thickBot="1" x14ac:dyDescent="0.3">
      <c r="A37" s="69" t="s">
        <v>45</v>
      </c>
      <c r="B37" s="61">
        <f>17.9+38.1</f>
        <v>56</v>
      </c>
      <c r="C37" s="61">
        <f>18.1+34</f>
        <v>52.1</v>
      </c>
      <c r="D37" s="61">
        <f>18.2+39.6</f>
        <v>57.8</v>
      </c>
      <c r="E37" s="61">
        <v>56</v>
      </c>
      <c r="F37" s="61">
        <v>54.1</v>
      </c>
      <c r="G37" s="61">
        <v>56.1</v>
      </c>
      <c r="H37" s="61">
        <v>55.1</v>
      </c>
      <c r="I37" s="61">
        <v>56</v>
      </c>
      <c r="J37" s="61">
        <f t="shared" ref="J37:K37" si="4">18.2+39.6</f>
        <v>57.8</v>
      </c>
      <c r="K37" s="61">
        <f t="shared" si="4"/>
        <v>57.8</v>
      </c>
      <c r="L37" s="61">
        <f>18.7+35.9</f>
        <v>54.599999999999994</v>
      </c>
      <c r="M37" s="70">
        <v>41</v>
      </c>
      <c r="N37" s="70">
        <v>55</v>
      </c>
      <c r="O37" s="70">
        <f>18.1+39.8</f>
        <v>57.9</v>
      </c>
      <c r="P37" s="70">
        <f>18.1+37.8</f>
        <v>55.9</v>
      </c>
      <c r="Q37" s="70">
        <f>18.2+41</f>
        <v>59.2</v>
      </c>
      <c r="R37" s="70">
        <f>18.2+41</f>
        <v>59.2</v>
      </c>
      <c r="S37" s="70"/>
      <c r="T37" s="70">
        <f>18.7+41.8</f>
        <v>60.5</v>
      </c>
      <c r="U37" s="70">
        <f>17.8+38.3</f>
        <v>56.099999999999994</v>
      </c>
      <c r="V37" s="70">
        <f>17.1+34.2</f>
        <v>51.300000000000004</v>
      </c>
      <c r="W37" s="70">
        <f>17.1+34.2</f>
        <v>51.300000000000004</v>
      </c>
      <c r="X37" s="70">
        <v>50.099999999999994</v>
      </c>
      <c r="Y37" s="70">
        <v>50.099999999999994</v>
      </c>
      <c r="Z37" s="70">
        <v>50.099999999999994</v>
      </c>
      <c r="AA37" s="70">
        <f>16.8+37</f>
        <v>53.8</v>
      </c>
      <c r="AB37" s="70">
        <f>17+34.1</f>
        <v>51.1</v>
      </c>
      <c r="AC37" s="70">
        <f>17+34.1</f>
        <v>51.1</v>
      </c>
      <c r="AD37" s="70">
        <v>51.7</v>
      </c>
      <c r="AE37" s="70">
        <f>19.4+35</f>
        <v>54.4</v>
      </c>
      <c r="AF37" s="70">
        <f>19.4+37.8</f>
        <v>57.199999999999996</v>
      </c>
      <c r="AG37" s="67">
        <v>240</v>
      </c>
      <c r="AH37" s="54">
        <f t="shared" si="2"/>
        <v>60.5</v>
      </c>
      <c r="AI37" s="55">
        <f t="shared" si="3"/>
        <v>41</v>
      </c>
      <c r="AK37" s="56"/>
    </row>
    <row r="38" spans="1:88" ht="15.75" thickBot="1" x14ac:dyDescent="0.3">
      <c r="A38" s="71" t="s">
        <v>46</v>
      </c>
      <c r="B38" s="72">
        <f t="shared" ref="B38:AF38" si="5">SUM(B11:B36)</f>
        <v>495.09999999999997</v>
      </c>
      <c r="C38" s="72">
        <f t="shared" si="5"/>
        <v>493.7</v>
      </c>
      <c r="D38" s="72">
        <f t="shared" si="5"/>
        <v>494.09999999999997</v>
      </c>
      <c r="E38" s="72">
        <f t="shared" si="5"/>
        <v>495.09999999999997</v>
      </c>
      <c r="F38" s="72">
        <f t="shared" si="5"/>
        <v>495.09999999999997</v>
      </c>
      <c r="G38" s="72">
        <f t="shared" si="5"/>
        <v>493.9</v>
      </c>
      <c r="H38" s="72">
        <f t="shared" si="5"/>
        <v>524.09999999999991</v>
      </c>
      <c r="I38" s="72">
        <f t="shared" si="5"/>
        <v>574.1</v>
      </c>
      <c r="J38" s="72">
        <f t="shared" si="5"/>
        <v>624.1</v>
      </c>
      <c r="K38" s="72">
        <f t="shared" si="5"/>
        <v>684.1</v>
      </c>
      <c r="L38" s="72">
        <f t="shared" si="5"/>
        <v>882.50000000000011</v>
      </c>
      <c r="M38" s="72">
        <f t="shared" si="5"/>
        <v>902.50000000000011</v>
      </c>
      <c r="N38" s="72">
        <f t="shared" si="5"/>
        <v>832.50000000000011</v>
      </c>
      <c r="O38" s="72">
        <f t="shared" si="5"/>
        <v>852.6</v>
      </c>
      <c r="P38" s="72">
        <f t="shared" si="5"/>
        <v>611.6</v>
      </c>
      <c r="Q38" s="72">
        <f t="shared" si="5"/>
        <v>516.59999999999991</v>
      </c>
      <c r="R38" s="72">
        <f t="shared" si="5"/>
        <v>496.59999999999997</v>
      </c>
      <c r="S38" s="72">
        <f t="shared" si="5"/>
        <v>0</v>
      </c>
      <c r="T38" s="72">
        <f t="shared" si="5"/>
        <v>483.59999999999997</v>
      </c>
      <c r="U38" s="72">
        <f t="shared" si="5"/>
        <v>482.59999999999997</v>
      </c>
      <c r="V38" s="72">
        <f t="shared" si="5"/>
        <v>692.2</v>
      </c>
      <c r="W38" s="72">
        <f t="shared" si="5"/>
        <v>812.2</v>
      </c>
      <c r="X38" s="72">
        <f t="shared" si="5"/>
        <v>864.4</v>
      </c>
      <c r="Y38" s="72">
        <f t="shared" si="5"/>
        <v>870.4</v>
      </c>
      <c r="Z38" s="72">
        <f t="shared" si="5"/>
        <v>839.1</v>
      </c>
      <c r="AA38" s="72">
        <f t="shared" si="5"/>
        <v>839.1</v>
      </c>
      <c r="AB38" s="72">
        <f t="shared" si="5"/>
        <v>782.4</v>
      </c>
      <c r="AC38" s="72">
        <f t="shared" si="5"/>
        <v>732.4</v>
      </c>
      <c r="AD38" s="72">
        <f t="shared" si="5"/>
        <v>632.39999999999986</v>
      </c>
      <c r="AE38" s="72">
        <f t="shared" si="5"/>
        <v>532.5</v>
      </c>
      <c r="AF38" s="72">
        <f t="shared" si="5"/>
        <v>502.49999999999994</v>
      </c>
      <c r="AG38" s="67">
        <f>SUM(AG11:AG37)</f>
        <v>1492.8299999999997</v>
      </c>
      <c r="AH38" s="54">
        <f t="shared" si="2"/>
        <v>902.50000000000011</v>
      </c>
      <c r="AI38" s="55">
        <f t="shared" si="3"/>
        <v>0</v>
      </c>
      <c r="AK38" s="56"/>
    </row>
    <row r="39" spans="1:88" x14ac:dyDescent="0.25">
      <c r="A39" s="57" t="s">
        <v>47</v>
      </c>
      <c r="B39" s="49">
        <v>61.4</v>
      </c>
      <c r="C39" s="61">
        <v>61.4</v>
      </c>
      <c r="D39" s="61">
        <v>59.9</v>
      </c>
      <c r="E39" s="61">
        <v>59.9</v>
      </c>
      <c r="F39" s="61">
        <v>55</v>
      </c>
      <c r="G39" s="61">
        <v>60</v>
      </c>
      <c r="H39" s="61">
        <v>60</v>
      </c>
      <c r="I39" s="61">
        <v>101</v>
      </c>
      <c r="J39" s="61">
        <v>101</v>
      </c>
      <c r="K39" s="61">
        <v>145</v>
      </c>
      <c r="L39" s="61">
        <v>145.80000000000001</v>
      </c>
      <c r="M39" s="50">
        <v>145.80000000000001</v>
      </c>
      <c r="N39" s="50">
        <v>145.80000000000001</v>
      </c>
      <c r="O39" s="50">
        <v>145.80000000000001</v>
      </c>
      <c r="P39" s="50">
        <v>145.80000000000001</v>
      </c>
      <c r="Q39" s="50">
        <v>126.4</v>
      </c>
      <c r="R39" s="50">
        <v>121.9</v>
      </c>
      <c r="S39" s="50"/>
      <c r="T39" s="50">
        <v>100</v>
      </c>
      <c r="U39" s="50">
        <v>146.5</v>
      </c>
      <c r="V39" s="50">
        <v>146.5</v>
      </c>
      <c r="W39" s="50">
        <v>146.5</v>
      </c>
      <c r="X39" s="50">
        <v>145.6</v>
      </c>
      <c r="Y39" s="50">
        <v>145.6</v>
      </c>
      <c r="Z39" s="50">
        <v>145.6</v>
      </c>
      <c r="AA39" s="50">
        <v>145.6</v>
      </c>
      <c r="AB39" s="50">
        <v>145.1</v>
      </c>
      <c r="AC39" s="50">
        <v>145.1</v>
      </c>
      <c r="AD39" s="50">
        <v>145.1</v>
      </c>
      <c r="AE39" s="50">
        <v>111.5</v>
      </c>
      <c r="AF39" s="49">
        <v>81.099999999999994</v>
      </c>
      <c r="AG39" s="62">
        <v>144</v>
      </c>
      <c r="AH39" s="54">
        <f t="shared" si="2"/>
        <v>146.5</v>
      </c>
      <c r="AI39" s="55">
        <f t="shared" si="3"/>
        <v>55</v>
      </c>
      <c r="AK39" s="56"/>
    </row>
    <row r="40" spans="1:88" x14ac:dyDescent="0.25">
      <c r="A40" s="66" t="s">
        <v>48</v>
      </c>
      <c r="B40" s="61">
        <v>24.8</v>
      </c>
      <c r="C40" s="61">
        <v>25.4</v>
      </c>
      <c r="D40" s="61">
        <v>25.7</v>
      </c>
      <c r="E40" s="61">
        <v>25.7</v>
      </c>
      <c r="F40" s="61">
        <v>25</v>
      </c>
      <c r="G40" s="61">
        <v>50</v>
      </c>
      <c r="H40" s="61">
        <v>50</v>
      </c>
      <c r="I40" s="61">
        <v>55</v>
      </c>
      <c r="J40" s="61">
        <v>55</v>
      </c>
      <c r="K40" s="61">
        <v>71</v>
      </c>
      <c r="L40" s="61">
        <v>72.099999999999994</v>
      </c>
      <c r="M40" s="73">
        <v>71.7</v>
      </c>
      <c r="N40" s="73">
        <v>71.7</v>
      </c>
      <c r="O40" s="73">
        <v>72.5</v>
      </c>
      <c r="P40" s="73">
        <v>70.900000000000006</v>
      </c>
      <c r="Q40" s="73">
        <v>59.7</v>
      </c>
      <c r="R40" s="73">
        <v>50</v>
      </c>
      <c r="S40" s="73"/>
      <c r="T40" s="73">
        <v>60.4</v>
      </c>
      <c r="U40" s="73">
        <v>70.900000000000006</v>
      </c>
      <c r="V40" s="73">
        <v>70.900000000000006</v>
      </c>
      <c r="W40" s="73">
        <v>70.900000000000006</v>
      </c>
      <c r="X40" s="73">
        <v>70.599999999999994</v>
      </c>
      <c r="Y40" s="73">
        <v>70.599999999999994</v>
      </c>
      <c r="Z40" s="73">
        <v>69</v>
      </c>
      <c r="AA40" s="73">
        <v>69</v>
      </c>
      <c r="AB40" s="73">
        <v>69.900000000000006</v>
      </c>
      <c r="AC40" s="73">
        <v>69.900000000000006</v>
      </c>
      <c r="AD40" s="73">
        <v>69.900000000000006</v>
      </c>
      <c r="AE40" s="73">
        <v>29.6</v>
      </c>
      <c r="AF40" s="61">
        <v>35.799999999999997</v>
      </c>
      <c r="AG40" s="67">
        <v>70</v>
      </c>
      <c r="AH40" s="54">
        <f t="shared" si="2"/>
        <v>72.5</v>
      </c>
      <c r="AI40" s="55">
        <f t="shared" si="3"/>
        <v>24.8</v>
      </c>
      <c r="AK40" s="56"/>
    </row>
    <row r="41" spans="1:88" x14ac:dyDescent="0.25">
      <c r="A41" s="66" t="s">
        <v>49</v>
      </c>
      <c r="B41" s="61">
        <v>56.5</v>
      </c>
      <c r="C41" s="61">
        <v>40</v>
      </c>
      <c r="D41" s="61">
        <v>40.5</v>
      </c>
      <c r="E41" s="61">
        <v>40.5</v>
      </c>
      <c r="F41" s="61">
        <v>47.8</v>
      </c>
      <c r="G41" s="61">
        <v>56</v>
      </c>
      <c r="H41" s="61">
        <v>56</v>
      </c>
      <c r="I41" s="61">
        <v>55.8</v>
      </c>
      <c r="J41" s="61">
        <v>55.8</v>
      </c>
      <c r="K41" s="61">
        <v>68</v>
      </c>
      <c r="L41" s="61">
        <v>67.8</v>
      </c>
      <c r="M41" s="73">
        <v>67.400000000000006</v>
      </c>
      <c r="N41" s="73">
        <v>67.400000000000006</v>
      </c>
      <c r="O41" s="73">
        <v>62.8</v>
      </c>
      <c r="P41" s="73">
        <v>62.8</v>
      </c>
      <c r="Q41" s="73">
        <v>54.4</v>
      </c>
      <c r="R41" s="73">
        <v>55</v>
      </c>
      <c r="S41" s="73"/>
      <c r="T41" s="73">
        <v>68.5</v>
      </c>
      <c r="U41" s="73">
        <v>68.599999999999994</v>
      </c>
      <c r="V41" s="73">
        <v>68.599999999999994</v>
      </c>
      <c r="W41" s="73">
        <v>68.599999999999994</v>
      </c>
      <c r="X41" s="73">
        <v>68.8</v>
      </c>
      <c r="Y41" s="73">
        <v>68.8</v>
      </c>
      <c r="Z41" s="73">
        <v>67.8</v>
      </c>
      <c r="AA41" s="73">
        <v>67.8</v>
      </c>
      <c r="AB41" s="73">
        <v>67.599999999999994</v>
      </c>
      <c r="AC41" s="73">
        <v>67.599999999999994</v>
      </c>
      <c r="AD41" s="73">
        <v>67.599999999999994</v>
      </c>
      <c r="AE41" s="73">
        <v>55.1</v>
      </c>
      <c r="AF41" s="61">
        <v>68</v>
      </c>
      <c r="AG41" s="67">
        <v>69</v>
      </c>
      <c r="AH41" s="54">
        <f t="shared" si="2"/>
        <v>68.8</v>
      </c>
      <c r="AI41" s="55">
        <f t="shared" si="3"/>
        <v>40</v>
      </c>
      <c r="AK41" s="56"/>
    </row>
    <row r="42" spans="1:88" x14ac:dyDescent="0.25">
      <c r="A42" s="66" t="s">
        <v>50</v>
      </c>
      <c r="B42" s="61">
        <v>61.5</v>
      </c>
      <c r="C42" s="61">
        <v>61.2</v>
      </c>
      <c r="D42" s="61">
        <v>61.5</v>
      </c>
      <c r="E42" s="61">
        <v>61.5</v>
      </c>
      <c r="F42" s="61">
        <v>61.5</v>
      </c>
      <c r="G42" s="61">
        <v>61.5</v>
      </c>
      <c r="H42" s="61">
        <v>61.5</v>
      </c>
      <c r="I42" s="61">
        <v>61.5</v>
      </c>
      <c r="J42" s="61">
        <v>61.5</v>
      </c>
      <c r="K42" s="61">
        <v>61.5</v>
      </c>
      <c r="L42" s="61">
        <v>61.2</v>
      </c>
      <c r="M42" s="73">
        <v>61.2</v>
      </c>
      <c r="N42" s="73">
        <v>61.2</v>
      </c>
      <c r="O42" s="73">
        <v>61.2</v>
      </c>
      <c r="P42" s="73">
        <v>61.2</v>
      </c>
      <c r="Q42" s="73">
        <v>61.2</v>
      </c>
      <c r="R42" s="73">
        <v>61.2</v>
      </c>
      <c r="S42" s="73"/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60.7</v>
      </c>
      <c r="AC42" s="73">
        <v>60.7</v>
      </c>
      <c r="AD42" s="73">
        <v>60.7</v>
      </c>
      <c r="AE42" s="73">
        <v>60.4</v>
      </c>
      <c r="AF42" s="61">
        <v>60.4</v>
      </c>
      <c r="AG42" s="67">
        <v>60</v>
      </c>
      <c r="AH42" s="54">
        <f t="shared" si="2"/>
        <v>61.5</v>
      </c>
      <c r="AI42" s="55">
        <f t="shared" si="3"/>
        <v>60.4</v>
      </c>
      <c r="AK42" s="56"/>
    </row>
    <row r="43" spans="1:88" x14ac:dyDescent="0.25">
      <c r="A43" s="66" t="s">
        <v>51</v>
      </c>
      <c r="B43" s="61">
        <v>10</v>
      </c>
      <c r="C43" s="61">
        <v>10.3</v>
      </c>
      <c r="D43" s="61">
        <v>10.1</v>
      </c>
      <c r="E43" s="61">
        <v>10.1</v>
      </c>
      <c r="F43" s="61">
        <v>10.1</v>
      </c>
      <c r="G43" s="61">
        <v>10.1</v>
      </c>
      <c r="H43" s="61">
        <v>10.1</v>
      </c>
      <c r="I43" s="61">
        <v>24</v>
      </c>
      <c r="J43" s="61">
        <v>24</v>
      </c>
      <c r="K43" s="61">
        <v>28</v>
      </c>
      <c r="L43" s="61">
        <v>27.7</v>
      </c>
      <c r="M43" s="50">
        <v>17.3</v>
      </c>
      <c r="N43" s="50">
        <v>17.3</v>
      </c>
      <c r="O43" s="50">
        <v>15</v>
      </c>
      <c r="P43" s="50">
        <v>15</v>
      </c>
      <c r="Q43" s="50">
        <v>10</v>
      </c>
      <c r="R43" s="50">
        <v>10</v>
      </c>
      <c r="S43" s="50"/>
      <c r="T43" s="50">
        <v>14.9</v>
      </c>
      <c r="U43" s="50">
        <v>10.3</v>
      </c>
      <c r="V43" s="50">
        <v>10.3</v>
      </c>
      <c r="W43" s="50">
        <v>27.4</v>
      </c>
      <c r="X43" s="50">
        <v>27.6</v>
      </c>
      <c r="Y43" s="50">
        <v>27.6</v>
      </c>
      <c r="Z43" s="50">
        <v>27.3</v>
      </c>
      <c r="AA43" s="50">
        <v>27.1</v>
      </c>
      <c r="AB43" s="73">
        <v>21.4</v>
      </c>
      <c r="AC43" s="73">
        <v>10</v>
      </c>
      <c r="AD43" s="73">
        <v>10</v>
      </c>
      <c r="AE43" s="73">
        <v>10.5</v>
      </c>
      <c r="AF43" s="73">
        <v>10.5</v>
      </c>
      <c r="AG43" s="67">
        <v>30</v>
      </c>
      <c r="AH43" s="54">
        <f t="shared" si="2"/>
        <v>28</v>
      </c>
      <c r="AI43" s="55">
        <f t="shared" si="3"/>
        <v>10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/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/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61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/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14</v>
      </c>
      <c r="C47" s="50">
        <v>14</v>
      </c>
      <c r="D47" s="50">
        <v>14</v>
      </c>
      <c r="E47" s="50">
        <v>14</v>
      </c>
      <c r="F47" s="50">
        <v>14</v>
      </c>
      <c r="G47" s="50">
        <v>14</v>
      </c>
      <c r="H47" s="50">
        <v>14</v>
      </c>
      <c r="I47" s="50">
        <v>14</v>
      </c>
      <c r="J47" s="50">
        <v>14</v>
      </c>
      <c r="K47" s="50">
        <v>14</v>
      </c>
      <c r="L47" s="61">
        <v>14</v>
      </c>
      <c r="M47" s="50">
        <v>14</v>
      </c>
      <c r="N47" s="50">
        <v>14</v>
      </c>
      <c r="O47" s="50">
        <v>14</v>
      </c>
      <c r="P47" s="50">
        <v>14</v>
      </c>
      <c r="Q47" s="50">
        <v>14</v>
      </c>
      <c r="R47" s="50">
        <v>14</v>
      </c>
      <c r="S47" s="50"/>
      <c r="T47" s="50">
        <v>14</v>
      </c>
      <c r="U47" s="50">
        <v>14</v>
      </c>
      <c r="V47" s="50">
        <v>14</v>
      </c>
      <c r="W47" s="50">
        <v>14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7">
        <v>14.1</v>
      </c>
      <c r="AH47" s="54">
        <f t="shared" si="2"/>
        <v>14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7</v>
      </c>
      <c r="C48" s="50">
        <v>7</v>
      </c>
      <c r="D48" s="50">
        <v>7</v>
      </c>
      <c r="E48" s="50">
        <v>7</v>
      </c>
      <c r="F48" s="50">
        <v>7</v>
      </c>
      <c r="G48" s="50">
        <v>7</v>
      </c>
      <c r="H48" s="50">
        <v>7</v>
      </c>
      <c r="I48" s="50">
        <v>7</v>
      </c>
      <c r="J48" s="50">
        <v>7</v>
      </c>
      <c r="K48" s="50">
        <v>7</v>
      </c>
      <c r="L48" s="74">
        <v>7</v>
      </c>
      <c r="M48" s="50">
        <v>7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/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50">
        <v>7</v>
      </c>
      <c r="AG48" s="67">
        <v>14</v>
      </c>
      <c r="AH48" s="54">
        <f t="shared" si="2"/>
        <v>7</v>
      </c>
      <c r="AI48" s="55">
        <f t="shared" si="3"/>
        <v>7</v>
      </c>
      <c r="AK48" s="56"/>
    </row>
    <row r="49" spans="1:37" x14ac:dyDescent="0.25">
      <c r="A49" s="66" t="s">
        <v>57</v>
      </c>
      <c r="B49" s="50">
        <v>9</v>
      </c>
      <c r="C49" s="50">
        <v>9</v>
      </c>
      <c r="D49" s="50">
        <v>9</v>
      </c>
      <c r="E49" s="50">
        <v>9</v>
      </c>
      <c r="F49" s="50">
        <v>9</v>
      </c>
      <c r="G49" s="50">
        <v>9</v>
      </c>
      <c r="H49" s="50">
        <v>9</v>
      </c>
      <c r="I49" s="50">
        <v>9</v>
      </c>
      <c r="J49" s="50">
        <v>9</v>
      </c>
      <c r="K49" s="50">
        <v>9</v>
      </c>
      <c r="L49" s="61">
        <v>9</v>
      </c>
      <c r="M49" s="50">
        <v>9</v>
      </c>
      <c r="N49" s="50">
        <v>9</v>
      </c>
      <c r="O49" s="50">
        <v>9</v>
      </c>
      <c r="P49" s="50">
        <v>9</v>
      </c>
      <c r="Q49" s="50">
        <v>9</v>
      </c>
      <c r="R49" s="50">
        <v>9</v>
      </c>
      <c r="S49" s="50"/>
      <c r="T49" s="50">
        <v>9</v>
      </c>
      <c r="U49" s="50">
        <v>9</v>
      </c>
      <c r="V49" s="50">
        <v>9</v>
      </c>
      <c r="W49" s="50">
        <v>9</v>
      </c>
      <c r="X49" s="50">
        <v>9</v>
      </c>
      <c r="Y49" s="50">
        <v>9</v>
      </c>
      <c r="Z49" s="50">
        <v>9</v>
      </c>
      <c r="AA49" s="50">
        <v>9</v>
      </c>
      <c r="AB49" s="50">
        <v>9</v>
      </c>
      <c r="AC49" s="50">
        <v>9</v>
      </c>
      <c r="AD49" s="50">
        <v>9</v>
      </c>
      <c r="AE49" s="50">
        <v>9</v>
      </c>
      <c r="AF49" s="50">
        <v>9</v>
      </c>
      <c r="AG49" s="67">
        <v>10.050000000000001</v>
      </c>
      <c r="AH49" s="54">
        <f t="shared" si="2"/>
        <v>9</v>
      </c>
      <c r="AI49" s="55">
        <f t="shared" si="3"/>
        <v>9</v>
      </c>
      <c r="AK49" s="56"/>
    </row>
    <row r="50" spans="1:37" x14ac:dyDescent="0.25">
      <c r="A50" s="66" t="s">
        <v>58</v>
      </c>
      <c r="B50" s="50">
        <v>6.2</v>
      </c>
      <c r="C50" s="50">
        <v>6.2</v>
      </c>
      <c r="D50" s="50">
        <v>6.2</v>
      </c>
      <c r="E50" s="50">
        <v>6.2</v>
      </c>
      <c r="F50" s="50">
        <v>6.2</v>
      </c>
      <c r="G50" s="50">
        <v>6.2</v>
      </c>
      <c r="H50" s="50">
        <v>6.2</v>
      </c>
      <c r="I50" s="50">
        <v>6.2</v>
      </c>
      <c r="J50" s="50">
        <v>6.2</v>
      </c>
      <c r="K50" s="50">
        <v>6.2</v>
      </c>
      <c r="L50" s="61">
        <v>6.2</v>
      </c>
      <c r="M50" s="50">
        <v>6.2</v>
      </c>
      <c r="N50" s="50">
        <v>6.2</v>
      </c>
      <c r="O50" s="50">
        <v>6.2</v>
      </c>
      <c r="P50" s="50">
        <v>6.2</v>
      </c>
      <c r="Q50" s="50">
        <v>6.2</v>
      </c>
      <c r="R50" s="50">
        <v>6.2</v>
      </c>
      <c r="S50" s="50"/>
      <c r="T50" s="50">
        <v>6.2</v>
      </c>
      <c r="U50" s="50">
        <v>6.2</v>
      </c>
      <c r="V50" s="50">
        <v>6.2</v>
      </c>
      <c r="W50" s="50">
        <v>6.2</v>
      </c>
      <c r="X50" s="50">
        <v>6.2</v>
      </c>
      <c r="Y50" s="50">
        <v>6.2</v>
      </c>
      <c r="Z50" s="50">
        <v>6.2</v>
      </c>
      <c r="AA50" s="50">
        <v>6.2</v>
      </c>
      <c r="AB50" s="50">
        <v>6.2</v>
      </c>
      <c r="AC50" s="50">
        <v>6.2</v>
      </c>
      <c r="AD50" s="50">
        <v>6.2</v>
      </c>
      <c r="AE50" s="50">
        <v>6.2</v>
      </c>
      <c r="AF50" s="50">
        <v>6.2</v>
      </c>
      <c r="AG50" s="67">
        <v>6.2</v>
      </c>
      <c r="AH50" s="54">
        <f t="shared" si="2"/>
        <v>6.2</v>
      </c>
      <c r="AI50" s="55">
        <f t="shared" si="3"/>
        <v>6.2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:AF52" si="8">SUM(B39:B51)</f>
        <v>271.94</v>
      </c>
      <c r="C52" s="72">
        <f t="shared" si="8"/>
        <v>256.04000000000002</v>
      </c>
      <c r="D52" s="72">
        <f t="shared" si="8"/>
        <v>255.43999999999997</v>
      </c>
      <c r="E52" s="72">
        <f t="shared" si="8"/>
        <v>255.43999999999997</v>
      </c>
      <c r="F52" s="72">
        <f t="shared" si="8"/>
        <v>257.14</v>
      </c>
      <c r="G52" s="72">
        <f t="shared" si="8"/>
        <v>295.34000000000003</v>
      </c>
      <c r="H52" s="72">
        <f t="shared" si="8"/>
        <v>295.34000000000003</v>
      </c>
      <c r="I52" s="72">
        <f t="shared" si="8"/>
        <v>355.04</v>
      </c>
      <c r="J52" s="72">
        <f t="shared" si="8"/>
        <v>355.04</v>
      </c>
      <c r="K52" s="72">
        <f t="shared" si="8"/>
        <v>431.24</v>
      </c>
      <c r="L52" s="72">
        <f t="shared" si="8"/>
        <v>432.34</v>
      </c>
      <c r="M52" s="72">
        <f t="shared" si="8"/>
        <v>421.14</v>
      </c>
      <c r="N52" s="72">
        <f t="shared" si="8"/>
        <v>421.14</v>
      </c>
      <c r="O52" s="72">
        <f t="shared" si="8"/>
        <v>415.04</v>
      </c>
      <c r="P52" s="72">
        <f t="shared" si="8"/>
        <v>413.44</v>
      </c>
      <c r="Q52" s="72">
        <f t="shared" si="8"/>
        <v>369.44000000000005</v>
      </c>
      <c r="R52" s="72">
        <f t="shared" si="8"/>
        <v>355.84000000000003</v>
      </c>
      <c r="S52" s="72">
        <f t="shared" si="8"/>
        <v>3.54</v>
      </c>
      <c r="T52" s="72">
        <f t="shared" si="8"/>
        <v>361.94</v>
      </c>
      <c r="U52" s="72">
        <f t="shared" si="8"/>
        <v>414.44</v>
      </c>
      <c r="V52" s="72">
        <f t="shared" si="8"/>
        <v>414.44</v>
      </c>
      <c r="W52" s="72">
        <f t="shared" si="8"/>
        <v>431.53999999999996</v>
      </c>
      <c r="X52" s="72">
        <f t="shared" si="8"/>
        <v>428.74</v>
      </c>
      <c r="Y52" s="72">
        <f t="shared" si="8"/>
        <v>428.74</v>
      </c>
      <c r="Z52" s="72">
        <f t="shared" si="8"/>
        <v>425.84</v>
      </c>
      <c r="AA52" s="72">
        <f t="shared" si="8"/>
        <v>425.64</v>
      </c>
      <c r="AB52" s="72">
        <f t="shared" si="8"/>
        <v>420.44</v>
      </c>
      <c r="AC52" s="72">
        <f t="shared" si="8"/>
        <v>409.04</v>
      </c>
      <c r="AD52" s="72">
        <f t="shared" si="8"/>
        <v>409.04</v>
      </c>
      <c r="AE52" s="72">
        <f t="shared" si="8"/>
        <v>322.83999999999997</v>
      </c>
      <c r="AF52" s="72">
        <f t="shared" si="8"/>
        <v>311.53999999999996</v>
      </c>
      <c r="AG52" s="78">
        <f>SUM(AG39:AG51)</f>
        <v>489.91</v>
      </c>
      <c r="AH52" s="54">
        <f t="shared" si="2"/>
        <v>432.34</v>
      </c>
      <c r="AI52" s="55">
        <f t="shared" si="3"/>
        <v>3.54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14</v>
      </c>
      <c r="L53" s="61">
        <v>59.9</v>
      </c>
      <c r="M53" s="79">
        <v>59.5</v>
      </c>
      <c r="N53" s="79">
        <v>59.5</v>
      </c>
      <c r="O53" s="79">
        <v>29.4</v>
      </c>
      <c r="P53" s="79">
        <v>19.899999999999999</v>
      </c>
      <c r="Q53" s="50">
        <v>21.9</v>
      </c>
      <c r="R53" s="50">
        <v>0</v>
      </c>
      <c r="S53" s="50"/>
      <c r="T53" s="50">
        <v>0</v>
      </c>
      <c r="U53" s="50">
        <v>0</v>
      </c>
      <c r="V53" s="50">
        <v>49</v>
      </c>
      <c r="W53" s="50">
        <v>51</v>
      </c>
      <c r="X53" s="50">
        <v>47.4</v>
      </c>
      <c r="Y53" s="50">
        <v>44.7</v>
      </c>
      <c r="Z53" s="50">
        <v>33.4</v>
      </c>
      <c r="AA53" s="50">
        <v>29.5</v>
      </c>
      <c r="AB53" s="50">
        <v>19.8</v>
      </c>
      <c r="AC53" s="50">
        <v>20.2</v>
      </c>
      <c r="AD53" s="50">
        <v>10</v>
      </c>
      <c r="AE53" s="50">
        <v>0</v>
      </c>
      <c r="AF53" s="50">
        <v>20</v>
      </c>
      <c r="AG53" s="62">
        <v>60</v>
      </c>
      <c r="AH53" s="54">
        <f t="shared" si="2"/>
        <v>59.9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30.6</v>
      </c>
      <c r="M54" s="79">
        <v>29</v>
      </c>
      <c r="N54" s="79">
        <v>29</v>
      </c>
      <c r="O54" s="79">
        <v>16.100000000000001</v>
      </c>
      <c r="P54" s="79">
        <v>15.2</v>
      </c>
      <c r="Q54" s="73">
        <v>6.4</v>
      </c>
      <c r="R54" s="73">
        <v>0</v>
      </c>
      <c r="S54" s="50"/>
      <c r="T54" s="50">
        <v>0</v>
      </c>
      <c r="U54" s="50">
        <v>0</v>
      </c>
      <c r="V54" s="73">
        <v>13</v>
      </c>
      <c r="W54" s="73">
        <v>23.4</v>
      </c>
      <c r="X54" s="73">
        <v>23.4</v>
      </c>
      <c r="Y54" s="73">
        <v>21.4</v>
      </c>
      <c r="Z54" s="73">
        <v>14.9</v>
      </c>
      <c r="AA54" s="73">
        <v>15</v>
      </c>
      <c r="AB54" s="73">
        <v>9.1999999999999993</v>
      </c>
      <c r="AC54" s="73">
        <v>9.1999999999999993</v>
      </c>
      <c r="AD54" s="73">
        <v>7</v>
      </c>
      <c r="AE54" s="73">
        <v>0</v>
      </c>
      <c r="AF54" s="73">
        <v>5.5</v>
      </c>
      <c r="AG54" s="67">
        <v>32</v>
      </c>
      <c r="AH54" s="54">
        <f t="shared" si="2"/>
        <v>30.6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11.2</v>
      </c>
      <c r="M55" s="81">
        <v>11.2</v>
      </c>
      <c r="N55" s="81">
        <v>11.2</v>
      </c>
      <c r="O55" s="81">
        <v>5.9</v>
      </c>
      <c r="P55" s="81">
        <v>5.5</v>
      </c>
      <c r="Q55" s="80">
        <v>2.5</v>
      </c>
      <c r="R55" s="80">
        <v>0</v>
      </c>
      <c r="S55" s="50"/>
      <c r="T55" s="50">
        <v>0</v>
      </c>
      <c r="U55" s="50">
        <v>0</v>
      </c>
      <c r="V55" s="80">
        <v>4.7</v>
      </c>
      <c r="W55" s="80">
        <v>8.5</v>
      </c>
      <c r="X55" s="80">
        <v>8.5</v>
      </c>
      <c r="Y55" s="80">
        <v>7.8</v>
      </c>
      <c r="Z55" s="80">
        <v>5.4</v>
      </c>
      <c r="AA55" s="80">
        <v>5.5</v>
      </c>
      <c r="AB55" s="80">
        <v>3.4</v>
      </c>
      <c r="AC55" s="80">
        <v>3.4</v>
      </c>
      <c r="AD55" s="80">
        <v>2</v>
      </c>
      <c r="AE55" s="80">
        <v>0</v>
      </c>
      <c r="AF55" s="80">
        <v>2</v>
      </c>
      <c r="AG55" s="82">
        <v>14</v>
      </c>
      <c r="AH55" s="54">
        <f t="shared" si="2"/>
        <v>11.2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9">SUM(B53:B55)</f>
        <v>0</v>
      </c>
      <c r="C56" s="72">
        <f>SUM(C53:C55)</f>
        <v>0</v>
      </c>
      <c r="D56" s="72">
        <f t="shared" ref="D56:AF56" si="10">SUM(D53:D55)</f>
        <v>0</v>
      </c>
      <c r="E56" s="72">
        <f t="shared" si="10"/>
        <v>0</v>
      </c>
      <c r="F56" s="72">
        <f t="shared" si="10"/>
        <v>0</v>
      </c>
      <c r="G56" s="72">
        <f t="shared" si="10"/>
        <v>0</v>
      </c>
      <c r="H56" s="72">
        <f t="shared" si="10"/>
        <v>0</v>
      </c>
      <c r="I56" s="72">
        <f t="shared" si="10"/>
        <v>0</v>
      </c>
      <c r="J56" s="72">
        <f t="shared" si="10"/>
        <v>0</v>
      </c>
      <c r="K56" s="72">
        <f t="shared" si="10"/>
        <v>14</v>
      </c>
      <c r="L56" s="72">
        <f t="shared" si="10"/>
        <v>101.7</v>
      </c>
      <c r="M56" s="72">
        <f t="shared" si="10"/>
        <v>99.7</v>
      </c>
      <c r="N56" s="72">
        <f t="shared" si="10"/>
        <v>99.7</v>
      </c>
      <c r="O56" s="72">
        <f t="shared" si="10"/>
        <v>51.4</v>
      </c>
      <c r="P56" s="72">
        <f t="shared" si="10"/>
        <v>40.599999999999994</v>
      </c>
      <c r="Q56" s="72">
        <f t="shared" si="10"/>
        <v>30.799999999999997</v>
      </c>
      <c r="R56" s="72">
        <f t="shared" si="10"/>
        <v>0</v>
      </c>
      <c r="S56" s="72">
        <f t="shared" si="10"/>
        <v>0</v>
      </c>
      <c r="T56" s="72">
        <f t="shared" si="10"/>
        <v>0</v>
      </c>
      <c r="U56" s="72">
        <f t="shared" si="10"/>
        <v>0</v>
      </c>
      <c r="V56" s="72">
        <f t="shared" si="10"/>
        <v>66.7</v>
      </c>
      <c r="W56" s="72">
        <f t="shared" si="10"/>
        <v>82.9</v>
      </c>
      <c r="X56" s="72">
        <f t="shared" si="10"/>
        <v>79.3</v>
      </c>
      <c r="Y56" s="72">
        <f t="shared" si="10"/>
        <v>73.899999999999991</v>
      </c>
      <c r="Z56" s="72">
        <f t="shared" si="10"/>
        <v>53.699999999999996</v>
      </c>
      <c r="AA56" s="72">
        <f t="shared" si="10"/>
        <v>50</v>
      </c>
      <c r="AB56" s="72">
        <f t="shared" si="10"/>
        <v>32.4</v>
      </c>
      <c r="AC56" s="72">
        <f t="shared" si="10"/>
        <v>32.799999999999997</v>
      </c>
      <c r="AD56" s="72">
        <f t="shared" si="10"/>
        <v>19</v>
      </c>
      <c r="AE56" s="72">
        <f t="shared" si="10"/>
        <v>0</v>
      </c>
      <c r="AF56" s="72">
        <f t="shared" si="10"/>
        <v>27.5</v>
      </c>
      <c r="AG56" s="78">
        <f>SUM(AG53:AG55)</f>
        <v>106</v>
      </c>
      <c r="AH56" s="54">
        <f t="shared" si="2"/>
        <v>101.7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/>
      <c r="T57" s="50">
        <v>0</v>
      </c>
      <c r="U57" s="50">
        <v>0</v>
      </c>
      <c r="V57" s="50">
        <v>0</v>
      </c>
      <c r="W57" s="50">
        <v>0</v>
      </c>
      <c r="X57" s="50">
        <v>34.4</v>
      </c>
      <c r="Y57" s="50">
        <v>15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34.4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/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120</v>
      </c>
      <c r="C59" s="73">
        <v>121</v>
      </c>
      <c r="D59" s="73">
        <v>85.4</v>
      </c>
      <c r="E59" s="73">
        <v>88</v>
      </c>
      <c r="F59" s="73">
        <v>95</v>
      </c>
      <c r="G59" s="73">
        <v>119</v>
      </c>
      <c r="H59" s="73">
        <v>150</v>
      </c>
      <c r="I59" s="73">
        <v>209</v>
      </c>
      <c r="J59" s="73">
        <v>223</v>
      </c>
      <c r="K59" s="73">
        <v>209</v>
      </c>
      <c r="L59" s="50">
        <v>10</v>
      </c>
      <c r="M59" s="73">
        <v>0</v>
      </c>
      <c r="N59" s="73">
        <v>0</v>
      </c>
      <c r="O59" s="73">
        <v>14.8</v>
      </c>
      <c r="P59" s="73">
        <v>259</v>
      </c>
      <c r="Q59" s="73">
        <v>294</v>
      </c>
      <c r="R59" s="73">
        <v>318</v>
      </c>
      <c r="S59" s="73"/>
      <c r="T59" s="73">
        <v>267</v>
      </c>
      <c r="U59" s="73">
        <v>327.9</v>
      </c>
      <c r="V59" s="73">
        <v>80.3</v>
      </c>
      <c r="W59" s="73">
        <v>25.2</v>
      </c>
      <c r="X59" s="84">
        <v>20.9</v>
      </c>
      <c r="Y59" s="84">
        <v>-4.4000000000000004</v>
      </c>
      <c r="Z59" s="84">
        <v>-3.6</v>
      </c>
      <c r="AA59" s="84">
        <v>-14.3</v>
      </c>
      <c r="AB59" s="73">
        <v>107</v>
      </c>
      <c r="AC59" s="73">
        <v>72</v>
      </c>
      <c r="AD59" s="73">
        <v>180</v>
      </c>
      <c r="AE59" s="73">
        <v>185</v>
      </c>
      <c r="AF59" s="73">
        <v>83</v>
      </c>
      <c r="AG59" s="85"/>
      <c r="AH59" s="54">
        <f t="shared" si="2"/>
        <v>327.9</v>
      </c>
      <c r="AI59" s="55">
        <f t="shared" si="3"/>
        <v>-14.3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40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/>
      <c r="T60" s="73">
        <v>48</v>
      </c>
      <c r="U60" s="73">
        <v>0</v>
      </c>
      <c r="V60" s="73">
        <v>18</v>
      </c>
      <c r="W60" s="73">
        <v>20</v>
      </c>
      <c r="X60" s="73">
        <v>39</v>
      </c>
      <c r="Y60" s="73">
        <v>42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48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/>
      <c r="T61" s="50">
        <v>0</v>
      </c>
      <c r="U61" s="50">
        <v>0</v>
      </c>
      <c r="V61" s="50">
        <v>0</v>
      </c>
      <c r="W61" s="50">
        <v>77</v>
      </c>
      <c r="X61" s="50">
        <v>76.5</v>
      </c>
      <c r="Y61" s="50">
        <v>63.6</v>
      </c>
      <c r="Z61" s="50">
        <v>69.099999999999994</v>
      </c>
      <c r="AA61" s="50">
        <v>71.8</v>
      </c>
      <c r="AB61" s="50">
        <v>0</v>
      </c>
      <c r="AC61" s="50">
        <v>0</v>
      </c>
      <c r="AD61" s="50">
        <v>0</v>
      </c>
      <c r="AE61" s="73">
        <v>0</v>
      </c>
      <c r="AF61" s="50">
        <v>0</v>
      </c>
      <c r="AG61" s="85"/>
      <c r="AH61" s="54">
        <f t="shared" si="2"/>
        <v>77</v>
      </c>
      <c r="AI61" s="55">
        <f t="shared" si="3"/>
        <v>0</v>
      </c>
      <c r="AK61" s="56"/>
    </row>
    <row r="62" spans="1:37" x14ac:dyDescent="0.25">
      <c r="A62" s="66" t="s">
        <v>70</v>
      </c>
      <c r="B62" s="5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50">
        <v>0</v>
      </c>
      <c r="N62" s="50">
        <v>0</v>
      </c>
      <c r="O62" s="50">
        <v>0</v>
      </c>
      <c r="P62" s="50">
        <v>0</v>
      </c>
      <c r="Q62" s="50">
        <v>0</v>
      </c>
      <c r="R62" s="50">
        <v>0</v>
      </c>
      <c r="S62" s="60"/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73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73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60"/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73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73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8"/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73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73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8"/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73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0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73">
        <v>0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0</v>
      </c>
      <c r="S66" s="63"/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73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0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73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3"/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73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1">SUM(B57:B67)</f>
        <v>120</v>
      </c>
      <c r="C68" s="72">
        <f>SUM(C57:C67)</f>
        <v>121</v>
      </c>
      <c r="D68" s="72">
        <f t="shared" ref="D68:AF68" si="12">SUM(D57:D67)</f>
        <v>85.4</v>
      </c>
      <c r="E68" s="72">
        <f t="shared" si="12"/>
        <v>88</v>
      </c>
      <c r="F68" s="72">
        <f t="shared" si="12"/>
        <v>95</v>
      </c>
      <c r="G68" s="72">
        <f t="shared" si="12"/>
        <v>119</v>
      </c>
      <c r="H68" s="72">
        <f t="shared" si="12"/>
        <v>150</v>
      </c>
      <c r="I68" s="72">
        <f t="shared" si="12"/>
        <v>209</v>
      </c>
      <c r="J68" s="72">
        <f t="shared" si="12"/>
        <v>223</v>
      </c>
      <c r="K68" s="72">
        <f t="shared" si="12"/>
        <v>209</v>
      </c>
      <c r="L68" s="72">
        <f t="shared" si="12"/>
        <v>10</v>
      </c>
      <c r="M68" s="72">
        <f t="shared" si="12"/>
        <v>40</v>
      </c>
      <c r="N68" s="72">
        <f t="shared" si="12"/>
        <v>0</v>
      </c>
      <c r="O68" s="72">
        <f t="shared" si="12"/>
        <v>14.8</v>
      </c>
      <c r="P68" s="72">
        <f t="shared" si="12"/>
        <v>259</v>
      </c>
      <c r="Q68" s="72">
        <f t="shared" si="12"/>
        <v>294</v>
      </c>
      <c r="R68" s="72">
        <f t="shared" si="12"/>
        <v>318</v>
      </c>
      <c r="S68" s="72">
        <f t="shared" si="12"/>
        <v>0</v>
      </c>
      <c r="T68" s="72">
        <f t="shared" si="12"/>
        <v>315</v>
      </c>
      <c r="U68" s="72">
        <f t="shared" si="12"/>
        <v>327.9</v>
      </c>
      <c r="V68" s="72">
        <f t="shared" si="12"/>
        <v>98.3</v>
      </c>
      <c r="W68" s="72">
        <f t="shared" si="12"/>
        <v>122.2</v>
      </c>
      <c r="X68" s="72">
        <f t="shared" si="12"/>
        <v>170.8</v>
      </c>
      <c r="Y68" s="72">
        <f t="shared" si="12"/>
        <v>116.2</v>
      </c>
      <c r="Z68" s="72">
        <f t="shared" si="12"/>
        <v>65.5</v>
      </c>
      <c r="AA68" s="72">
        <f t="shared" si="12"/>
        <v>57.5</v>
      </c>
      <c r="AB68" s="72">
        <f t="shared" si="12"/>
        <v>107</v>
      </c>
      <c r="AC68" s="72">
        <f t="shared" si="12"/>
        <v>72</v>
      </c>
      <c r="AD68" s="72">
        <f t="shared" si="12"/>
        <v>180</v>
      </c>
      <c r="AE68" s="72">
        <f t="shared" si="12"/>
        <v>185</v>
      </c>
      <c r="AF68" s="72">
        <f t="shared" si="12"/>
        <v>83</v>
      </c>
      <c r="AG68" s="78">
        <f>SUM(AG57:AG67)</f>
        <v>0</v>
      </c>
      <c r="AH68" s="54">
        <f t="shared" si="2"/>
        <v>327.9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3">SUM(B69:B71)</f>
        <v>0</v>
      </c>
      <c r="C72" s="72">
        <f>SUM(C69:C71)</f>
        <v>0</v>
      </c>
      <c r="D72" s="72">
        <f t="shared" ref="D72:AF72" si="14">SUM(D69:D71)</f>
        <v>0</v>
      </c>
      <c r="E72" s="72">
        <f t="shared" si="14"/>
        <v>0</v>
      </c>
      <c r="F72" s="72">
        <f t="shared" si="14"/>
        <v>0</v>
      </c>
      <c r="G72" s="72">
        <f t="shared" si="14"/>
        <v>0</v>
      </c>
      <c r="H72" s="72">
        <f t="shared" si="14"/>
        <v>0</v>
      </c>
      <c r="I72" s="72">
        <f t="shared" si="14"/>
        <v>0</v>
      </c>
      <c r="J72" s="72">
        <f t="shared" si="14"/>
        <v>0</v>
      </c>
      <c r="K72" s="72">
        <f t="shared" si="14"/>
        <v>0</v>
      </c>
      <c r="L72" s="72">
        <f t="shared" si="14"/>
        <v>0</v>
      </c>
      <c r="M72" s="72">
        <f t="shared" si="14"/>
        <v>0</v>
      </c>
      <c r="N72" s="72">
        <f t="shared" si="14"/>
        <v>0</v>
      </c>
      <c r="O72" s="72">
        <f t="shared" si="14"/>
        <v>0</v>
      </c>
      <c r="P72" s="72">
        <f t="shared" si="14"/>
        <v>0</v>
      </c>
      <c r="Q72" s="72">
        <f t="shared" si="14"/>
        <v>0</v>
      </c>
      <c r="R72" s="72">
        <f t="shared" si="14"/>
        <v>0</v>
      </c>
      <c r="S72" s="72">
        <f t="shared" si="14"/>
        <v>0</v>
      </c>
      <c r="T72" s="72">
        <f t="shared" si="14"/>
        <v>0</v>
      </c>
      <c r="U72" s="72">
        <f t="shared" si="14"/>
        <v>0</v>
      </c>
      <c r="V72" s="72">
        <f t="shared" si="14"/>
        <v>0</v>
      </c>
      <c r="W72" s="72">
        <f t="shared" si="14"/>
        <v>0</v>
      </c>
      <c r="X72" s="72">
        <f t="shared" si="14"/>
        <v>0</v>
      </c>
      <c r="Y72" s="72">
        <f t="shared" si="14"/>
        <v>0</v>
      </c>
      <c r="Z72" s="72">
        <f t="shared" si="14"/>
        <v>0</v>
      </c>
      <c r="AA72" s="72">
        <f t="shared" si="14"/>
        <v>0</v>
      </c>
      <c r="AB72" s="72">
        <f t="shared" si="14"/>
        <v>0</v>
      </c>
      <c r="AC72" s="72">
        <f t="shared" si="14"/>
        <v>0</v>
      </c>
      <c r="AD72" s="72">
        <f t="shared" si="14"/>
        <v>0</v>
      </c>
      <c r="AE72" s="72">
        <f t="shared" si="14"/>
        <v>0</v>
      </c>
      <c r="AF72" s="72">
        <f t="shared" si="14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5">B68+B56+B52+B38+B72</f>
        <v>887.04</v>
      </c>
      <c r="C73" s="89">
        <f>C68+C56+C52+C38+C72</f>
        <v>870.74</v>
      </c>
      <c r="D73" s="89">
        <f t="shared" ref="D73:AG73" si="16">D68+D56+D52+D38+D72</f>
        <v>834.93999999999994</v>
      </c>
      <c r="E73" s="89">
        <f t="shared" si="16"/>
        <v>838.54</v>
      </c>
      <c r="F73" s="89">
        <f t="shared" si="16"/>
        <v>847.24</v>
      </c>
      <c r="G73" s="89">
        <f t="shared" si="16"/>
        <v>908.24</v>
      </c>
      <c r="H73" s="89">
        <f t="shared" si="16"/>
        <v>969.43999999999994</v>
      </c>
      <c r="I73" s="89">
        <f t="shared" si="16"/>
        <v>1138.1399999999999</v>
      </c>
      <c r="J73" s="89">
        <f t="shared" si="16"/>
        <v>1202.1399999999999</v>
      </c>
      <c r="K73" s="89">
        <f t="shared" si="16"/>
        <v>1338.3400000000001</v>
      </c>
      <c r="L73" s="89">
        <f t="shared" si="16"/>
        <v>1426.54</v>
      </c>
      <c r="M73" s="89">
        <f t="shared" si="16"/>
        <v>1463.3400000000001</v>
      </c>
      <c r="N73" s="89">
        <f t="shared" si="16"/>
        <v>1353.3400000000001</v>
      </c>
      <c r="O73" s="89">
        <f t="shared" si="16"/>
        <v>1333.8400000000001</v>
      </c>
      <c r="P73" s="89">
        <f t="shared" si="16"/>
        <v>1324.6399999999999</v>
      </c>
      <c r="Q73" s="89">
        <f t="shared" si="16"/>
        <v>1210.8399999999999</v>
      </c>
      <c r="R73" s="89">
        <f t="shared" si="16"/>
        <v>1170.44</v>
      </c>
      <c r="S73" s="89">
        <f t="shared" si="16"/>
        <v>3.54</v>
      </c>
      <c r="T73" s="89">
        <f t="shared" si="16"/>
        <v>1160.54</v>
      </c>
      <c r="U73" s="89">
        <f t="shared" si="16"/>
        <v>1224.9399999999998</v>
      </c>
      <c r="V73" s="89">
        <f t="shared" si="16"/>
        <v>1271.6400000000001</v>
      </c>
      <c r="W73" s="89">
        <f t="shared" si="16"/>
        <v>1448.8400000000001</v>
      </c>
      <c r="X73" s="89">
        <f t="shared" si="16"/>
        <v>1543.24</v>
      </c>
      <c r="Y73" s="89">
        <f t="shared" si="16"/>
        <v>1489.24</v>
      </c>
      <c r="Z73" s="89">
        <f t="shared" si="16"/>
        <v>1384.1399999999999</v>
      </c>
      <c r="AA73" s="89">
        <f t="shared" si="16"/>
        <v>1372.24</v>
      </c>
      <c r="AB73" s="89">
        <f t="shared" si="16"/>
        <v>1342.24</v>
      </c>
      <c r="AC73" s="89">
        <f t="shared" si="16"/>
        <v>1246.24</v>
      </c>
      <c r="AD73" s="89">
        <f t="shared" si="16"/>
        <v>1240.4399999999998</v>
      </c>
      <c r="AE73" s="89">
        <f t="shared" si="16"/>
        <v>1040.3399999999999</v>
      </c>
      <c r="AF73" s="89">
        <f t="shared" si="16"/>
        <v>924.54</v>
      </c>
      <c r="AG73" s="89">
        <f t="shared" si="16"/>
        <v>2144.14</v>
      </c>
      <c r="AH73" s="54">
        <f t="shared" si="2"/>
        <v>1543.24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7">B72+B68+B56+B52+B38+B74</f>
        <v>887.04</v>
      </c>
      <c r="C75" s="89">
        <f>C73+C74</f>
        <v>870.74</v>
      </c>
      <c r="D75" s="89">
        <f t="shared" ref="D75:AF75" si="18">D72+D68+D56+D52+D38+D74</f>
        <v>834.93999999999994</v>
      </c>
      <c r="E75" s="89">
        <f t="shared" si="18"/>
        <v>838.54</v>
      </c>
      <c r="F75" s="89">
        <f t="shared" si="18"/>
        <v>847.24</v>
      </c>
      <c r="G75" s="89">
        <f t="shared" si="18"/>
        <v>908.24</v>
      </c>
      <c r="H75" s="89">
        <f t="shared" si="18"/>
        <v>969.43999999999994</v>
      </c>
      <c r="I75" s="89">
        <f t="shared" si="18"/>
        <v>1138.1399999999999</v>
      </c>
      <c r="J75" s="89">
        <f t="shared" si="18"/>
        <v>1202.1399999999999</v>
      </c>
      <c r="K75" s="89">
        <f t="shared" si="18"/>
        <v>1338.3400000000001</v>
      </c>
      <c r="L75" s="89">
        <f t="shared" si="18"/>
        <v>1426.54</v>
      </c>
      <c r="M75" s="89">
        <f t="shared" si="18"/>
        <v>1463.3400000000001</v>
      </c>
      <c r="N75" s="89">
        <f t="shared" si="18"/>
        <v>1353.3400000000001</v>
      </c>
      <c r="O75" s="89">
        <f t="shared" si="18"/>
        <v>1333.8400000000001</v>
      </c>
      <c r="P75" s="89">
        <f t="shared" si="18"/>
        <v>1324.6399999999999</v>
      </c>
      <c r="Q75" s="89">
        <f t="shared" si="18"/>
        <v>1210.8399999999999</v>
      </c>
      <c r="R75" s="89">
        <f t="shared" si="18"/>
        <v>1170.44</v>
      </c>
      <c r="S75" s="89">
        <f t="shared" si="18"/>
        <v>3.54</v>
      </c>
      <c r="T75" s="89">
        <f t="shared" si="18"/>
        <v>1160.54</v>
      </c>
      <c r="U75" s="89">
        <f t="shared" si="18"/>
        <v>1224.9399999999998</v>
      </c>
      <c r="V75" s="89">
        <f t="shared" si="18"/>
        <v>1271.6400000000001</v>
      </c>
      <c r="W75" s="89">
        <f t="shared" si="18"/>
        <v>1448.8400000000001</v>
      </c>
      <c r="X75" s="89">
        <f t="shared" si="18"/>
        <v>1543.24</v>
      </c>
      <c r="Y75" s="89">
        <f t="shared" si="18"/>
        <v>1489.24</v>
      </c>
      <c r="Z75" s="89">
        <f t="shared" si="18"/>
        <v>1384.1399999999999</v>
      </c>
      <c r="AA75" s="89">
        <f t="shared" si="18"/>
        <v>1372.24</v>
      </c>
      <c r="AB75" s="89">
        <f t="shared" si="18"/>
        <v>1342.24</v>
      </c>
      <c r="AC75" s="89">
        <f t="shared" si="18"/>
        <v>1246.24</v>
      </c>
      <c r="AD75" s="89">
        <f t="shared" si="18"/>
        <v>1240.4399999999998</v>
      </c>
      <c r="AE75" s="89">
        <f t="shared" si="18"/>
        <v>1040.3399999999999</v>
      </c>
      <c r="AF75" s="89">
        <f t="shared" si="18"/>
        <v>924.54</v>
      </c>
      <c r="AG75" s="78">
        <f>AG72+AG68+AG56+AG52+AG38+AG74</f>
        <v>2144.14</v>
      </c>
      <c r="AH75" s="54">
        <f t="shared" si="2"/>
        <v>1543.24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19">IF(B60&lt;0,B60*-1,0)</f>
        <v>0</v>
      </c>
      <c r="C76" s="58">
        <f>IF(C60&lt;0,C60*-1,0)</f>
        <v>0</v>
      </c>
      <c r="D76" s="58">
        <f t="shared" ref="D76:AF76" si="20">IF(D60&lt;0,D60*-1,0)</f>
        <v>0</v>
      </c>
      <c r="E76" s="58">
        <f t="shared" si="20"/>
        <v>0</v>
      </c>
      <c r="F76" s="58">
        <f t="shared" si="20"/>
        <v>0</v>
      </c>
      <c r="G76" s="58">
        <f t="shared" si="20"/>
        <v>0</v>
      </c>
      <c r="H76" s="58">
        <f t="shared" si="20"/>
        <v>0</v>
      </c>
      <c r="I76" s="58">
        <f t="shared" si="20"/>
        <v>0</v>
      </c>
      <c r="J76" s="58">
        <f t="shared" si="20"/>
        <v>0</v>
      </c>
      <c r="K76" s="58">
        <f t="shared" si="20"/>
        <v>0</v>
      </c>
      <c r="L76" s="58">
        <f t="shared" si="20"/>
        <v>0</v>
      </c>
      <c r="M76" s="58">
        <f t="shared" si="20"/>
        <v>0</v>
      </c>
      <c r="N76" s="58">
        <f t="shared" si="20"/>
        <v>0</v>
      </c>
      <c r="O76" s="58">
        <f t="shared" si="20"/>
        <v>0</v>
      </c>
      <c r="P76" s="58">
        <f t="shared" si="20"/>
        <v>0</v>
      </c>
      <c r="Q76" s="58">
        <f t="shared" si="20"/>
        <v>0</v>
      </c>
      <c r="R76" s="58">
        <f t="shared" si="20"/>
        <v>0</v>
      </c>
      <c r="S76" s="58">
        <f t="shared" si="20"/>
        <v>0</v>
      </c>
      <c r="T76" s="58">
        <f t="shared" si="20"/>
        <v>0</v>
      </c>
      <c r="U76" s="58">
        <f t="shared" si="20"/>
        <v>0</v>
      </c>
      <c r="V76" s="58">
        <f t="shared" si="20"/>
        <v>0</v>
      </c>
      <c r="W76" s="58">
        <f t="shared" si="20"/>
        <v>0</v>
      </c>
      <c r="X76" s="58">
        <f t="shared" si="20"/>
        <v>0</v>
      </c>
      <c r="Y76" s="58">
        <f t="shared" si="20"/>
        <v>0</v>
      </c>
      <c r="Z76" s="58">
        <f t="shared" si="20"/>
        <v>0</v>
      </c>
      <c r="AA76" s="58">
        <f t="shared" si="20"/>
        <v>0</v>
      </c>
      <c r="AB76" s="58">
        <f t="shared" si="20"/>
        <v>0</v>
      </c>
      <c r="AC76" s="58">
        <f t="shared" si="20"/>
        <v>0</v>
      </c>
      <c r="AD76" s="58">
        <f t="shared" si="20"/>
        <v>0</v>
      </c>
      <c r="AE76" s="58">
        <f t="shared" si="20"/>
        <v>0</v>
      </c>
      <c r="AF76" s="58">
        <f t="shared" si="20"/>
        <v>0</v>
      </c>
      <c r="AG76" s="62"/>
      <c r="AH76" s="54">
        <f t="shared" ref="AH76:AH91" si="21">MAX(B76:AF76)</f>
        <v>0</v>
      </c>
      <c r="AI76" s="55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3">IF(B58&lt;0,B58*-1,0)</f>
        <v>0</v>
      </c>
      <c r="C77" s="58">
        <f>IF(C58&lt;0,C58*-1,0)</f>
        <v>0</v>
      </c>
      <c r="D77" s="58">
        <f t="shared" ref="D77:AF77" si="24">IF(D58&lt;0,D58*-1,0)</f>
        <v>0</v>
      </c>
      <c r="E77" s="58">
        <f t="shared" si="24"/>
        <v>0</v>
      </c>
      <c r="F77" s="58">
        <f t="shared" si="24"/>
        <v>0</v>
      </c>
      <c r="G77" s="58">
        <f t="shared" si="24"/>
        <v>0</v>
      </c>
      <c r="H77" s="58">
        <f t="shared" si="24"/>
        <v>0</v>
      </c>
      <c r="I77" s="58">
        <f t="shared" si="24"/>
        <v>0</v>
      </c>
      <c r="J77" s="58">
        <f t="shared" si="24"/>
        <v>0</v>
      </c>
      <c r="K77" s="58">
        <f t="shared" si="24"/>
        <v>0</v>
      </c>
      <c r="L77" s="58">
        <f t="shared" si="24"/>
        <v>0</v>
      </c>
      <c r="M77" s="58">
        <f t="shared" si="24"/>
        <v>0</v>
      </c>
      <c r="N77" s="58">
        <f t="shared" si="24"/>
        <v>0</v>
      </c>
      <c r="O77" s="58">
        <f t="shared" si="24"/>
        <v>0</v>
      </c>
      <c r="P77" s="58">
        <f t="shared" si="24"/>
        <v>0</v>
      </c>
      <c r="Q77" s="58">
        <f t="shared" si="24"/>
        <v>0</v>
      </c>
      <c r="R77" s="58">
        <f t="shared" si="24"/>
        <v>0</v>
      </c>
      <c r="S77" s="58">
        <f t="shared" si="24"/>
        <v>0</v>
      </c>
      <c r="T77" s="58">
        <f t="shared" si="24"/>
        <v>0</v>
      </c>
      <c r="U77" s="58">
        <f t="shared" si="24"/>
        <v>0</v>
      </c>
      <c r="V77" s="58">
        <f t="shared" si="24"/>
        <v>0</v>
      </c>
      <c r="W77" s="58">
        <f t="shared" si="24"/>
        <v>0</v>
      </c>
      <c r="X77" s="58">
        <f t="shared" si="24"/>
        <v>0</v>
      </c>
      <c r="Y77" s="58">
        <f t="shared" si="24"/>
        <v>0</v>
      </c>
      <c r="Z77" s="58">
        <f t="shared" si="24"/>
        <v>0</v>
      </c>
      <c r="AA77" s="58">
        <f t="shared" si="24"/>
        <v>0</v>
      </c>
      <c r="AB77" s="58">
        <f t="shared" si="24"/>
        <v>0</v>
      </c>
      <c r="AC77" s="58">
        <f t="shared" si="24"/>
        <v>0</v>
      </c>
      <c r="AD77" s="58">
        <f t="shared" si="24"/>
        <v>0</v>
      </c>
      <c r="AE77" s="58">
        <f t="shared" si="24"/>
        <v>0</v>
      </c>
      <c r="AF77" s="58">
        <f t="shared" si="24"/>
        <v>0</v>
      </c>
      <c r="AG77" s="67"/>
      <c r="AH77" s="54">
        <f t="shared" si="21"/>
        <v>0</v>
      </c>
      <c r="AI77" s="55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5">IF(B61&lt;0,B61*-1,0)</f>
        <v>0</v>
      </c>
      <c r="C78" s="58">
        <f>IF(C61&lt;0,C61*-1,0)</f>
        <v>0</v>
      </c>
      <c r="D78" s="58">
        <f t="shared" ref="D78:AF78" si="26">IF(D61&lt;0,D61*-1,0)</f>
        <v>0</v>
      </c>
      <c r="E78" s="58">
        <f t="shared" si="26"/>
        <v>0</v>
      </c>
      <c r="F78" s="58">
        <f t="shared" si="26"/>
        <v>0</v>
      </c>
      <c r="G78" s="58">
        <f t="shared" si="26"/>
        <v>0</v>
      </c>
      <c r="H78" s="58">
        <f t="shared" si="26"/>
        <v>0</v>
      </c>
      <c r="I78" s="58">
        <f t="shared" si="26"/>
        <v>0</v>
      </c>
      <c r="J78" s="58">
        <f t="shared" si="26"/>
        <v>0</v>
      </c>
      <c r="K78" s="58">
        <f t="shared" si="26"/>
        <v>0</v>
      </c>
      <c r="L78" s="58">
        <f t="shared" si="26"/>
        <v>0</v>
      </c>
      <c r="M78" s="58">
        <f t="shared" si="26"/>
        <v>0</v>
      </c>
      <c r="N78" s="58">
        <f t="shared" si="26"/>
        <v>0</v>
      </c>
      <c r="O78" s="58">
        <f t="shared" si="26"/>
        <v>0</v>
      </c>
      <c r="P78" s="58">
        <f t="shared" si="26"/>
        <v>0</v>
      </c>
      <c r="Q78" s="58">
        <f t="shared" si="26"/>
        <v>0</v>
      </c>
      <c r="R78" s="58">
        <f t="shared" si="26"/>
        <v>0</v>
      </c>
      <c r="S78" s="58">
        <f t="shared" si="26"/>
        <v>0</v>
      </c>
      <c r="T78" s="58">
        <f t="shared" si="26"/>
        <v>0</v>
      </c>
      <c r="U78" s="58">
        <f t="shared" si="26"/>
        <v>0</v>
      </c>
      <c r="V78" s="58">
        <f t="shared" si="26"/>
        <v>0</v>
      </c>
      <c r="W78" s="58">
        <f t="shared" si="26"/>
        <v>0</v>
      </c>
      <c r="X78" s="58">
        <f t="shared" si="26"/>
        <v>0</v>
      </c>
      <c r="Y78" s="58">
        <f t="shared" si="26"/>
        <v>0</v>
      </c>
      <c r="Z78" s="58">
        <f t="shared" si="26"/>
        <v>0</v>
      </c>
      <c r="AA78" s="58">
        <f t="shared" si="26"/>
        <v>0</v>
      </c>
      <c r="AB78" s="58">
        <f t="shared" si="26"/>
        <v>0</v>
      </c>
      <c r="AC78" s="58">
        <f t="shared" si="26"/>
        <v>0</v>
      </c>
      <c r="AD78" s="58">
        <f t="shared" si="26"/>
        <v>0</v>
      </c>
      <c r="AE78" s="58">
        <f t="shared" si="26"/>
        <v>0</v>
      </c>
      <c r="AF78" s="58">
        <f t="shared" si="26"/>
        <v>0</v>
      </c>
      <c r="AG78" s="92"/>
      <c r="AH78" s="54">
        <f t="shared" si="21"/>
        <v>0</v>
      </c>
      <c r="AI78" s="55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7">IF(B59&lt;0,B59*-1,0)</f>
        <v>0</v>
      </c>
      <c r="C79" s="58">
        <f>IF(C59&lt;0,C59*-1,0)</f>
        <v>0</v>
      </c>
      <c r="D79" s="58">
        <f t="shared" ref="D79:AF79" si="28">IF(D59&lt;0,D59*-1,0)</f>
        <v>0</v>
      </c>
      <c r="E79" s="58">
        <f t="shared" si="28"/>
        <v>0</v>
      </c>
      <c r="F79" s="58">
        <f t="shared" si="28"/>
        <v>0</v>
      </c>
      <c r="G79" s="58">
        <f t="shared" si="28"/>
        <v>0</v>
      </c>
      <c r="H79" s="58">
        <f t="shared" si="28"/>
        <v>0</v>
      </c>
      <c r="I79" s="58">
        <f t="shared" si="28"/>
        <v>0</v>
      </c>
      <c r="J79" s="58">
        <f t="shared" si="28"/>
        <v>0</v>
      </c>
      <c r="K79" s="58">
        <f t="shared" si="28"/>
        <v>0</v>
      </c>
      <c r="L79" s="58">
        <f t="shared" si="28"/>
        <v>0</v>
      </c>
      <c r="M79" s="58">
        <f t="shared" si="28"/>
        <v>0</v>
      </c>
      <c r="N79" s="58">
        <f t="shared" si="28"/>
        <v>0</v>
      </c>
      <c r="O79" s="58">
        <f t="shared" si="28"/>
        <v>0</v>
      </c>
      <c r="P79" s="58">
        <f t="shared" si="28"/>
        <v>0</v>
      </c>
      <c r="Q79" s="58">
        <f t="shared" si="28"/>
        <v>0</v>
      </c>
      <c r="R79" s="58">
        <f t="shared" si="28"/>
        <v>0</v>
      </c>
      <c r="S79" s="58">
        <f t="shared" si="28"/>
        <v>0</v>
      </c>
      <c r="T79" s="58">
        <f t="shared" si="28"/>
        <v>0</v>
      </c>
      <c r="U79" s="58">
        <f t="shared" si="28"/>
        <v>0</v>
      </c>
      <c r="V79" s="58">
        <f t="shared" si="28"/>
        <v>0</v>
      </c>
      <c r="W79" s="58">
        <f t="shared" si="28"/>
        <v>0</v>
      </c>
      <c r="X79" s="58">
        <f t="shared" si="28"/>
        <v>0</v>
      </c>
      <c r="Y79" s="58">
        <f t="shared" si="28"/>
        <v>4.4000000000000004</v>
      </c>
      <c r="Z79" s="58">
        <f t="shared" si="28"/>
        <v>3.6</v>
      </c>
      <c r="AA79" s="58">
        <f t="shared" si="28"/>
        <v>14.3</v>
      </c>
      <c r="AB79" s="58">
        <f t="shared" si="28"/>
        <v>0</v>
      </c>
      <c r="AC79" s="58">
        <f t="shared" si="28"/>
        <v>0</v>
      </c>
      <c r="AD79" s="58">
        <f t="shared" si="28"/>
        <v>0</v>
      </c>
      <c r="AE79" s="58">
        <f t="shared" si="28"/>
        <v>0</v>
      </c>
      <c r="AF79" s="58">
        <f t="shared" si="28"/>
        <v>0</v>
      </c>
      <c r="AG79" s="92"/>
      <c r="AH79" s="54">
        <f t="shared" si="21"/>
        <v>14.3</v>
      </c>
      <c r="AI79" s="55">
        <f t="shared" si="2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29">IF(B57&lt;0,B57*-1,0)</f>
        <v>0</v>
      </c>
      <c r="C80" s="58">
        <f>IF(C57&lt;0,C57*-1,0)</f>
        <v>0</v>
      </c>
      <c r="D80" s="58">
        <f t="shared" ref="D80:AF80" si="30">IF(D57&lt;0,D57*-1,0)</f>
        <v>0</v>
      </c>
      <c r="E80" s="58">
        <f t="shared" si="30"/>
        <v>0</v>
      </c>
      <c r="F80" s="58">
        <f t="shared" si="30"/>
        <v>0</v>
      </c>
      <c r="G80" s="58">
        <f t="shared" si="30"/>
        <v>0</v>
      </c>
      <c r="H80" s="58">
        <f t="shared" si="30"/>
        <v>0</v>
      </c>
      <c r="I80" s="58">
        <f t="shared" si="30"/>
        <v>0</v>
      </c>
      <c r="J80" s="58">
        <f t="shared" si="30"/>
        <v>0</v>
      </c>
      <c r="K80" s="58">
        <f t="shared" si="30"/>
        <v>0</v>
      </c>
      <c r="L80" s="58">
        <f t="shared" si="30"/>
        <v>0</v>
      </c>
      <c r="M80" s="58">
        <f t="shared" si="30"/>
        <v>0</v>
      </c>
      <c r="N80" s="58">
        <f t="shared" si="30"/>
        <v>0</v>
      </c>
      <c r="O80" s="58">
        <f t="shared" si="30"/>
        <v>0</v>
      </c>
      <c r="P80" s="58">
        <f t="shared" si="30"/>
        <v>0</v>
      </c>
      <c r="Q80" s="58">
        <f t="shared" si="30"/>
        <v>0</v>
      </c>
      <c r="R80" s="58">
        <f t="shared" si="30"/>
        <v>0</v>
      </c>
      <c r="S80" s="58">
        <f t="shared" si="30"/>
        <v>0</v>
      </c>
      <c r="T80" s="58">
        <f t="shared" si="30"/>
        <v>0</v>
      </c>
      <c r="U80" s="58">
        <f t="shared" si="30"/>
        <v>0</v>
      </c>
      <c r="V80" s="58">
        <f t="shared" si="30"/>
        <v>0</v>
      </c>
      <c r="W80" s="58">
        <f t="shared" si="30"/>
        <v>0</v>
      </c>
      <c r="X80" s="58">
        <f t="shared" si="30"/>
        <v>0</v>
      </c>
      <c r="Y80" s="58">
        <f t="shared" si="30"/>
        <v>0</v>
      </c>
      <c r="Z80" s="58">
        <f t="shared" si="30"/>
        <v>0</v>
      </c>
      <c r="AA80" s="58">
        <f t="shared" si="30"/>
        <v>0</v>
      </c>
      <c r="AB80" s="58">
        <f t="shared" si="30"/>
        <v>0</v>
      </c>
      <c r="AC80" s="58">
        <f t="shared" si="30"/>
        <v>0</v>
      </c>
      <c r="AD80" s="58">
        <f t="shared" si="30"/>
        <v>0</v>
      </c>
      <c r="AE80" s="58">
        <f t="shared" si="30"/>
        <v>0</v>
      </c>
      <c r="AF80" s="58">
        <f t="shared" si="30"/>
        <v>0</v>
      </c>
      <c r="AG80" s="92"/>
      <c r="AH80" s="54">
        <f t="shared" si="21"/>
        <v>0</v>
      </c>
      <c r="AI80" s="55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1"/>
        <v>0</v>
      </c>
      <c r="AI81" s="55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:AG82" si="31">SUM(B76:B81)</f>
        <v>0</v>
      </c>
      <c r="C82" s="72">
        <f t="shared" si="31"/>
        <v>0</v>
      </c>
      <c r="D82" s="72">
        <f t="shared" si="31"/>
        <v>0</v>
      </c>
      <c r="E82" s="72">
        <f t="shared" si="31"/>
        <v>0</v>
      </c>
      <c r="F82" s="72">
        <f t="shared" si="31"/>
        <v>0</v>
      </c>
      <c r="G82" s="72">
        <f t="shared" si="31"/>
        <v>0</v>
      </c>
      <c r="H82" s="72">
        <f t="shared" si="31"/>
        <v>0</v>
      </c>
      <c r="I82" s="72">
        <f t="shared" si="31"/>
        <v>0</v>
      </c>
      <c r="J82" s="72">
        <f t="shared" si="31"/>
        <v>0</v>
      </c>
      <c r="K82" s="72">
        <f t="shared" si="31"/>
        <v>0</v>
      </c>
      <c r="L82" s="72">
        <f t="shared" si="31"/>
        <v>0</v>
      </c>
      <c r="M82" s="72">
        <f t="shared" si="31"/>
        <v>0</v>
      </c>
      <c r="N82" s="72">
        <f t="shared" si="31"/>
        <v>0</v>
      </c>
      <c r="O82" s="72">
        <f t="shared" si="31"/>
        <v>0</v>
      </c>
      <c r="P82" s="72">
        <f t="shared" si="31"/>
        <v>0</v>
      </c>
      <c r="Q82" s="72">
        <f t="shared" si="31"/>
        <v>0</v>
      </c>
      <c r="R82" s="72">
        <f t="shared" si="31"/>
        <v>0</v>
      </c>
      <c r="S82" s="72">
        <f t="shared" si="31"/>
        <v>0</v>
      </c>
      <c r="T82" s="72">
        <f t="shared" si="31"/>
        <v>0</v>
      </c>
      <c r="U82" s="72">
        <f t="shared" si="31"/>
        <v>0</v>
      </c>
      <c r="V82" s="72">
        <f t="shared" si="31"/>
        <v>0</v>
      </c>
      <c r="W82" s="72">
        <f t="shared" si="31"/>
        <v>0</v>
      </c>
      <c r="X82" s="72">
        <f t="shared" si="31"/>
        <v>0</v>
      </c>
      <c r="Y82" s="72">
        <f t="shared" si="31"/>
        <v>4.4000000000000004</v>
      </c>
      <c r="Z82" s="72">
        <f t="shared" si="31"/>
        <v>3.6</v>
      </c>
      <c r="AA82" s="72">
        <f t="shared" si="31"/>
        <v>14.3</v>
      </c>
      <c r="AB82" s="72">
        <f t="shared" si="31"/>
        <v>0</v>
      </c>
      <c r="AC82" s="72">
        <f t="shared" si="31"/>
        <v>0</v>
      </c>
      <c r="AD82" s="72">
        <f t="shared" si="31"/>
        <v>0</v>
      </c>
      <c r="AE82" s="72">
        <f t="shared" si="31"/>
        <v>0</v>
      </c>
      <c r="AF82" s="72">
        <f t="shared" si="31"/>
        <v>0</v>
      </c>
      <c r="AG82" s="78">
        <f t="shared" si="31"/>
        <v>0</v>
      </c>
      <c r="AH82" s="54">
        <f t="shared" si="21"/>
        <v>14.3</v>
      </c>
      <c r="AI82" s="55">
        <f t="shared" si="22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:AG83" si="32">SUM(B70:B82)</f>
        <v>1774.08</v>
      </c>
      <c r="C83" s="72">
        <f t="shared" si="32"/>
        <v>1741.48</v>
      </c>
      <c r="D83" s="72">
        <f t="shared" si="32"/>
        <v>1669.8799999999999</v>
      </c>
      <c r="E83" s="72">
        <f t="shared" si="32"/>
        <v>1677.08</v>
      </c>
      <c r="F83" s="72">
        <f t="shared" si="32"/>
        <v>1694.48</v>
      </c>
      <c r="G83" s="72">
        <f t="shared" si="32"/>
        <v>1816.48</v>
      </c>
      <c r="H83" s="72">
        <f t="shared" si="32"/>
        <v>1938.8799999999999</v>
      </c>
      <c r="I83" s="72">
        <f t="shared" si="32"/>
        <v>2276.2799999999997</v>
      </c>
      <c r="J83" s="72">
        <f t="shared" si="32"/>
        <v>2404.2799999999997</v>
      </c>
      <c r="K83" s="72">
        <f t="shared" si="32"/>
        <v>2676.6800000000003</v>
      </c>
      <c r="L83" s="72">
        <f t="shared" si="32"/>
        <v>2853.08</v>
      </c>
      <c r="M83" s="72">
        <f t="shared" si="32"/>
        <v>2926.6800000000003</v>
      </c>
      <c r="N83" s="72">
        <f t="shared" si="32"/>
        <v>2706.6800000000003</v>
      </c>
      <c r="O83" s="72">
        <f t="shared" si="32"/>
        <v>2667.6800000000003</v>
      </c>
      <c r="P83" s="72">
        <f t="shared" si="32"/>
        <v>2649.2799999999997</v>
      </c>
      <c r="Q83" s="72">
        <f t="shared" si="32"/>
        <v>2421.6799999999998</v>
      </c>
      <c r="R83" s="72">
        <f t="shared" si="32"/>
        <v>2340.88</v>
      </c>
      <c r="S83" s="72">
        <f t="shared" si="32"/>
        <v>7.08</v>
      </c>
      <c r="T83" s="72">
        <f t="shared" si="32"/>
        <v>2321.08</v>
      </c>
      <c r="U83" s="72">
        <f t="shared" si="32"/>
        <v>2449.8799999999997</v>
      </c>
      <c r="V83" s="72">
        <f t="shared" si="32"/>
        <v>2543.2800000000002</v>
      </c>
      <c r="W83" s="72">
        <f t="shared" si="32"/>
        <v>2897.6800000000003</v>
      </c>
      <c r="X83" s="72">
        <f t="shared" si="32"/>
        <v>3086.48</v>
      </c>
      <c r="Y83" s="72">
        <f t="shared" si="32"/>
        <v>2987.28</v>
      </c>
      <c r="Z83" s="72">
        <f t="shared" si="32"/>
        <v>2775.4799999999996</v>
      </c>
      <c r="AA83" s="72">
        <f t="shared" si="32"/>
        <v>2773.0800000000004</v>
      </c>
      <c r="AB83" s="72">
        <f t="shared" si="32"/>
        <v>2684.48</v>
      </c>
      <c r="AC83" s="72">
        <f t="shared" si="32"/>
        <v>2492.48</v>
      </c>
      <c r="AD83" s="72">
        <f t="shared" si="32"/>
        <v>2480.8799999999997</v>
      </c>
      <c r="AE83" s="72">
        <f t="shared" si="32"/>
        <v>2080.6799999999998</v>
      </c>
      <c r="AF83" s="72">
        <f t="shared" si="32"/>
        <v>1849.08</v>
      </c>
      <c r="AG83" s="78">
        <f t="shared" si="32"/>
        <v>4360.08</v>
      </c>
      <c r="AH83" s="54">
        <f t="shared" si="21"/>
        <v>3086.48</v>
      </c>
      <c r="AI83" s="55">
        <f t="shared" si="22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50.05</v>
      </c>
      <c r="C84" s="95">
        <v>50</v>
      </c>
      <c r="D84" s="95">
        <v>50.003999999999998</v>
      </c>
      <c r="E84" s="95">
        <v>49.945999999999998</v>
      </c>
      <c r="F84" s="95">
        <v>50.093000000000004</v>
      </c>
      <c r="G84" s="95">
        <v>50.094000000000001</v>
      </c>
      <c r="H84" s="95">
        <v>50.094000000000001</v>
      </c>
      <c r="I84" s="95">
        <v>50.091999999999999</v>
      </c>
      <c r="J84" s="95">
        <v>50.183</v>
      </c>
      <c r="K84" s="95">
        <v>49.906999999999996</v>
      </c>
      <c r="L84" s="95">
        <v>49.9</v>
      </c>
      <c r="M84" s="95">
        <v>49.97</v>
      </c>
      <c r="N84" s="95">
        <v>50.03</v>
      </c>
      <c r="O84" s="95">
        <v>49.981999999999999</v>
      </c>
      <c r="P84" s="95">
        <v>50.045000000000002</v>
      </c>
      <c r="Q84" s="95">
        <v>49.965000000000003</v>
      </c>
      <c r="R84" s="95">
        <v>49.95</v>
      </c>
      <c r="S84" s="95"/>
      <c r="T84" s="95">
        <v>50.036000000000001</v>
      </c>
      <c r="U84" s="95">
        <v>49.941000000000003</v>
      </c>
      <c r="V84" s="95">
        <v>50.088999999999999</v>
      </c>
      <c r="W84" s="95">
        <v>50.054000000000002</v>
      </c>
      <c r="X84" s="95">
        <v>50.057000000000002</v>
      </c>
      <c r="Y84" s="95">
        <v>50.036999999999999</v>
      </c>
      <c r="Z84" s="95">
        <v>50.048999999999999</v>
      </c>
      <c r="AA84" s="95">
        <v>50.000999999999998</v>
      </c>
      <c r="AB84" s="95">
        <v>50.05</v>
      </c>
      <c r="AC84" s="95">
        <v>49.959000000000003</v>
      </c>
      <c r="AD84" s="95">
        <v>50.027000000000001</v>
      </c>
      <c r="AE84" s="95">
        <v>50.04</v>
      </c>
      <c r="AF84" s="95">
        <v>50.04</v>
      </c>
      <c r="AG84" s="96"/>
      <c r="AH84" s="54">
        <f t="shared" si="21"/>
        <v>50.183</v>
      </c>
      <c r="AI84" s="55">
        <f t="shared" si="22"/>
        <v>49.9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128.5</v>
      </c>
      <c r="C85" s="73">
        <v>129.4</v>
      </c>
      <c r="D85" s="73">
        <v>130.19999999999999</v>
      </c>
      <c r="E85" s="73">
        <v>129.5</v>
      </c>
      <c r="F85" s="73">
        <v>129.19999999999999</v>
      </c>
      <c r="G85" s="73">
        <v>128.80000000000001</v>
      </c>
      <c r="H85" s="73">
        <v>128.80000000000001</v>
      </c>
      <c r="I85" s="73">
        <v>125.4</v>
      </c>
      <c r="J85" s="73">
        <v>125</v>
      </c>
      <c r="K85" s="73">
        <v>124.2</v>
      </c>
      <c r="L85" s="73">
        <v>125.1</v>
      </c>
      <c r="M85" s="73">
        <v>124</v>
      </c>
      <c r="N85" s="73">
        <v>123.9</v>
      </c>
      <c r="O85" s="73">
        <v>123.6</v>
      </c>
      <c r="P85" s="73">
        <v>124.3</v>
      </c>
      <c r="Q85" s="73">
        <v>123.8</v>
      </c>
      <c r="R85" s="73">
        <v>123.2</v>
      </c>
      <c r="S85" s="73"/>
      <c r="T85" s="73">
        <v>124.2</v>
      </c>
      <c r="U85" s="98">
        <v>122.5</v>
      </c>
      <c r="V85" s="98">
        <v>126.4</v>
      </c>
      <c r="W85" s="98">
        <v>125.5</v>
      </c>
      <c r="X85" s="98">
        <v>124.9</v>
      </c>
      <c r="Y85" s="98">
        <v>125.3</v>
      </c>
      <c r="Z85" s="98">
        <v>126.6</v>
      </c>
      <c r="AA85" s="98">
        <v>126.6</v>
      </c>
      <c r="AB85" s="73">
        <v>125.1</v>
      </c>
      <c r="AC85" s="73">
        <v>126.1</v>
      </c>
      <c r="AD85" s="73">
        <v>126.6</v>
      </c>
      <c r="AE85" s="73">
        <v>127.6</v>
      </c>
      <c r="AF85" s="73">
        <v>128.69999999999999</v>
      </c>
      <c r="AG85" s="99"/>
      <c r="AH85" s="54">
        <f t="shared" si="21"/>
        <v>130.19999999999999</v>
      </c>
      <c r="AI85" s="55">
        <f t="shared" si="22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131.9</v>
      </c>
      <c r="C86" s="73">
        <v>132.30000000000001</v>
      </c>
      <c r="D86" s="73">
        <v>133.19999999999999</v>
      </c>
      <c r="E86" s="73">
        <v>132.9</v>
      </c>
      <c r="F86" s="73">
        <v>132.30000000000001</v>
      </c>
      <c r="G86" s="73">
        <v>131.9</v>
      </c>
      <c r="H86" s="73">
        <v>131.9</v>
      </c>
      <c r="I86" s="73">
        <v>128.5</v>
      </c>
      <c r="J86" s="73">
        <v>128.19999999999999</v>
      </c>
      <c r="K86" s="73">
        <v>126.7</v>
      </c>
      <c r="L86" s="73">
        <v>127.1</v>
      </c>
      <c r="M86" s="73">
        <v>126</v>
      </c>
      <c r="N86" s="73">
        <v>127.1</v>
      </c>
      <c r="O86" s="73">
        <v>126.5</v>
      </c>
      <c r="P86" s="73">
        <v>127.5</v>
      </c>
      <c r="Q86" s="73">
        <v>127.5</v>
      </c>
      <c r="R86" s="73">
        <v>126.6</v>
      </c>
      <c r="S86" s="73"/>
      <c r="T86" s="73">
        <v>126.7</v>
      </c>
      <c r="U86" s="98">
        <v>125.9</v>
      </c>
      <c r="V86" s="98">
        <v>128.30000000000001</v>
      </c>
      <c r="W86" s="98">
        <v>127.1</v>
      </c>
      <c r="X86" s="98">
        <v>126.4</v>
      </c>
      <c r="Y86" s="98">
        <v>126.9</v>
      </c>
      <c r="Z86" s="98">
        <v>127.8</v>
      </c>
      <c r="AA86" s="98">
        <v>127.9</v>
      </c>
      <c r="AB86" s="73">
        <v>126.7</v>
      </c>
      <c r="AC86" s="73">
        <v>128</v>
      </c>
      <c r="AD86" s="73">
        <v>129.19999999999999</v>
      </c>
      <c r="AE86" s="73">
        <v>130.6</v>
      </c>
      <c r="AF86" s="73">
        <v>129.5</v>
      </c>
      <c r="AG86" s="99"/>
      <c r="AH86" s="54">
        <f t="shared" si="21"/>
        <v>133.19999999999999</v>
      </c>
      <c r="AI86" s="55">
        <f t="shared" si="22"/>
        <v>125.9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129</v>
      </c>
      <c r="C87" s="73">
        <v>128.5</v>
      </c>
      <c r="D87" s="73">
        <v>129.4</v>
      </c>
      <c r="E87" s="73">
        <v>130.30000000000001</v>
      </c>
      <c r="F87" s="73">
        <v>129.9</v>
      </c>
      <c r="G87" s="73">
        <v>129.5</v>
      </c>
      <c r="H87" s="73">
        <v>129.5</v>
      </c>
      <c r="I87" s="73">
        <v>126.4</v>
      </c>
      <c r="J87" s="73">
        <v>126.8</v>
      </c>
      <c r="K87" s="73">
        <v>126.1</v>
      </c>
      <c r="L87" s="73">
        <v>123.5</v>
      </c>
      <c r="M87" s="73">
        <v>127</v>
      </c>
      <c r="N87" s="73">
        <v>123.7</v>
      </c>
      <c r="O87" s="73">
        <v>125.8</v>
      </c>
      <c r="P87" s="73">
        <v>128</v>
      </c>
      <c r="Q87" s="73">
        <v>130.1</v>
      </c>
      <c r="R87" s="73">
        <v>129.30000000000001</v>
      </c>
      <c r="S87" s="73"/>
      <c r="T87" s="73">
        <v>128.9</v>
      </c>
      <c r="U87" s="73">
        <v>129.69999999999999</v>
      </c>
      <c r="V87" s="73">
        <v>128.30000000000001</v>
      </c>
      <c r="W87" s="73">
        <v>128.30000000000001</v>
      </c>
      <c r="X87" s="98">
        <v>130.6</v>
      </c>
      <c r="Y87" s="98">
        <v>128.69999999999999</v>
      </c>
      <c r="Z87" s="98">
        <v>130.80000000000001</v>
      </c>
      <c r="AA87" s="98">
        <v>130.4</v>
      </c>
      <c r="AB87" s="73">
        <v>129.80000000000001</v>
      </c>
      <c r="AC87" s="73">
        <v>131.19999999999999</v>
      </c>
      <c r="AD87" s="73">
        <v>132</v>
      </c>
      <c r="AE87" s="73">
        <v>129.30000000000001</v>
      </c>
      <c r="AF87" s="73" t="s">
        <v>229</v>
      </c>
      <c r="AG87" s="99"/>
      <c r="AH87" s="54">
        <f t="shared" si="21"/>
        <v>132</v>
      </c>
      <c r="AI87" s="55">
        <f t="shared" si="22"/>
        <v>123.5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133.5</v>
      </c>
      <c r="C88" s="73">
        <v>133</v>
      </c>
      <c r="D88" s="73">
        <v>133.80000000000001</v>
      </c>
      <c r="E88" s="73">
        <v>134</v>
      </c>
      <c r="F88" s="73">
        <v>134.1</v>
      </c>
      <c r="G88" s="73">
        <v>133.6</v>
      </c>
      <c r="H88" s="73">
        <v>133.6</v>
      </c>
      <c r="I88" s="73">
        <v>130.30000000000001</v>
      </c>
      <c r="J88" s="73">
        <v>130.5</v>
      </c>
      <c r="K88" s="73">
        <v>129.6</v>
      </c>
      <c r="L88" s="73">
        <v>128.6</v>
      </c>
      <c r="M88" s="73">
        <v>132</v>
      </c>
      <c r="N88" s="73">
        <v>126.8</v>
      </c>
      <c r="O88" s="73">
        <v>129.6</v>
      </c>
      <c r="P88" s="73">
        <v>130.9</v>
      </c>
      <c r="Q88" s="73">
        <v>133.5</v>
      </c>
      <c r="R88" s="73">
        <v>133.19999999999999</v>
      </c>
      <c r="S88" s="73"/>
      <c r="T88" s="73">
        <v>132</v>
      </c>
      <c r="U88" s="73">
        <v>133.19999999999999</v>
      </c>
      <c r="V88" s="73">
        <v>131.6</v>
      </c>
      <c r="W88" s="73">
        <v>131.6</v>
      </c>
      <c r="X88" s="98">
        <v>134.19999999999999</v>
      </c>
      <c r="Y88" s="98">
        <v>133.1</v>
      </c>
      <c r="Z88" s="98">
        <v>134.4</v>
      </c>
      <c r="AA88" s="98">
        <v>133.9</v>
      </c>
      <c r="AB88" s="73">
        <v>134.5</v>
      </c>
      <c r="AC88" s="73">
        <v>134.80000000000001</v>
      </c>
      <c r="AD88" s="73">
        <v>134.30000000000001</v>
      </c>
      <c r="AE88" s="73">
        <v>133.4</v>
      </c>
      <c r="AF88" s="73">
        <v>133.69999999999999</v>
      </c>
      <c r="AG88" s="99"/>
      <c r="AH88" s="54">
        <f t="shared" si="21"/>
        <v>134.80000000000001</v>
      </c>
      <c r="AI88" s="55">
        <f t="shared" si="22"/>
        <v>126.8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133.30000000000001</v>
      </c>
      <c r="C89" s="101">
        <v>132.30000000000001</v>
      </c>
      <c r="D89" s="101">
        <v>136.6</v>
      </c>
      <c r="E89" s="101">
        <v>134.5</v>
      </c>
      <c r="F89" s="101">
        <v>134.1</v>
      </c>
      <c r="G89" s="101">
        <v>134.30000000000001</v>
      </c>
      <c r="H89" s="101">
        <v>134.30000000000001</v>
      </c>
      <c r="I89" s="101">
        <v>132</v>
      </c>
      <c r="J89" s="101">
        <v>131.19999999999999</v>
      </c>
      <c r="K89" s="101">
        <v>132.80000000000001</v>
      </c>
      <c r="L89" s="101">
        <v>132.6</v>
      </c>
      <c r="M89" s="101">
        <v>131</v>
      </c>
      <c r="N89" s="101">
        <v>132.19999999999999</v>
      </c>
      <c r="O89" s="101">
        <v>132.30000000000001</v>
      </c>
      <c r="P89" s="101">
        <v>135.4</v>
      </c>
      <c r="Q89" s="101">
        <v>132.9</v>
      </c>
      <c r="R89" s="101">
        <v>132.30000000000001</v>
      </c>
      <c r="S89" s="101"/>
      <c r="T89" s="101">
        <v>133</v>
      </c>
      <c r="U89" s="101">
        <v>133.4</v>
      </c>
      <c r="V89" s="101">
        <v>135.69999999999999</v>
      </c>
      <c r="W89" s="101">
        <v>135.69999999999999</v>
      </c>
      <c r="X89" s="98">
        <v>134.69999999999999</v>
      </c>
      <c r="Y89" s="98">
        <v>133.69999999999999</v>
      </c>
      <c r="Z89" s="98">
        <v>133.5</v>
      </c>
      <c r="AA89" s="98">
        <v>134.30000000000001</v>
      </c>
      <c r="AB89" s="101">
        <v>133</v>
      </c>
      <c r="AC89" s="101">
        <v>134.80000000000001</v>
      </c>
      <c r="AD89" s="101">
        <v>134</v>
      </c>
      <c r="AE89" s="101">
        <v>134.69999999999999</v>
      </c>
      <c r="AF89" s="101">
        <v>129</v>
      </c>
      <c r="AG89" s="102"/>
      <c r="AH89" s="54">
        <f t="shared" si="21"/>
        <v>136.6</v>
      </c>
      <c r="AI89" s="55">
        <f t="shared" si="22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132.4</v>
      </c>
      <c r="C90" s="73">
        <v>131.69999999999999</v>
      </c>
      <c r="D90" s="73">
        <v>135.80000000000001</v>
      </c>
      <c r="E90" s="73">
        <v>134</v>
      </c>
      <c r="F90" s="73">
        <v>133.80000000000001</v>
      </c>
      <c r="G90" s="73">
        <v>133.9</v>
      </c>
      <c r="H90" s="73">
        <v>133.9</v>
      </c>
      <c r="I90" s="73">
        <v>127.6</v>
      </c>
      <c r="J90" s="73">
        <v>128.4</v>
      </c>
      <c r="K90" s="73">
        <v>128.19999999999999</v>
      </c>
      <c r="L90" s="73">
        <v>126.2</v>
      </c>
      <c r="M90" s="73">
        <v>129</v>
      </c>
      <c r="N90" s="73">
        <v>127.4</v>
      </c>
      <c r="O90" s="73">
        <v>127.8</v>
      </c>
      <c r="P90" s="73">
        <v>131.5</v>
      </c>
      <c r="Q90" s="73">
        <v>128.4</v>
      </c>
      <c r="R90" s="73">
        <v>127.6</v>
      </c>
      <c r="S90" s="73"/>
      <c r="T90" s="73">
        <v>130.69999999999999</v>
      </c>
      <c r="U90" s="73">
        <v>131.19999999999999</v>
      </c>
      <c r="V90" s="73">
        <v>132.9</v>
      </c>
      <c r="W90" s="73">
        <v>132.9</v>
      </c>
      <c r="X90" s="98">
        <v>134</v>
      </c>
      <c r="Y90" s="98">
        <v>134.30000000000001</v>
      </c>
      <c r="Z90" s="98">
        <v>135.1</v>
      </c>
      <c r="AA90" s="98">
        <v>134.80000000000001</v>
      </c>
      <c r="AB90" s="73">
        <v>132.5</v>
      </c>
      <c r="AC90" s="73">
        <v>135.4</v>
      </c>
      <c r="AD90" s="73">
        <v>134.5</v>
      </c>
      <c r="AE90" s="73">
        <v>133.19999999999999</v>
      </c>
      <c r="AF90" s="73">
        <v>128.80000000000001</v>
      </c>
      <c r="AG90" s="99"/>
      <c r="AH90" s="54">
        <f t="shared" si="21"/>
        <v>135.80000000000001</v>
      </c>
      <c r="AI90" s="55">
        <f t="shared" si="22"/>
        <v>126.2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66.900000000000006</v>
      </c>
      <c r="C91" s="103">
        <v>67</v>
      </c>
      <c r="D91" s="103">
        <v>67.7</v>
      </c>
      <c r="E91" s="103">
        <v>67.400000000000006</v>
      </c>
      <c r="F91" s="103">
        <v>67.3</v>
      </c>
      <c r="G91" s="103">
        <v>67.099999999999994</v>
      </c>
      <c r="H91" s="103">
        <v>67.099999999999994</v>
      </c>
      <c r="I91" s="103">
        <v>65.3</v>
      </c>
      <c r="J91" s="103">
        <v>64.900000000000006</v>
      </c>
      <c r="K91" s="103">
        <v>64.400000000000006</v>
      </c>
      <c r="L91" s="103">
        <v>64.5</v>
      </c>
      <c r="M91" s="103">
        <v>64.3</v>
      </c>
      <c r="N91" s="103">
        <v>64.3</v>
      </c>
      <c r="O91" s="103">
        <v>64.400000000000006</v>
      </c>
      <c r="P91" s="103">
        <v>64.7</v>
      </c>
      <c r="Q91" s="103">
        <v>64.7</v>
      </c>
      <c r="R91" s="103">
        <v>64.3</v>
      </c>
      <c r="S91" s="103"/>
      <c r="T91" s="103">
        <v>64.400000000000006</v>
      </c>
      <c r="U91" s="103">
        <v>64.099999999999994</v>
      </c>
      <c r="V91" s="103">
        <v>65.099999999999994</v>
      </c>
      <c r="W91" s="103">
        <v>65.099999999999994</v>
      </c>
      <c r="X91" s="103">
        <v>64.3</v>
      </c>
      <c r="Y91" s="103">
        <v>64.400000000000006</v>
      </c>
      <c r="Z91" s="103">
        <v>64.8</v>
      </c>
      <c r="AA91" s="103">
        <v>64.8</v>
      </c>
      <c r="AB91" s="103">
        <v>64.3</v>
      </c>
      <c r="AC91" s="103">
        <v>64.900000000000006</v>
      </c>
      <c r="AD91" s="103">
        <v>65.3</v>
      </c>
      <c r="AE91" s="103">
        <v>66.3</v>
      </c>
      <c r="AF91" s="103">
        <v>67</v>
      </c>
      <c r="AG91" s="104"/>
      <c r="AH91" s="54">
        <f t="shared" si="21"/>
        <v>67.7</v>
      </c>
      <c r="AI91" s="55">
        <f t="shared" si="22"/>
        <v>64.099999999999994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3">SUM(B15,B18,B21:B22,B42,B44:B45,B47,B49,B94:B97,B102,B108,B114,B123,B125,B137,B144,B147:B148,B155,B157,B159,B163:B165,B167:B169,B174,B180:B181,B183:B185,B193,B198)</f>
        <v>185.93999999999997</v>
      </c>
      <c r="C93" s="110">
        <f>SUM(C15,C18,C21:C22,C42,C44:C45,C47,C49,C94:C97,C102,C108,C114,C123,C125,C137,C144,C147:C148,C155,C157,C159,C163:C165,C167:C169,C174,C180:C181,C183:C185,C193,C198)</f>
        <v>171.33999999999997</v>
      </c>
      <c r="D93" s="110">
        <f t="shared" ref="D93:AF93" si="34">SUM(D15,D18,D21:D22,D42,D44:D45,D47,D49,D94:D97,D102,D108,D114,D123,D125,D137,D144,D147:D148,D155,D157,D159,D163:D165,D167:D169,D174,D180:D181,D183:D185,D193,D198)</f>
        <v>168.83999999999997</v>
      </c>
      <c r="E93" s="110">
        <f t="shared" si="34"/>
        <v>167.33999999999997</v>
      </c>
      <c r="F93" s="110">
        <f t="shared" si="34"/>
        <v>169.23999999999998</v>
      </c>
      <c r="G93" s="109">
        <f t="shared" si="34"/>
        <v>195.43999999999997</v>
      </c>
      <c r="H93" s="109">
        <f t="shared" si="34"/>
        <v>195.43999999999997</v>
      </c>
      <c r="I93" s="109">
        <f t="shared" si="34"/>
        <v>284.74</v>
      </c>
      <c r="J93" s="109">
        <f t="shared" si="34"/>
        <v>294.94</v>
      </c>
      <c r="K93" s="109">
        <f t="shared" si="34"/>
        <v>373.24</v>
      </c>
      <c r="L93" s="109">
        <f t="shared" si="34"/>
        <v>415.54000000000008</v>
      </c>
      <c r="M93" s="109">
        <f t="shared" si="34"/>
        <v>421.74000000000007</v>
      </c>
      <c r="N93" s="109">
        <f t="shared" si="34"/>
        <v>395.54000000000008</v>
      </c>
      <c r="O93" s="109">
        <f t="shared" si="34"/>
        <v>379.34000000000003</v>
      </c>
      <c r="P93" s="109">
        <f t="shared" si="34"/>
        <v>354.34000000000003</v>
      </c>
      <c r="Q93" s="109">
        <f t="shared" si="34"/>
        <v>337.64000000000004</v>
      </c>
      <c r="R93" s="109">
        <f t="shared" si="34"/>
        <v>323.84000000000003</v>
      </c>
      <c r="S93" s="109">
        <f t="shared" si="34"/>
        <v>34.840000000000003</v>
      </c>
      <c r="T93" s="109">
        <f t="shared" si="34"/>
        <v>335.74</v>
      </c>
      <c r="U93" s="109">
        <f t="shared" si="34"/>
        <v>374.54</v>
      </c>
      <c r="V93" s="109">
        <f t="shared" si="34"/>
        <v>410.03999999999996</v>
      </c>
      <c r="W93" s="109">
        <f t="shared" si="34"/>
        <v>410.03999999999996</v>
      </c>
      <c r="X93" s="109">
        <f t="shared" si="34"/>
        <v>463.84000000000003</v>
      </c>
      <c r="Y93" s="109">
        <f t="shared" si="34"/>
        <v>456.74000000000007</v>
      </c>
      <c r="Z93" s="109">
        <f t="shared" si="34"/>
        <v>437.84000000000003</v>
      </c>
      <c r="AA93" s="109">
        <f t="shared" si="34"/>
        <v>434.14</v>
      </c>
      <c r="AB93" s="109">
        <f t="shared" si="34"/>
        <v>415.54</v>
      </c>
      <c r="AC93" s="109">
        <f t="shared" si="34"/>
        <v>401.34000000000003</v>
      </c>
      <c r="AD93" s="109">
        <f t="shared" si="34"/>
        <v>340.74</v>
      </c>
      <c r="AE93" s="109">
        <f t="shared" si="34"/>
        <v>275.84000000000003</v>
      </c>
      <c r="AF93" s="109">
        <f t="shared" si="34"/>
        <v>223.14</v>
      </c>
      <c r="AG93" s="111"/>
      <c r="AH93" s="54">
        <f>MAX(C93:AF93)</f>
        <v>463.84000000000003</v>
      </c>
      <c r="AI93" s="55">
        <f>MIN(C93:AF93)</f>
        <v>34.840000000000003</v>
      </c>
    </row>
    <row r="94" spans="1:88" x14ac:dyDescent="0.25">
      <c r="A94" s="112" t="s">
        <v>98</v>
      </c>
      <c r="B94" s="113">
        <v>21.4</v>
      </c>
      <c r="C94" s="58">
        <v>7.9</v>
      </c>
      <c r="D94" s="58">
        <v>17.5</v>
      </c>
      <c r="E94" s="58">
        <v>15.3</v>
      </c>
      <c r="F94" s="58">
        <v>17.399999999999999</v>
      </c>
      <c r="G94" s="114">
        <v>28.6</v>
      </c>
      <c r="H94" s="114">
        <v>28.6</v>
      </c>
      <c r="I94" s="114">
        <v>24.2</v>
      </c>
      <c r="J94" s="114">
        <v>21.1</v>
      </c>
      <c r="K94" s="114">
        <v>33.799999999999997</v>
      </c>
      <c r="L94" s="114">
        <v>37.4</v>
      </c>
      <c r="M94" s="113">
        <v>44.8</v>
      </c>
      <c r="N94" s="113">
        <v>38.4</v>
      </c>
      <c r="O94" s="114">
        <v>43.5</v>
      </c>
      <c r="P94" s="114">
        <v>45.6</v>
      </c>
      <c r="Q94" s="114">
        <v>29</v>
      </c>
      <c r="R94" s="114">
        <v>29.5</v>
      </c>
      <c r="S94" s="114"/>
      <c r="T94" s="114">
        <v>65.2</v>
      </c>
      <c r="U94" s="113">
        <v>50.8</v>
      </c>
      <c r="V94" s="113">
        <v>53.4</v>
      </c>
      <c r="W94" s="113">
        <v>53.4</v>
      </c>
      <c r="X94" s="114">
        <v>48</v>
      </c>
      <c r="Y94" s="114">
        <v>55.1</v>
      </c>
      <c r="Z94" s="114">
        <v>49.4</v>
      </c>
      <c r="AA94" s="114">
        <v>58.6</v>
      </c>
      <c r="AB94" s="113">
        <v>55.1</v>
      </c>
      <c r="AC94" s="113">
        <v>62</v>
      </c>
      <c r="AD94" s="113">
        <v>47</v>
      </c>
      <c r="AE94" s="113">
        <v>59.7</v>
      </c>
      <c r="AF94" s="113">
        <v>43.1</v>
      </c>
      <c r="AG94" s="115">
        <v>75</v>
      </c>
      <c r="AH94" s="54">
        <f t="shared" ref="AH94:AH99" si="35">IF(ABS(MAX(C94:AF94))&gt;ABS(MIN(C94:AF94)),MAX(C94:AF94),MIN(C94:AF94))</f>
        <v>65.2</v>
      </c>
      <c r="AI94" s="116">
        <f t="shared" ref="AI94:AI99" si="36">INDEX($C$9:$AF$9,1,MATCH(AH94,C94:AF94,0))</f>
        <v>0.625</v>
      </c>
    </row>
    <row r="95" spans="1:88" x14ac:dyDescent="0.25">
      <c r="A95" s="117" t="s">
        <v>99</v>
      </c>
      <c r="B95" s="73">
        <f>-30-35.6</f>
        <v>-65.599999999999994</v>
      </c>
      <c r="C95" s="60">
        <f>-30-35.4</f>
        <v>-65.400000000000006</v>
      </c>
      <c r="D95" s="60">
        <f>-30.7-36.1</f>
        <v>-66.8</v>
      </c>
      <c r="E95" s="60">
        <v>-70</v>
      </c>
      <c r="F95" s="60">
        <v>-70</v>
      </c>
      <c r="G95" s="60">
        <v>-63</v>
      </c>
      <c r="H95" s="60">
        <v>-63</v>
      </c>
      <c r="I95" s="60">
        <v>-34</v>
      </c>
      <c r="J95" s="60">
        <v>-27</v>
      </c>
      <c r="K95" s="60">
        <v>-10</v>
      </c>
      <c r="L95" s="60">
        <f>7.9+1</f>
        <v>8.9</v>
      </c>
      <c r="M95" s="60">
        <v>5</v>
      </c>
      <c r="N95" s="60">
        <v>5</v>
      </c>
      <c r="O95" s="60">
        <v>-10.3</v>
      </c>
      <c r="P95" s="60">
        <v>-8.5</v>
      </c>
      <c r="Q95" s="60">
        <v>-14.1</v>
      </c>
      <c r="R95" s="60">
        <f>-8.1-10.2</f>
        <v>-18.299999999999997</v>
      </c>
      <c r="S95" s="60"/>
      <c r="T95" s="60">
        <v>-16</v>
      </c>
      <c r="U95" s="60">
        <v>9.6</v>
      </c>
      <c r="V95" s="60">
        <v>16.2</v>
      </c>
      <c r="W95" s="60">
        <v>16.2</v>
      </c>
      <c r="X95" s="60">
        <v>35.1</v>
      </c>
      <c r="Y95" s="60">
        <v>29.5</v>
      </c>
      <c r="Z95" s="60">
        <v>28.9</v>
      </c>
      <c r="AA95" s="60">
        <v>29.1</v>
      </c>
      <c r="AB95" s="73">
        <f>6.2+4.9</f>
        <v>11.100000000000001</v>
      </c>
      <c r="AC95" s="73">
        <v>5.6</v>
      </c>
      <c r="AD95" s="73">
        <v>-13</v>
      </c>
      <c r="AE95" s="73">
        <f>-19.8-23.1</f>
        <v>-42.900000000000006</v>
      </c>
      <c r="AF95" s="73">
        <f>-25.2-31.8</f>
        <v>-57</v>
      </c>
      <c r="AG95" s="115">
        <v>240</v>
      </c>
      <c r="AH95" s="54">
        <f t="shared" si="35"/>
        <v>-70</v>
      </c>
      <c r="AI95" s="116">
        <f t="shared" si="36"/>
        <v>0.125</v>
      </c>
    </row>
    <row r="96" spans="1:88" x14ac:dyDescent="0.25">
      <c r="A96" s="117" t="s">
        <v>100</v>
      </c>
      <c r="B96" s="73">
        <v>3.6</v>
      </c>
      <c r="C96" s="60">
        <v>2.2000000000000002</v>
      </c>
      <c r="D96" s="60">
        <v>2</v>
      </c>
      <c r="E96" s="60">
        <v>0.7</v>
      </c>
      <c r="F96" s="60">
        <v>0.5</v>
      </c>
      <c r="G96" s="60">
        <v>2.8</v>
      </c>
      <c r="H96" s="60">
        <v>2.8</v>
      </c>
      <c r="I96" s="60">
        <v>12.9</v>
      </c>
      <c r="J96" s="60">
        <v>13.1</v>
      </c>
      <c r="K96" s="60">
        <v>35</v>
      </c>
      <c r="L96" s="60">
        <v>57.1</v>
      </c>
      <c r="M96" s="60">
        <v>57.8</v>
      </c>
      <c r="N96" s="60">
        <v>51</v>
      </c>
      <c r="O96" s="60">
        <v>40.5</v>
      </c>
      <c r="P96" s="60">
        <v>29.7</v>
      </c>
      <c r="Q96" s="60">
        <v>31.6</v>
      </c>
      <c r="R96" s="60">
        <v>22.8</v>
      </c>
      <c r="S96" s="60"/>
      <c r="T96" s="60">
        <v>24.7</v>
      </c>
      <c r="U96" s="60">
        <v>23.1</v>
      </c>
      <c r="V96" s="60">
        <v>56.8</v>
      </c>
      <c r="W96" s="60">
        <v>56.8</v>
      </c>
      <c r="X96" s="60">
        <v>59.9</v>
      </c>
      <c r="Y96" s="60">
        <v>59.1</v>
      </c>
      <c r="Z96" s="60">
        <v>51.8</v>
      </c>
      <c r="AA96" s="60">
        <v>44.1</v>
      </c>
      <c r="AB96" s="73">
        <v>41.1</v>
      </c>
      <c r="AC96" s="73">
        <v>41</v>
      </c>
      <c r="AD96" s="73">
        <v>25</v>
      </c>
      <c r="AE96" s="73">
        <v>30.9</v>
      </c>
      <c r="AF96" s="73">
        <v>20.3</v>
      </c>
      <c r="AG96" s="115">
        <v>60</v>
      </c>
      <c r="AH96" s="54">
        <f t="shared" si="35"/>
        <v>59.9</v>
      </c>
      <c r="AI96" s="116">
        <f t="shared" si="36"/>
        <v>0.75</v>
      </c>
    </row>
    <row r="97" spans="1:37" x14ac:dyDescent="0.25">
      <c r="A97" s="118" t="s">
        <v>101</v>
      </c>
      <c r="B97" s="119">
        <v>24.5</v>
      </c>
      <c r="C97" s="63">
        <v>26.5</v>
      </c>
      <c r="D97" s="63">
        <v>15.7</v>
      </c>
      <c r="E97" s="63">
        <v>20.9</v>
      </c>
      <c r="F97" s="63">
        <v>20.9</v>
      </c>
      <c r="G97" s="63">
        <v>26.6</v>
      </c>
      <c r="H97" s="63">
        <v>26.6</v>
      </c>
      <c r="I97" s="63">
        <v>81.2</v>
      </c>
      <c r="J97" s="63">
        <v>87.3</v>
      </c>
      <c r="K97" s="63">
        <v>114</v>
      </c>
      <c r="L97" s="63">
        <v>113</v>
      </c>
      <c r="M97" s="63">
        <v>115</v>
      </c>
      <c r="N97" s="63">
        <v>102</v>
      </c>
      <c r="O97" s="63">
        <v>107.5</v>
      </c>
      <c r="P97" s="63">
        <v>89.4</v>
      </c>
      <c r="Q97" s="63">
        <v>93</v>
      </c>
      <c r="R97" s="63">
        <v>91.7</v>
      </c>
      <c r="S97" s="63"/>
      <c r="T97" s="63">
        <v>64.5</v>
      </c>
      <c r="U97" s="63">
        <v>93.7</v>
      </c>
      <c r="V97" s="63">
        <v>80.099999999999994</v>
      </c>
      <c r="W97" s="63">
        <v>80.099999999999994</v>
      </c>
      <c r="X97" s="63">
        <v>117.1</v>
      </c>
      <c r="Y97" s="63">
        <v>113.3</v>
      </c>
      <c r="Z97" s="63">
        <v>109.3</v>
      </c>
      <c r="AA97" s="63">
        <v>103.9</v>
      </c>
      <c r="AB97" s="119">
        <v>109.5</v>
      </c>
      <c r="AC97" s="119">
        <v>94</v>
      </c>
      <c r="AD97" s="119">
        <v>83</v>
      </c>
      <c r="AE97" s="119">
        <v>29.7</v>
      </c>
      <c r="AF97" s="119">
        <v>18.3</v>
      </c>
      <c r="AG97" s="120">
        <v>120</v>
      </c>
      <c r="AH97" s="54">
        <f t="shared" si="35"/>
        <v>117.1</v>
      </c>
      <c r="AI97" s="116">
        <f t="shared" si="36"/>
        <v>0.75</v>
      </c>
    </row>
    <row r="98" spans="1:37" x14ac:dyDescent="0.25">
      <c r="A98" s="118" t="s">
        <v>102</v>
      </c>
      <c r="B98" s="119">
        <v>37.799999999999997</v>
      </c>
      <c r="C98" s="63">
        <v>38.6</v>
      </c>
      <c r="D98" s="63">
        <v>27.4</v>
      </c>
      <c r="E98" s="63">
        <v>30</v>
      </c>
      <c r="F98" s="63">
        <v>31.6</v>
      </c>
      <c r="G98" s="63">
        <v>34.9</v>
      </c>
      <c r="H98" s="63">
        <v>34.9</v>
      </c>
      <c r="I98" s="63">
        <v>78.3</v>
      </c>
      <c r="J98" s="63">
        <v>81.8</v>
      </c>
      <c r="K98" s="63">
        <v>90.1</v>
      </c>
      <c r="L98" s="63">
        <v>81.2</v>
      </c>
      <c r="M98" s="63">
        <v>87</v>
      </c>
      <c r="N98" s="63">
        <v>64</v>
      </c>
      <c r="O98" s="63">
        <v>84.1</v>
      </c>
      <c r="P98" s="63">
        <v>85.7</v>
      </c>
      <c r="Q98" s="63">
        <v>92.9</v>
      </c>
      <c r="R98" s="63">
        <v>92.6</v>
      </c>
      <c r="S98" s="63"/>
      <c r="T98" s="63">
        <v>63</v>
      </c>
      <c r="U98" s="63">
        <v>95.1</v>
      </c>
      <c r="V98" s="63">
        <v>51.2</v>
      </c>
      <c r="W98" s="63">
        <v>51.2</v>
      </c>
      <c r="X98" s="63">
        <v>72.3</v>
      </c>
      <c r="Y98" s="63">
        <v>70.8</v>
      </c>
      <c r="Z98" s="63">
        <v>69.099999999999994</v>
      </c>
      <c r="AA98" s="63">
        <v>66.3</v>
      </c>
      <c r="AB98" s="119">
        <v>86.3</v>
      </c>
      <c r="AC98" s="119">
        <v>73</v>
      </c>
      <c r="AD98" s="119">
        <v>76</v>
      </c>
      <c r="AE98" s="119">
        <v>36.5</v>
      </c>
      <c r="AF98" s="119">
        <v>30.8</v>
      </c>
      <c r="AG98" s="120"/>
      <c r="AH98" s="54">
        <f t="shared" si="35"/>
        <v>95.1</v>
      </c>
      <c r="AI98" s="116">
        <f t="shared" si="36"/>
        <v>0.66666666666666696</v>
      </c>
    </row>
    <row r="99" spans="1:37" ht="15.75" thickBot="1" x14ac:dyDescent="0.3">
      <c r="A99" s="118" t="s">
        <v>217</v>
      </c>
      <c r="B99" s="119">
        <v>68.099999999999994</v>
      </c>
      <c r="C99" s="63">
        <v>78.5</v>
      </c>
      <c r="D99" s="63">
        <v>64.2</v>
      </c>
      <c r="E99" s="63">
        <v>70</v>
      </c>
      <c r="F99" s="63">
        <v>68.599999999999994</v>
      </c>
      <c r="G99" s="63">
        <v>73.099999999999994</v>
      </c>
      <c r="H99" s="63">
        <v>73.099999999999994</v>
      </c>
      <c r="I99" s="63">
        <v>78.099999999999994</v>
      </c>
      <c r="J99" s="63">
        <v>79.599999999999994</v>
      </c>
      <c r="K99" s="63">
        <v>78.5</v>
      </c>
      <c r="L99" s="63">
        <v>64.2</v>
      </c>
      <c r="M99" s="63">
        <v>24</v>
      </c>
      <c r="N99" s="63">
        <v>68</v>
      </c>
      <c r="O99" s="63">
        <v>68.2</v>
      </c>
      <c r="P99" s="63">
        <v>62.3</v>
      </c>
      <c r="Q99" s="63">
        <v>70.900000000000006</v>
      </c>
      <c r="R99" s="63">
        <v>71.3</v>
      </c>
      <c r="S99" s="63"/>
      <c r="T99" s="63">
        <v>50.6</v>
      </c>
      <c r="U99" s="63">
        <v>29.1</v>
      </c>
      <c r="V99" s="63">
        <v>28.1</v>
      </c>
      <c r="W99" s="63">
        <v>28.1</v>
      </c>
      <c r="X99" s="63">
        <v>19</v>
      </c>
      <c r="Y99" s="63">
        <v>30.4</v>
      </c>
      <c r="Z99" s="63">
        <v>22.8</v>
      </c>
      <c r="AA99" s="63">
        <v>31.9</v>
      </c>
      <c r="AB99" s="119">
        <v>56.3</v>
      </c>
      <c r="AC99" s="119">
        <v>42.5</v>
      </c>
      <c r="AD99" s="119">
        <v>34</v>
      </c>
      <c r="AE99" s="119">
        <v>31.8</v>
      </c>
      <c r="AF99" s="119">
        <v>59.1</v>
      </c>
      <c r="AG99" s="121"/>
      <c r="AH99" s="54">
        <f t="shared" si="35"/>
        <v>79.599999999999994</v>
      </c>
      <c r="AI99" s="116">
        <f t="shared" si="36"/>
        <v>0.27083333333333331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37">AF101</f>
        <v>9.9</v>
      </c>
      <c r="C101" s="53">
        <v>9.9</v>
      </c>
      <c r="D101" s="127">
        <f t="shared" ref="D101:S106" si="38">C101</f>
        <v>9.9</v>
      </c>
      <c r="E101" s="127">
        <f t="shared" si="38"/>
        <v>9.9</v>
      </c>
      <c r="F101" s="127">
        <f t="shared" si="38"/>
        <v>9.9</v>
      </c>
      <c r="G101" s="127">
        <f t="shared" si="38"/>
        <v>9.9</v>
      </c>
      <c r="H101" s="127">
        <f t="shared" si="38"/>
        <v>9.9</v>
      </c>
      <c r="I101" s="127">
        <f t="shared" si="38"/>
        <v>9.9</v>
      </c>
      <c r="J101" s="127">
        <f t="shared" si="38"/>
        <v>9.9</v>
      </c>
      <c r="K101" s="127">
        <f t="shared" si="38"/>
        <v>9.9</v>
      </c>
      <c r="L101" s="127">
        <f t="shared" si="38"/>
        <v>9.9</v>
      </c>
      <c r="M101" s="127">
        <f t="shared" si="38"/>
        <v>9.9</v>
      </c>
      <c r="N101" s="127">
        <f t="shared" si="38"/>
        <v>9.9</v>
      </c>
      <c r="O101" s="127">
        <f t="shared" si="38"/>
        <v>9.9</v>
      </c>
      <c r="P101" s="127">
        <f t="shared" si="38"/>
        <v>9.9</v>
      </c>
      <c r="Q101" s="127">
        <f t="shared" si="38"/>
        <v>9.9</v>
      </c>
      <c r="R101" s="127">
        <f t="shared" si="38"/>
        <v>9.9</v>
      </c>
      <c r="S101" s="127">
        <f t="shared" si="38"/>
        <v>9.9</v>
      </c>
      <c r="T101" s="127">
        <f t="shared" ref="T101:AF106" si="39">S101</f>
        <v>9.9</v>
      </c>
      <c r="U101" s="127">
        <f t="shared" si="39"/>
        <v>9.9</v>
      </c>
      <c r="V101" s="127">
        <f t="shared" si="39"/>
        <v>9.9</v>
      </c>
      <c r="W101" s="127">
        <f t="shared" si="39"/>
        <v>9.9</v>
      </c>
      <c r="X101" s="127">
        <f t="shared" si="39"/>
        <v>9.9</v>
      </c>
      <c r="Y101" s="127">
        <f t="shared" si="39"/>
        <v>9.9</v>
      </c>
      <c r="Z101" s="127">
        <f t="shared" si="39"/>
        <v>9.9</v>
      </c>
      <c r="AA101" s="127">
        <f t="shared" si="39"/>
        <v>9.9</v>
      </c>
      <c r="AB101" s="127">
        <f t="shared" si="39"/>
        <v>9.9</v>
      </c>
      <c r="AC101" s="127">
        <f t="shared" si="39"/>
        <v>9.9</v>
      </c>
      <c r="AD101" s="127">
        <f t="shared" si="39"/>
        <v>9.9</v>
      </c>
      <c r="AE101" s="127">
        <f t="shared" si="39"/>
        <v>9.9</v>
      </c>
      <c r="AF101" s="127">
        <f t="shared" si="39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37"/>
        <v>9.6</v>
      </c>
      <c r="C102" s="130">
        <v>9.6</v>
      </c>
      <c r="D102" s="129">
        <f t="shared" si="38"/>
        <v>9.6</v>
      </c>
      <c r="E102" s="129">
        <f t="shared" si="38"/>
        <v>9.6</v>
      </c>
      <c r="F102" s="129">
        <f t="shared" si="38"/>
        <v>9.6</v>
      </c>
      <c r="G102" s="129">
        <f t="shared" si="38"/>
        <v>9.6</v>
      </c>
      <c r="H102" s="129">
        <f t="shared" si="38"/>
        <v>9.6</v>
      </c>
      <c r="I102" s="129">
        <f t="shared" si="38"/>
        <v>9.6</v>
      </c>
      <c r="J102" s="129">
        <f t="shared" si="38"/>
        <v>9.6</v>
      </c>
      <c r="K102" s="129">
        <f t="shared" si="38"/>
        <v>9.6</v>
      </c>
      <c r="L102" s="129">
        <f t="shared" si="38"/>
        <v>9.6</v>
      </c>
      <c r="M102" s="129">
        <f t="shared" si="38"/>
        <v>9.6</v>
      </c>
      <c r="N102" s="129">
        <f t="shared" si="38"/>
        <v>9.6</v>
      </c>
      <c r="O102" s="129">
        <f t="shared" si="38"/>
        <v>9.6</v>
      </c>
      <c r="P102" s="129">
        <f t="shared" si="38"/>
        <v>9.6</v>
      </c>
      <c r="Q102" s="129">
        <f t="shared" si="38"/>
        <v>9.6</v>
      </c>
      <c r="R102" s="129">
        <f t="shared" si="38"/>
        <v>9.6</v>
      </c>
      <c r="S102" s="129">
        <f t="shared" si="38"/>
        <v>9.6</v>
      </c>
      <c r="T102" s="129">
        <f t="shared" si="39"/>
        <v>9.6</v>
      </c>
      <c r="U102" s="129">
        <f t="shared" si="39"/>
        <v>9.6</v>
      </c>
      <c r="V102" s="129">
        <f t="shared" si="39"/>
        <v>9.6</v>
      </c>
      <c r="W102" s="129">
        <f t="shared" si="39"/>
        <v>9.6</v>
      </c>
      <c r="X102" s="129">
        <f t="shared" si="39"/>
        <v>9.6</v>
      </c>
      <c r="Y102" s="129">
        <f t="shared" si="39"/>
        <v>9.6</v>
      </c>
      <c r="Z102" s="129">
        <f t="shared" si="39"/>
        <v>9.6</v>
      </c>
      <c r="AA102" s="129">
        <f t="shared" si="39"/>
        <v>9.6</v>
      </c>
      <c r="AB102" s="129">
        <f t="shared" si="39"/>
        <v>9.6</v>
      </c>
      <c r="AC102" s="129">
        <f t="shared" si="39"/>
        <v>9.6</v>
      </c>
      <c r="AD102" s="129">
        <f t="shared" si="39"/>
        <v>9.6</v>
      </c>
      <c r="AE102" s="129">
        <f t="shared" si="39"/>
        <v>9.6</v>
      </c>
      <c r="AF102" s="129">
        <f t="shared" si="39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37"/>
        <v>9.98</v>
      </c>
      <c r="C103" s="130">
        <v>9.98</v>
      </c>
      <c r="D103" s="129">
        <f t="shared" si="38"/>
        <v>9.98</v>
      </c>
      <c r="E103" s="129">
        <f t="shared" si="38"/>
        <v>9.98</v>
      </c>
      <c r="F103" s="129">
        <f t="shared" si="38"/>
        <v>9.98</v>
      </c>
      <c r="G103" s="129">
        <f t="shared" si="38"/>
        <v>9.98</v>
      </c>
      <c r="H103" s="129">
        <f t="shared" si="38"/>
        <v>9.98</v>
      </c>
      <c r="I103" s="129">
        <f t="shared" si="38"/>
        <v>9.98</v>
      </c>
      <c r="J103" s="129">
        <f t="shared" si="38"/>
        <v>9.98</v>
      </c>
      <c r="K103" s="129">
        <f t="shared" si="38"/>
        <v>9.98</v>
      </c>
      <c r="L103" s="129">
        <f t="shared" si="38"/>
        <v>9.98</v>
      </c>
      <c r="M103" s="129">
        <f t="shared" si="38"/>
        <v>9.98</v>
      </c>
      <c r="N103" s="129">
        <f t="shared" si="38"/>
        <v>9.98</v>
      </c>
      <c r="O103" s="129">
        <f t="shared" si="38"/>
        <v>9.98</v>
      </c>
      <c r="P103" s="129">
        <f t="shared" si="38"/>
        <v>9.98</v>
      </c>
      <c r="Q103" s="129">
        <f t="shared" si="38"/>
        <v>9.98</v>
      </c>
      <c r="R103" s="129">
        <f t="shared" si="38"/>
        <v>9.98</v>
      </c>
      <c r="S103" s="129">
        <f t="shared" si="38"/>
        <v>9.98</v>
      </c>
      <c r="T103" s="129">
        <f t="shared" si="39"/>
        <v>9.98</v>
      </c>
      <c r="U103" s="129">
        <f t="shared" si="39"/>
        <v>9.98</v>
      </c>
      <c r="V103" s="129">
        <f t="shared" si="39"/>
        <v>9.98</v>
      </c>
      <c r="W103" s="129">
        <f t="shared" si="39"/>
        <v>9.98</v>
      </c>
      <c r="X103" s="129">
        <f t="shared" si="39"/>
        <v>9.98</v>
      </c>
      <c r="Y103" s="129">
        <f t="shared" si="39"/>
        <v>9.98</v>
      </c>
      <c r="Z103" s="129">
        <f t="shared" si="39"/>
        <v>9.98</v>
      </c>
      <c r="AA103" s="129">
        <f t="shared" si="39"/>
        <v>9.98</v>
      </c>
      <c r="AB103" s="129">
        <f t="shared" si="39"/>
        <v>9.98</v>
      </c>
      <c r="AC103" s="129">
        <f t="shared" si="39"/>
        <v>9.98</v>
      </c>
      <c r="AD103" s="129">
        <f t="shared" si="39"/>
        <v>9.98</v>
      </c>
      <c r="AE103" s="129">
        <f t="shared" si="39"/>
        <v>9.98</v>
      </c>
      <c r="AF103" s="129">
        <f t="shared" si="39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37"/>
        <v>9.1</v>
      </c>
      <c r="C104" s="130">
        <v>9.1</v>
      </c>
      <c r="D104" s="129">
        <f t="shared" si="38"/>
        <v>9.1</v>
      </c>
      <c r="E104" s="129">
        <f t="shared" si="38"/>
        <v>9.1</v>
      </c>
      <c r="F104" s="129">
        <f t="shared" si="38"/>
        <v>9.1</v>
      </c>
      <c r="G104" s="129">
        <f t="shared" si="38"/>
        <v>9.1</v>
      </c>
      <c r="H104" s="129">
        <f t="shared" si="38"/>
        <v>9.1</v>
      </c>
      <c r="I104" s="129">
        <f t="shared" si="38"/>
        <v>9.1</v>
      </c>
      <c r="J104" s="129">
        <f t="shared" si="38"/>
        <v>9.1</v>
      </c>
      <c r="K104" s="129">
        <f t="shared" si="38"/>
        <v>9.1</v>
      </c>
      <c r="L104" s="129">
        <f t="shared" si="38"/>
        <v>9.1</v>
      </c>
      <c r="M104" s="129">
        <f t="shared" si="38"/>
        <v>9.1</v>
      </c>
      <c r="N104" s="129">
        <f t="shared" si="38"/>
        <v>9.1</v>
      </c>
      <c r="O104" s="129">
        <f t="shared" si="38"/>
        <v>9.1</v>
      </c>
      <c r="P104" s="129">
        <f t="shared" si="38"/>
        <v>9.1</v>
      </c>
      <c r="Q104" s="129">
        <f t="shared" si="38"/>
        <v>9.1</v>
      </c>
      <c r="R104" s="129">
        <f t="shared" si="38"/>
        <v>9.1</v>
      </c>
      <c r="S104" s="129">
        <f t="shared" si="38"/>
        <v>9.1</v>
      </c>
      <c r="T104" s="129">
        <f t="shared" si="39"/>
        <v>9.1</v>
      </c>
      <c r="U104" s="129">
        <f t="shared" si="39"/>
        <v>9.1</v>
      </c>
      <c r="V104" s="129">
        <f t="shared" si="39"/>
        <v>9.1</v>
      </c>
      <c r="W104" s="129">
        <f t="shared" si="39"/>
        <v>9.1</v>
      </c>
      <c r="X104" s="129">
        <f t="shared" si="39"/>
        <v>9.1</v>
      </c>
      <c r="Y104" s="129">
        <f t="shared" si="39"/>
        <v>9.1</v>
      </c>
      <c r="Z104" s="129">
        <f t="shared" si="39"/>
        <v>9.1</v>
      </c>
      <c r="AA104" s="129">
        <f t="shared" si="39"/>
        <v>9.1</v>
      </c>
      <c r="AB104" s="129">
        <f t="shared" si="39"/>
        <v>9.1</v>
      </c>
      <c r="AC104" s="129">
        <f t="shared" si="39"/>
        <v>9.1</v>
      </c>
      <c r="AD104" s="129">
        <f t="shared" si="39"/>
        <v>9.1</v>
      </c>
      <c r="AE104" s="129">
        <f t="shared" si="39"/>
        <v>9.1</v>
      </c>
      <c r="AF104" s="129">
        <f t="shared" si="39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37"/>
        <v>9.18</v>
      </c>
      <c r="C105" s="130">
        <v>9.18</v>
      </c>
      <c r="D105" s="129">
        <f t="shared" si="38"/>
        <v>9.18</v>
      </c>
      <c r="E105" s="129">
        <f t="shared" si="38"/>
        <v>9.18</v>
      </c>
      <c r="F105" s="129">
        <f t="shared" si="38"/>
        <v>9.18</v>
      </c>
      <c r="G105" s="129">
        <f t="shared" si="38"/>
        <v>9.18</v>
      </c>
      <c r="H105" s="129">
        <f t="shared" si="38"/>
        <v>9.18</v>
      </c>
      <c r="I105" s="129">
        <f t="shared" si="38"/>
        <v>9.18</v>
      </c>
      <c r="J105" s="129">
        <f t="shared" si="38"/>
        <v>9.18</v>
      </c>
      <c r="K105" s="129">
        <f t="shared" si="38"/>
        <v>9.18</v>
      </c>
      <c r="L105" s="129">
        <f t="shared" si="38"/>
        <v>9.18</v>
      </c>
      <c r="M105" s="129">
        <f t="shared" si="38"/>
        <v>9.18</v>
      </c>
      <c r="N105" s="129">
        <f t="shared" si="38"/>
        <v>9.18</v>
      </c>
      <c r="O105" s="129">
        <f t="shared" si="38"/>
        <v>9.18</v>
      </c>
      <c r="P105" s="129">
        <f t="shared" si="38"/>
        <v>9.18</v>
      </c>
      <c r="Q105" s="129">
        <f t="shared" si="38"/>
        <v>9.18</v>
      </c>
      <c r="R105" s="129">
        <f t="shared" si="38"/>
        <v>9.18</v>
      </c>
      <c r="S105" s="129">
        <f t="shared" si="38"/>
        <v>9.18</v>
      </c>
      <c r="T105" s="129">
        <f t="shared" si="39"/>
        <v>9.18</v>
      </c>
      <c r="U105" s="129">
        <f t="shared" si="39"/>
        <v>9.18</v>
      </c>
      <c r="V105" s="129">
        <f t="shared" si="39"/>
        <v>9.18</v>
      </c>
      <c r="W105" s="129">
        <f t="shared" si="39"/>
        <v>9.18</v>
      </c>
      <c r="X105" s="129">
        <f t="shared" si="39"/>
        <v>9.18</v>
      </c>
      <c r="Y105" s="129">
        <f t="shared" si="39"/>
        <v>9.18</v>
      </c>
      <c r="Z105" s="129">
        <f t="shared" si="39"/>
        <v>9.18</v>
      </c>
      <c r="AA105" s="129">
        <f t="shared" si="39"/>
        <v>9.18</v>
      </c>
      <c r="AB105" s="129">
        <f t="shared" si="39"/>
        <v>9.18</v>
      </c>
      <c r="AC105" s="129">
        <f t="shared" si="39"/>
        <v>9.18</v>
      </c>
      <c r="AD105" s="129">
        <f t="shared" si="39"/>
        <v>9.18</v>
      </c>
      <c r="AE105" s="129">
        <f t="shared" si="39"/>
        <v>9.18</v>
      </c>
      <c r="AF105" s="129">
        <f t="shared" si="39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37"/>
        <v>7</v>
      </c>
      <c r="C106" s="130">
        <v>7</v>
      </c>
      <c r="D106" s="129">
        <f t="shared" si="38"/>
        <v>7</v>
      </c>
      <c r="E106" s="129">
        <f t="shared" si="38"/>
        <v>7</v>
      </c>
      <c r="F106" s="129">
        <f t="shared" si="38"/>
        <v>7</v>
      </c>
      <c r="G106" s="129">
        <f t="shared" si="38"/>
        <v>7</v>
      </c>
      <c r="H106" s="129">
        <f t="shared" si="38"/>
        <v>7</v>
      </c>
      <c r="I106" s="129">
        <f t="shared" si="38"/>
        <v>7</v>
      </c>
      <c r="J106" s="129">
        <f t="shared" si="38"/>
        <v>7</v>
      </c>
      <c r="K106" s="129">
        <f t="shared" si="38"/>
        <v>7</v>
      </c>
      <c r="L106" s="129">
        <f t="shared" si="38"/>
        <v>7</v>
      </c>
      <c r="M106" s="129">
        <f t="shared" si="38"/>
        <v>7</v>
      </c>
      <c r="N106" s="129">
        <f t="shared" si="38"/>
        <v>7</v>
      </c>
      <c r="O106" s="129">
        <f t="shared" si="38"/>
        <v>7</v>
      </c>
      <c r="P106" s="129">
        <f t="shared" si="38"/>
        <v>7</v>
      </c>
      <c r="Q106" s="129">
        <f t="shared" si="38"/>
        <v>7</v>
      </c>
      <c r="R106" s="129">
        <f t="shared" si="38"/>
        <v>7</v>
      </c>
      <c r="S106" s="129">
        <f t="shared" si="38"/>
        <v>7</v>
      </c>
      <c r="T106" s="129">
        <f t="shared" si="39"/>
        <v>7</v>
      </c>
      <c r="U106" s="129">
        <f t="shared" si="39"/>
        <v>7</v>
      </c>
      <c r="V106" s="129">
        <f t="shared" si="39"/>
        <v>7</v>
      </c>
      <c r="W106" s="129">
        <f t="shared" si="39"/>
        <v>7</v>
      </c>
      <c r="X106" s="129">
        <f t="shared" si="39"/>
        <v>7</v>
      </c>
      <c r="Y106" s="129">
        <f t="shared" si="39"/>
        <v>7</v>
      </c>
      <c r="Z106" s="129">
        <f t="shared" si="39"/>
        <v>7</v>
      </c>
      <c r="AA106" s="129">
        <f t="shared" si="39"/>
        <v>7</v>
      </c>
      <c r="AB106" s="129">
        <f t="shared" si="39"/>
        <v>7</v>
      </c>
      <c r="AC106" s="129">
        <f t="shared" si="39"/>
        <v>7</v>
      </c>
      <c r="AD106" s="129">
        <f t="shared" si="39"/>
        <v>7</v>
      </c>
      <c r="AE106" s="129">
        <f t="shared" si="39"/>
        <v>7</v>
      </c>
      <c r="AF106" s="129">
        <f t="shared" si="39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0">C108</f>
        <v>2.25</v>
      </c>
      <c r="E108" s="129">
        <f t="shared" si="40"/>
        <v>2.25</v>
      </c>
      <c r="F108" s="129">
        <f t="shared" si="40"/>
        <v>2.25</v>
      </c>
      <c r="G108" s="129">
        <f t="shared" si="40"/>
        <v>2.25</v>
      </c>
      <c r="H108" s="129">
        <f t="shared" si="40"/>
        <v>2.25</v>
      </c>
      <c r="I108" s="129">
        <f t="shared" si="40"/>
        <v>2.25</v>
      </c>
      <c r="J108" s="129">
        <f t="shared" si="40"/>
        <v>2.25</v>
      </c>
      <c r="K108" s="129">
        <f t="shared" si="40"/>
        <v>2.25</v>
      </c>
      <c r="L108" s="129">
        <f t="shared" si="40"/>
        <v>2.25</v>
      </c>
      <c r="M108" s="129">
        <f t="shared" si="40"/>
        <v>2.25</v>
      </c>
      <c r="N108" s="129">
        <f t="shared" si="40"/>
        <v>2.25</v>
      </c>
      <c r="O108" s="129">
        <f t="shared" si="40"/>
        <v>2.25</v>
      </c>
      <c r="P108" s="129">
        <f t="shared" si="40"/>
        <v>2.25</v>
      </c>
      <c r="Q108" s="129">
        <f t="shared" si="40"/>
        <v>2.25</v>
      </c>
      <c r="R108" s="129">
        <f t="shared" si="40"/>
        <v>2.25</v>
      </c>
      <c r="S108" s="129">
        <f t="shared" si="40"/>
        <v>2.25</v>
      </c>
      <c r="T108" s="129">
        <f t="shared" ref="T108:AF109" si="41">S108</f>
        <v>2.25</v>
      </c>
      <c r="U108" s="129">
        <f t="shared" si="41"/>
        <v>2.25</v>
      </c>
      <c r="V108" s="129">
        <f t="shared" si="41"/>
        <v>2.25</v>
      </c>
      <c r="W108" s="129">
        <f t="shared" si="41"/>
        <v>2.25</v>
      </c>
      <c r="X108" s="129">
        <f t="shared" si="41"/>
        <v>2.25</v>
      </c>
      <c r="Y108" s="129">
        <f t="shared" si="41"/>
        <v>2.25</v>
      </c>
      <c r="Z108" s="129">
        <f t="shared" si="41"/>
        <v>2.25</v>
      </c>
      <c r="AA108" s="129">
        <f t="shared" si="41"/>
        <v>2.25</v>
      </c>
      <c r="AB108" s="129">
        <f t="shared" si="41"/>
        <v>2.25</v>
      </c>
      <c r="AC108" s="129">
        <f t="shared" si="41"/>
        <v>2.25</v>
      </c>
      <c r="AD108" s="129">
        <f t="shared" si="41"/>
        <v>2.25</v>
      </c>
      <c r="AE108" s="129">
        <f t="shared" si="41"/>
        <v>2.25</v>
      </c>
      <c r="AF108" s="129">
        <f t="shared" si="41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0"/>
        <v>1.64</v>
      </c>
      <c r="E109" s="129">
        <f t="shared" si="40"/>
        <v>1.64</v>
      </c>
      <c r="F109" s="129">
        <f t="shared" si="40"/>
        <v>1.64</v>
      </c>
      <c r="G109" s="129">
        <f t="shared" si="40"/>
        <v>1.64</v>
      </c>
      <c r="H109" s="129">
        <f t="shared" si="40"/>
        <v>1.64</v>
      </c>
      <c r="I109" s="129">
        <f t="shared" si="40"/>
        <v>1.64</v>
      </c>
      <c r="J109" s="129">
        <f t="shared" si="40"/>
        <v>1.64</v>
      </c>
      <c r="K109" s="129">
        <f t="shared" si="40"/>
        <v>1.64</v>
      </c>
      <c r="L109" s="129">
        <f t="shared" si="40"/>
        <v>1.64</v>
      </c>
      <c r="M109" s="129">
        <f t="shared" si="40"/>
        <v>1.64</v>
      </c>
      <c r="N109" s="129">
        <f t="shared" si="40"/>
        <v>1.64</v>
      </c>
      <c r="O109" s="129">
        <f t="shared" si="40"/>
        <v>1.64</v>
      </c>
      <c r="P109" s="129">
        <f t="shared" si="40"/>
        <v>1.64</v>
      </c>
      <c r="Q109" s="129">
        <f t="shared" si="40"/>
        <v>1.64</v>
      </c>
      <c r="R109" s="129">
        <f t="shared" si="40"/>
        <v>1.64</v>
      </c>
      <c r="S109" s="129">
        <f t="shared" si="40"/>
        <v>1.64</v>
      </c>
      <c r="T109" s="129">
        <f t="shared" si="41"/>
        <v>1.64</v>
      </c>
      <c r="U109" s="129">
        <f t="shared" si="41"/>
        <v>1.64</v>
      </c>
      <c r="V109" s="129">
        <f t="shared" si="41"/>
        <v>1.64</v>
      </c>
      <c r="W109" s="129">
        <f t="shared" si="41"/>
        <v>1.64</v>
      </c>
      <c r="X109" s="129">
        <f t="shared" si="41"/>
        <v>1.64</v>
      </c>
      <c r="Y109" s="129">
        <f t="shared" si="41"/>
        <v>1.64</v>
      </c>
      <c r="Z109" s="129">
        <f t="shared" si="41"/>
        <v>1.64</v>
      </c>
      <c r="AA109" s="129">
        <f t="shared" si="41"/>
        <v>1.64</v>
      </c>
      <c r="AB109" s="129">
        <f t="shared" si="41"/>
        <v>1.64</v>
      </c>
      <c r="AC109" s="129">
        <f t="shared" si="41"/>
        <v>1.64</v>
      </c>
      <c r="AD109" s="129">
        <f t="shared" si="41"/>
        <v>1.64</v>
      </c>
      <c r="AE109" s="129">
        <f t="shared" si="41"/>
        <v>1.64</v>
      </c>
      <c r="AF109" s="129">
        <f t="shared" si="41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2">AF111</f>
        <v>1.62</v>
      </c>
      <c r="C111" s="130">
        <v>1.62</v>
      </c>
      <c r="D111" s="129">
        <f t="shared" ref="D111:S118" si="43">C111</f>
        <v>1.62</v>
      </c>
      <c r="E111" s="129">
        <f t="shared" si="43"/>
        <v>1.62</v>
      </c>
      <c r="F111" s="129">
        <f t="shared" si="43"/>
        <v>1.62</v>
      </c>
      <c r="G111" s="129">
        <f t="shared" si="43"/>
        <v>1.62</v>
      </c>
      <c r="H111" s="129">
        <f t="shared" si="43"/>
        <v>1.62</v>
      </c>
      <c r="I111" s="129">
        <f t="shared" si="43"/>
        <v>1.62</v>
      </c>
      <c r="J111" s="129">
        <f t="shared" si="43"/>
        <v>1.62</v>
      </c>
      <c r="K111" s="129">
        <f t="shared" si="43"/>
        <v>1.62</v>
      </c>
      <c r="L111" s="129">
        <f t="shared" si="43"/>
        <v>1.62</v>
      </c>
      <c r="M111" s="129">
        <f t="shared" si="43"/>
        <v>1.62</v>
      </c>
      <c r="N111" s="129">
        <f t="shared" si="43"/>
        <v>1.62</v>
      </c>
      <c r="O111" s="129">
        <f t="shared" si="43"/>
        <v>1.62</v>
      </c>
      <c r="P111" s="129">
        <f t="shared" si="43"/>
        <v>1.62</v>
      </c>
      <c r="Q111" s="129">
        <f t="shared" si="43"/>
        <v>1.62</v>
      </c>
      <c r="R111" s="129">
        <f t="shared" si="43"/>
        <v>1.62</v>
      </c>
      <c r="S111" s="129">
        <f t="shared" si="43"/>
        <v>1.62</v>
      </c>
      <c r="T111" s="129">
        <f t="shared" ref="T111:AF126" si="44">S111</f>
        <v>1.62</v>
      </c>
      <c r="U111" s="129">
        <f t="shared" si="44"/>
        <v>1.62</v>
      </c>
      <c r="V111" s="129">
        <f t="shared" si="44"/>
        <v>1.62</v>
      </c>
      <c r="W111" s="129">
        <f t="shared" si="44"/>
        <v>1.62</v>
      </c>
      <c r="X111" s="129">
        <f t="shared" si="44"/>
        <v>1.62</v>
      </c>
      <c r="Y111" s="129">
        <f t="shared" si="44"/>
        <v>1.62</v>
      </c>
      <c r="Z111" s="129">
        <f t="shared" si="44"/>
        <v>1.62</v>
      </c>
      <c r="AA111" s="129">
        <f t="shared" si="44"/>
        <v>1.62</v>
      </c>
      <c r="AB111" s="129">
        <f t="shared" si="44"/>
        <v>1.62</v>
      </c>
      <c r="AC111" s="129">
        <f t="shared" si="44"/>
        <v>1.62</v>
      </c>
      <c r="AD111" s="129">
        <f t="shared" si="44"/>
        <v>1.62</v>
      </c>
      <c r="AE111" s="129">
        <f t="shared" si="44"/>
        <v>1.62</v>
      </c>
      <c r="AF111" s="129">
        <f t="shared" si="44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2"/>
        <v>8.36</v>
      </c>
      <c r="C112" s="130">
        <v>8.36</v>
      </c>
      <c r="D112" s="129">
        <f t="shared" si="43"/>
        <v>8.36</v>
      </c>
      <c r="E112" s="129">
        <f t="shared" si="43"/>
        <v>8.36</v>
      </c>
      <c r="F112" s="129">
        <f t="shared" si="43"/>
        <v>8.36</v>
      </c>
      <c r="G112" s="129">
        <f t="shared" si="43"/>
        <v>8.36</v>
      </c>
      <c r="H112" s="129">
        <f t="shared" si="43"/>
        <v>8.36</v>
      </c>
      <c r="I112" s="129">
        <f t="shared" si="43"/>
        <v>8.36</v>
      </c>
      <c r="J112" s="129">
        <f t="shared" si="43"/>
        <v>8.36</v>
      </c>
      <c r="K112" s="129">
        <f t="shared" si="43"/>
        <v>8.36</v>
      </c>
      <c r="L112" s="129">
        <f t="shared" si="43"/>
        <v>8.36</v>
      </c>
      <c r="M112" s="129">
        <f t="shared" si="43"/>
        <v>8.36</v>
      </c>
      <c r="N112" s="129">
        <f t="shared" si="43"/>
        <v>8.36</v>
      </c>
      <c r="O112" s="129">
        <f t="shared" si="43"/>
        <v>8.36</v>
      </c>
      <c r="P112" s="129">
        <f t="shared" si="43"/>
        <v>8.36</v>
      </c>
      <c r="Q112" s="129">
        <f t="shared" si="43"/>
        <v>8.36</v>
      </c>
      <c r="R112" s="129">
        <f t="shared" si="43"/>
        <v>8.36</v>
      </c>
      <c r="S112" s="129">
        <f t="shared" si="43"/>
        <v>8.36</v>
      </c>
      <c r="T112" s="129">
        <f t="shared" si="44"/>
        <v>8.36</v>
      </c>
      <c r="U112" s="129">
        <f t="shared" si="44"/>
        <v>8.36</v>
      </c>
      <c r="V112" s="129">
        <f t="shared" si="44"/>
        <v>8.36</v>
      </c>
      <c r="W112" s="129">
        <f t="shared" si="44"/>
        <v>8.36</v>
      </c>
      <c r="X112" s="129">
        <f t="shared" si="44"/>
        <v>8.36</v>
      </c>
      <c r="Y112" s="129">
        <f t="shared" si="44"/>
        <v>8.36</v>
      </c>
      <c r="Z112" s="129">
        <f t="shared" si="44"/>
        <v>8.36</v>
      </c>
      <c r="AA112" s="129">
        <f t="shared" si="44"/>
        <v>8.36</v>
      </c>
      <c r="AB112" s="129">
        <f t="shared" si="44"/>
        <v>8.36</v>
      </c>
      <c r="AC112" s="129">
        <f t="shared" si="44"/>
        <v>8.36</v>
      </c>
      <c r="AD112" s="129">
        <f t="shared" si="44"/>
        <v>8.36</v>
      </c>
      <c r="AE112" s="129">
        <f t="shared" si="44"/>
        <v>8.36</v>
      </c>
      <c r="AF112" s="129">
        <f t="shared" si="44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2"/>
        <v>5.4</v>
      </c>
      <c r="C113" s="130">
        <v>8</v>
      </c>
      <c r="D113" s="129">
        <f t="shared" si="43"/>
        <v>8</v>
      </c>
      <c r="E113" s="129">
        <f t="shared" si="43"/>
        <v>8</v>
      </c>
      <c r="F113" s="129">
        <f t="shared" si="43"/>
        <v>8</v>
      </c>
      <c r="G113" s="129">
        <f t="shared" si="43"/>
        <v>8</v>
      </c>
      <c r="H113" s="129">
        <f t="shared" si="43"/>
        <v>8</v>
      </c>
      <c r="I113" s="129">
        <f t="shared" si="43"/>
        <v>8</v>
      </c>
      <c r="J113" s="129">
        <v>5.4</v>
      </c>
      <c r="K113" s="129">
        <f t="shared" si="43"/>
        <v>5.4</v>
      </c>
      <c r="L113" s="129">
        <f t="shared" si="43"/>
        <v>5.4</v>
      </c>
      <c r="M113" s="129">
        <f t="shared" si="43"/>
        <v>5.4</v>
      </c>
      <c r="N113" s="129">
        <f t="shared" si="43"/>
        <v>5.4</v>
      </c>
      <c r="O113" s="129">
        <f t="shared" si="43"/>
        <v>5.4</v>
      </c>
      <c r="P113" s="129">
        <f t="shared" si="43"/>
        <v>5.4</v>
      </c>
      <c r="Q113" s="129">
        <f t="shared" si="43"/>
        <v>5.4</v>
      </c>
      <c r="R113" s="129">
        <f t="shared" si="43"/>
        <v>5.4</v>
      </c>
      <c r="S113" s="129">
        <f t="shared" si="43"/>
        <v>5.4</v>
      </c>
      <c r="T113" s="129">
        <f t="shared" si="44"/>
        <v>5.4</v>
      </c>
      <c r="U113" s="129">
        <f t="shared" si="44"/>
        <v>5.4</v>
      </c>
      <c r="V113" s="129">
        <f t="shared" si="44"/>
        <v>5.4</v>
      </c>
      <c r="W113" s="129">
        <f t="shared" si="44"/>
        <v>5.4</v>
      </c>
      <c r="X113" s="129">
        <f t="shared" si="44"/>
        <v>5.4</v>
      </c>
      <c r="Y113" s="129">
        <f t="shared" si="44"/>
        <v>5.4</v>
      </c>
      <c r="Z113" s="129">
        <f t="shared" si="44"/>
        <v>5.4</v>
      </c>
      <c r="AA113" s="129">
        <f t="shared" si="44"/>
        <v>5.4</v>
      </c>
      <c r="AB113" s="129">
        <f t="shared" si="44"/>
        <v>5.4</v>
      </c>
      <c r="AC113" s="129">
        <f t="shared" si="44"/>
        <v>5.4</v>
      </c>
      <c r="AD113" s="129">
        <f t="shared" si="44"/>
        <v>5.4</v>
      </c>
      <c r="AE113" s="129">
        <f t="shared" si="44"/>
        <v>5.4</v>
      </c>
      <c r="AF113" s="129">
        <f t="shared" si="44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2"/>
        <v>6.57</v>
      </c>
      <c r="C114" s="130">
        <v>6.57</v>
      </c>
      <c r="D114" s="129">
        <f t="shared" si="43"/>
        <v>6.57</v>
      </c>
      <c r="E114" s="129">
        <f t="shared" si="43"/>
        <v>6.57</v>
      </c>
      <c r="F114" s="129">
        <f t="shared" si="43"/>
        <v>6.57</v>
      </c>
      <c r="G114" s="129">
        <f t="shared" si="43"/>
        <v>6.57</v>
      </c>
      <c r="H114" s="129">
        <f t="shared" si="43"/>
        <v>6.57</v>
      </c>
      <c r="I114" s="129">
        <f t="shared" si="43"/>
        <v>6.57</v>
      </c>
      <c r="J114" s="129">
        <f t="shared" si="43"/>
        <v>6.57</v>
      </c>
      <c r="K114" s="129">
        <f t="shared" si="43"/>
        <v>6.57</v>
      </c>
      <c r="L114" s="129">
        <f t="shared" si="43"/>
        <v>6.57</v>
      </c>
      <c r="M114" s="129">
        <f t="shared" si="43"/>
        <v>6.57</v>
      </c>
      <c r="N114" s="129">
        <f t="shared" si="43"/>
        <v>6.57</v>
      </c>
      <c r="O114" s="129">
        <f t="shared" si="43"/>
        <v>6.57</v>
      </c>
      <c r="P114" s="129">
        <f t="shared" si="43"/>
        <v>6.57</v>
      </c>
      <c r="Q114" s="129">
        <f t="shared" si="43"/>
        <v>6.57</v>
      </c>
      <c r="R114" s="129">
        <f t="shared" si="43"/>
        <v>6.57</v>
      </c>
      <c r="S114" s="129">
        <f t="shared" si="43"/>
        <v>6.57</v>
      </c>
      <c r="T114" s="129">
        <f t="shared" si="44"/>
        <v>6.57</v>
      </c>
      <c r="U114" s="129">
        <f t="shared" si="44"/>
        <v>6.57</v>
      </c>
      <c r="V114" s="129">
        <f t="shared" si="44"/>
        <v>6.57</v>
      </c>
      <c r="W114" s="129">
        <f t="shared" si="44"/>
        <v>6.57</v>
      </c>
      <c r="X114" s="129">
        <f t="shared" si="44"/>
        <v>6.57</v>
      </c>
      <c r="Y114" s="129">
        <f t="shared" si="44"/>
        <v>6.57</v>
      </c>
      <c r="Z114" s="129">
        <f t="shared" si="44"/>
        <v>6.57</v>
      </c>
      <c r="AA114" s="129">
        <f t="shared" si="44"/>
        <v>6.57</v>
      </c>
      <c r="AB114" s="129">
        <f t="shared" si="44"/>
        <v>6.57</v>
      </c>
      <c r="AC114" s="129">
        <f t="shared" si="44"/>
        <v>6.57</v>
      </c>
      <c r="AD114" s="129">
        <f t="shared" si="44"/>
        <v>6.57</v>
      </c>
      <c r="AE114" s="129">
        <f t="shared" si="44"/>
        <v>6.57</v>
      </c>
      <c r="AF114" s="129">
        <f t="shared" si="44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2"/>
        <v>3.43</v>
      </c>
      <c r="C115" s="130">
        <v>3.43</v>
      </c>
      <c r="D115" s="129">
        <f t="shared" si="43"/>
        <v>3.43</v>
      </c>
      <c r="E115" s="129">
        <f t="shared" si="43"/>
        <v>3.43</v>
      </c>
      <c r="F115" s="129">
        <f t="shared" si="43"/>
        <v>3.43</v>
      </c>
      <c r="G115" s="129">
        <f t="shared" si="43"/>
        <v>3.43</v>
      </c>
      <c r="H115" s="129">
        <f t="shared" si="43"/>
        <v>3.43</v>
      </c>
      <c r="I115" s="129">
        <f t="shared" si="43"/>
        <v>3.43</v>
      </c>
      <c r="J115" s="129">
        <f t="shared" si="43"/>
        <v>3.43</v>
      </c>
      <c r="K115" s="129">
        <f t="shared" si="43"/>
        <v>3.43</v>
      </c>
      <c r="L115" s="129">
        <f t="shared" si="43"/>
        <v>3.43</v>
      </c>
      <c r="M115" s="129">
        <f t="shared" si="43"/>
        <v>3.43</v>
      </c>
      <c r="N115" s="129">
        <f t="shared" si="43"/>
        <v>3.43</v>
      </c>
      <c r="O115" s="129">
        <f t="shared" si="43"/>
        <v>3.43</v>
      </c>
      <c r="P115" s="129">
        <f t="shared" si="43"/>
        <v>3.43</v>
      </c>
      <c r="Q115" s="129">
        <f t="shared" si="43"/>
        <v>3.43</v>
      </c>
      <c r="R115" s="129">
        <f t="shared" si="43"/>
        <v>3.43</v>
      </c>
      <c r="S115" s="129">
        <f t="shared" si="43"/>
        <v>3.43</v>
      </c>
      <c r="T115" s="129">
        <f t="shared" si="44"/>
        <v>3.43</v>
      </c>
      <c r="U115" s="129">
        <f t="shared" si="44"/>
        <v>3.43</v>
      </c>
      <c r="V115" s="129">
        <f t="shared" si="44"/>
        <v>3.43</v>
      </c>
      <c r="W115" s="129">
        <f t="shared" si="44"/>
        <v>3.43</v>
      </c>
      <c r="X115" s="129">
        <f t="shared" si="44"/>
        <v>3.43</v>
      </c>
      <c r="Y115" s="129">
        <f t="shared" si="44"/>
        <v>3.43</v>
      </c>
      <c r="Z115" s="129">
        <f t="shared" si="44"/>
        <v>3.43</v>
      </c>
      <c r="AA115" s="129">
        <f t="shared" si="44"/>
        <v>3.43</v>
      </c>
      <c r="AB115" s="129">
        <f t="shared" si="44"/>
        <v>3.43</v>
      </c>
      <c r="AC115" s="129">
        <f t="shared" si="44"/>
        <v>3.43</v>
      </c>
      <c r="AD115" s="129">
        <f t="shared" si="44"/>
        <v>3.43</v>
      </c>
      <c r="AE115" s="129">
        <f t="shared" si="44"/>
        <v>3.43</v>
      </c>
      <c r="AF115" s="129">
        <f t="shared" si="44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2"/>
        <v>2.96</v>
      </c>
      <c r="C116" s="130">
        <v>2.96</v>
      </c>
      <c r="D116" s="129">
        <f t="shared" si="43"/>
        <v>2.96</v>
      </c>
      <c r="E116" s="129">
        <f t="shared" si="43"/>
        <v>2.96</v>
      </c>
      <c r="F116" s="129">
        <f t="shared" si="43"/>
        <v>2.96</v>
      </c>
      <c r="G116" s="129">
        <f t="shared" si="43"/>
        <v>2.96</v>
      </c>
      <c r="H116" s="129">
        <f t="shared" si="43"/>
        <v>2.96</v>
      </c>
      <c r="I116" s="129">
        <f t="shared" si="43"/>
        <v>2.96</v>
      </c>
      <c r="J116" s="129">
        <f t="shared" si="43"/>
        <v>2.96</v>
      </c>
      <c r="K116" s="129">
        <f t="shared" si="43"/>
        <v>2.96</v>
      </c>
      <c r="L116" s="129">
        <f t="shared" si="43"/>
        <v>2.96</v>
      </c>
      <c r="M116" s="129">
        <f t="shared" si="43"/>
        <v>2.96</v>
      </c>
      <c r="N116" s="129">
        <f t="shared" si="43"/>
        <v>2.96</v>
      </c>
      <c r="O116" s="129">
        <f t="shared" si="43"/>
        <v>2.96</v>
      </c>
      <c r="P116" s="129">
        <f t="shared" si="43"/>
        <v>2.96</v>
      </c>
      <c r="Q116" s="129">
        <f t="shared" si="43"/>
        <v>2.96</v>
      </c>
      <c r="R116" s="129">
        <f t="shared" si="43"/>
        <v>2.96</v>
      </c>
      <c r="S116" s="129">
        <f t="shared" si="43"/>
        <v>2.96</v>
      </c>
      <c r="T116" s="129">
        <f t="shared" si="44"/>
        <v>2.96</v>
      </c>
      <c r="U116" s="129">
        <f t="shared" si="44"/>
        <v>2.96</v>
      </c>
      <c r="V116" s="129">
        <f t="shared" si="44"/>
        <v>2.96</v>
      </c>
      <c r="W116" s="129">
        <f t="shared" si="44"/>
        <v>2.96</v>
      </c>
      <c r="X116" s="129">
        <f t="shared" si="44"/>
        <v>2.96</v>
      </c>
      <c r="Y116" s="129">
        <f t="shared" si="44"/>
        <v>2.96</v>
      </c>
      <c r="Z116" s="129">
        <f t="shared" si="44"/>
        <v>2.96</v>
      </c>
      <c r="AA116" s="129">
        <f t="shared" si="44"/>
        <v>2.96</v>
      </c>
      <c r="AB116" s="129">
        <f t="shared" si="44"/>
        <v>2.96</v>
      </c>
      <c r="AC116" s="129">
        <f t="shared" si="44"/>
        <v>2.96</v>
      </c>
      <c r="AD116" s="129">
        <f t="shared" si="44"/>
        <v>2.96</v>
      </c>
      <c r="AE116" s="129">
        <f t="shared" si="44"/>
        <v>2.96</v>
      </c>
      <c r="AF116" s="129">
        <f t="shared" si="44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2"/>
        <v>8</v>
      </c>
      <c r="C117" s="130">
        <v>8</v>
      </c>
      <c r="D117" s="129">
        <f t="shared" si="43"/>
        <v>8</v>
      </c>
      <c r="E117" s="129">
        <f t="shared" si="43"/>
        <v>8</v>
      </c>
      <c r="F117" s="129">
        <f t="shared" si="43"/>
        <v>8</v>
      </c>
      <c r="G117" s="129">
        <f t="shared" si="43"/>
        <v>8</v>
      </c>
      <c r="H117" s="129">
        <f t="shared" si="43"/>
        <v>8</v>
      </c>
      <c r="I117" s="129">
        <f t="shared" si="43"/>
        <v>8</v>
      </c>
      <c r="J117" s="129">
        <f t="shared" si="43"/>
        <v>8</v>
      </c>
      <c r="K117" s="129">
        <f t="shared" si="43"/>
        <v>8</v>
      </c>
      <c r="L117" s="129">
        <f t="shared" si="43"/>
        <v>8</v>
      </c>
      <c r="M117" s="129">
        <f t="shared" si="43"/>
        <v>8</v>
      </c>
      <c r="N117" s="129">
        <f t="shared" si="43"/>
        <v>8</v>
      </c>
      <c r="O117" s="129">
        <f t="shared" si="43"/>
        <v>8</v>
      </c>
      <c r="P117" s="129">
        <f t="shared" si="43"/>
        <v>8</v>
      </c>
      <c r="Q117" s="129">
        <f t="shared" si="43"/>
        <v>8</v>
      </c>
      <c r="R117" s="129">
        <f t="shared" si="43"/>
        <v>8</v>
      </c>
      <c r="S117" s="129">
        <f t="shared" si="43"/>
        <v>8</v>
      </c>
      <c r="T117" s="129">
        <f t="shared" si="44"/>
        <v>8</v>
      </c>
      <c r="U117" s="129">
        <f t="shared" si="44"/>
        <v>8</v>
      </c>
      <c r="V117" s="129">
        <f t="shared" si="44"/>
        <v>8</v>
      </c>
      <c r="W117" s="129">
        <f t="shared" si="44"/>
        <v>8</v>
      </c>
      <c r="X117" s="129">
        <f t="shared" si="44"/>
        <v>8</v>
      </c>
      <c r="Y117" s="129">
        <f t="shared" si="44"/>
        <v>8</v>
      </c>
      <c r="Z117" s="129">
        <f t="shared" si="44"/>
        <v>8</v>
      </c>
      <c r="AA117" s="129">
        <f t="shared" si="44"/>
        <v>8</v>
      </c>
      <c r="AB117" s="129">
        <f t="shared" si="44"/>
        <v>8</v>
      </c>
      <c r="AC117" s="129">
        <f t="shared" si="44"/>
        <v>8</v>
      </c>
      <c r="AD117" s="129">
        <f t="shared" si="44"/>
        <v>8</v>
      </c>
      <c r="AE117" s="129">
        <f t="shared" si="44"/>
        <v>8</v>
      </c>
      <c r="AF117" s="129">
        <f t="shared" si="44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2"/>
        <v>7</v>
      </c>
      <c r="C118" s="130">
        <v>7</v>
      </c>
      <c r="D118" s="129">
        <f>C118</f>
        <v>7</v>
      </c>
      <c r="E118" s="129">
        <f t="shared" si="43"/>
        <v>7</v>
      </c>
      <c r="F118" s="129">
        <f t="shared" si="43"/>
        <v>7</v>
      </c>
      <c r="G118" s="129">
        <f t="shared" si="43"/>
        <v>7</v>
      </c>
      <c r="H118" s="129">
        <f t="shared" si="43"/>
        <v>7</v>
      </c>
      <c r="I118" s="129">
        <f t="shared" si="43"/>
        <v>7</v>
      </c>
      <c r="J118" s="129">
        <f t="shared" si="43"/>
        <v>7</v>
      </c>
      <c r="K118" s="129">
        <f t="shared" si="43"/>
        <v>7</v>
      </c>
      <c r="L118" s="129">
        <f t="shared" si="43"/>
        <v>7</v>
      </c>
      <c r="M118" s="129">
        <f t="shared" si="43"/>
        <v>7</v>
      </c>
      <c r="N118" s="129">
        <f t="shared" si="43"/>
        <v>7</v>
      </c>
      <c r="O118" s="129">
        <f t="shared" si="43"/>
        <v>7</v>
      </c>
      <c r="P118" s="129">
        <f t="shared" si="43"/>
        <v>7</v>
      </c>
      <c r="Q118" s="129">
        <f t="shared" si="43"/>
        <v>7</v>
      </c>
      <c r="R118" s="129">
        <f t="shared" si="43"/>
        <v>7</v>
      </c>
      <c r="S118" s="129">
        <f t="shared" si="43"/>
        <v>7</v>
      </c>
      <c r="T118" s="129">
        <f t="shared" si="44"/>
        <v>7</v>
      </c>
      <c r="U118" s="129">
        <f t="shared" si="44"/>
        <v>7</v>
      </c>
      <c r="V118" s="129">
        <f t="shared" si="44"/>
        <v>7</v>
      </c>
      <c r="W118" s="129">
        <f t="shared" si="44"/>
        <v>7</v>
      </c>
      <c r="X118" s="129">
        <f t="shared" si="44"/>
        <v>7</v>
      </c>
      <c r="Y118" s="129">
        <f t="shared" si="44"/>
        <v>7</v>
      </c>
      <c r="Z118" s="129">
        <f t="shared" si="44"/>
        <v>7</v>
      </c>
      <c r="AA118" s="129">
        <f t="shared" si="44"/>
        <v>7</v>
      </c>
      <c r="AB118" s="129">
        <f t="shared" si="44"/>
        <v>7</v>
      </c>
      <c r="AC118" s="129">
        <f t="shared" si="44"/>
        <v>7</v>
      </c>
      <c r="AD118" s="129">
        <f t="shared" si="44"/>
        <v>7</v>
      </c>
      <c r="AE118" s="129">
        <f t="shared" si="44"/>
        <v>7</v>
      </c>
      <c r="AF118" s="129">
        <f t="shared" si="44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2"/>
        <v>3.47</v>
      </c>
      <c r="C119" s="130">
        <v>3.47</v>
      </c>
      <c r="D119" s="129">
        <f t="shared" ref="D119:S128" si="45">C119</f>
        <v>3.47</v>
      </c>
      <c r="E119" s="129">
        <f t="shared" si="45"/>
        <v>3.47</v>
      </c>
      <c r="F119" s="129">
        <f t="shared" si="45"/>
        <v>3.47</v>
      </c>
      <c r="G119" s="129">
        <f t="shared" si="45"/>
        <v>3.47</v>
      </c>
      <c r="H119" s="129">
        <f t="shared" si="45"/>
        <v>3.47</v>
      </c>
      <c r="I119" s="129">
        <f t="shared" si="45"/>
        <v>3.47</v>
      </c>
      <c r="J119" s="129">
        <f t="shared" si="45"/>
        <v>3.47</v>
      </c>
      <c r="K119" s="129">
        <f t="shared" si="45"/>
        <v>3.47</v>
      </c>
      <c r="L119" s="129">
        <f t="shared" si="45"/>
        <v>3.47</v>
      </c>
      <c r="M119" s="129">
        <f t="shared" si="45"/>
        <v>3.47</v>
      </c>
      <c r="N119" s="129">
        <f t="shared" si="45"/>
        <v>3.47</v>
      </c>
      <c r="O119" s="129">
        <f t="shared" si="45"/>
        <v>3.47</v>
      </c>
      <c r="P119" s="129">
        <f t="shared" si="45"/>
        <v>3.47</v>
      </c>
      <c r="Q119" s="129">
        <f t="shared" si="45"/>
        <v>3.47</v>
      </c>
      <c r="R119" s="129">
        <f t="shared" si="45"/>
        <v>3.47</v>
      </c>
      <c r="S119" s="129">
        <f t="shared" si="45"/>
        <v>3.47</v>
      </c>
      <c r="T119" s="129">
        <f t="shared" si="44"/>
        <v>3.47</v>
      </c>
      <c r="U119" s="129">
        <f t="shared" si="44"/>
        <v>3.47</v>
      </c>
      <c r="V119" s="129">
        <f t="shared" si="44"/>
        <v>3.47</v>
      </c>
      <c r="W119" s="129">
        <f t="shared" si="44"/>
        <v>3.47</v>
      </c>
      <c r="X119" s="129">
        <f t="shared" si="44"/>
        <v>3.47</v>
      </c>
      <c r="Y119" s="129">
        <f t="shared" si="44"/>
        <v>3.47</v>
      </c>
      <c r="Z119" s="129">
        <f t="shared" si="44"/>
        <v>3.47</v>
      </c>
      <c r="AA119" s="129">
        <f t="shared" si="44"/>
        <v>3.47</v>
      </c>
      <c r="AB119" s="129">
        <f t="shared" si="44"/>
        <v>3.47</v>
      </c>
      <c r="AC119" s="129">
        <f t="shared" si="44"/>
        <v>3.47</v>
      </c>
      <c r="AD119" s="129">
        <f t="shared" si="44"/>
        <v>3.47</v>
      </c>
      <c r="AE119" s="129">
        <f t="shared" si="44"/>
        <v>3.47</v>
      </c>
      <c r="AF119" s="129">
        <f t="shared" si="44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2"/>
        <v>2.1</v>
      </c>
      <c r="C120" s="130">
        <v>2.1</v>
      </c>
      <c r="D120" s="129">
        <f t="shared" si="45"/>
        <v>2.1</v>
      </c>
      <c r="E120" s="129">
        <f t="shared" si="45"/>
        <v>2.1</v>
      </c>
      <c r="F120" s="129">
        <f t="shared" si="45"/>
        <v>2.1</v>
      </c>
      <c r="G120" s="129">
        <f t="shared" si="45"/>
        <v>2.1</v>
      </c>
      <c r="H120" s="129">
        <f t="shared" si="45"/>
        <v>2.1</v>
      </c>
      <c r="I120" s="129">
        <f t="shared" si="45"/>
        <v>2.1</v>
      </c>
      <c r="J120" s="129">
        <f t="shared" si="45"/>
        <v>2.1</v>
      </c>
      <c r="K120" s="129">
        <f t="shared" si="45"/>
        <v>2.1</v>
      </c>
      <c r="L120" s="129">
        <f t="shared" si="45"/>
        <v>2.1</v>
      </c>
      <c r="M120" s="129">
        <f t="shared" si="45"/>
        <v>2.1</v>
      </c>
      <c r="N120" s="129">
        <f t="shared" si="45"/>
        <v>2.1</v>
      </c>
      <c r="O120" s="129">
        <f t="shared" si="45"/>
        <v>2.1</v>
      </c>
      <c r="P120" s="129">
        <f t="shared" si="45"/>
        <v>2.1</v>
      </c>
      <c r="Q120" s="129">
        <f t="shared" si="45"/>
        <v>2.1</v>
      </c>
      <c r="R120" s="129">
        <f t="shared" si="45"/>
        <v>2.1</v>
      </c>
      <c r="S120" s="129">
        <f t="shared" si="45"/>
        <v>2.1</v>
      </c>
      <c r="T120" s="129">
        <f t="shared" si="44"/>
        <v>2.1</v>
      </c>
      <c r="U120" s="129">
        <f t="shared" si="44"/>
        <v>2.1</v>
      </c>
      <c r="V120" s="129">
        <f t="shared" si="44"/>
        <v>2.1</v>
      </c>
      <c r="W120" s="129">
        <f t="shared" si="44"/>
        <v>2.1</v>
      </c>
      <c r="X120" s="129">
        <f t="shared" si="44"/>
        <v>2.1</v>
      </c>
      <c r="Y120" s="129">
        <f t="shared" si="44"/>
        <v>2.1</v>
      </c>
      <c r="Z120" s="129">
        <f t="shared" si="44"/>
        <v>2.1</v>
      </c>
      <c r="AA120" s="129">
        <f t="shared" si="44"/>
        <v>2.1</v>
      </c>
      <c r="AB120" s="129">
        <f t="shared" si="44"/>
        <v>2.1</v>
      </c>
      <c r="AC120" s="129">
        <f t="shared" si="44"/>
        <v>2.1</v>
      </c>
      <c r="AD120" s="129">
        <f t="shared" si="44"/>
        <v>2.1</v>
      </c>
      <c r="AE120" s="129">
        <f t="shared" si="44"/>
        <v>2.1</v>
      </c>
      <c r="AF120" s="129">
        <f t="shared" si="44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2"/>
        <v>9.3000000000000007</v>
      </c>
      <c r="C121" s="130">
        <v>9.3000000000000007</v>
      </c>
      <c r="D121" s="129">
        <f t="shared" si="45"/>
        <v>9.3000000000000007</v>
      </c>
      <c r="E121" s="129">
        <f t="shared" si="45"/>
        <v>9.3000000000000007</v>
      </c>
      <c r="F121" s="129">
        <f t="shared" si="45"/>
        <v>9.3000000000000007</v>
      </c>
      <c r="G121" s="129">
        <f t="shared" si="45"/>
        <v>9.3000000000000007</v>
      </c>
      <c r="H121" s="129">
        <f t="shared" si="45"/>
        <v>9.3000000000000007</v>
      </c>
      <c r="I121" s="129">
        <f t="shared" si="45"/>
        <v>9.3000000000000007</v>
      </c>
      <c r="J121" s="129">
        <f t="shared" si="45"/>
        <v>9.3000000000000007</v>
      </c>
      <c r="K121" s="129">
        <f t="shared" si="45"/>
        <v>9.3000000000000007</v>
      </c>
      <c r="L121" s="129">
        <f t="shared" si="45"/>
        <v>9.3000000000000007</v>
      </c>
      <c r="M121" s="129">
        <f t="shared" si="45"/>
        <v>9.3000000000000007</v>
      </c>
      <c r="N121" s="129">
        <f t="shared" si="45"/>
        <v>9.3000000000000007</v>
      </c>
      <c r="O121" s="129">
        <f t="shared" si="45"/>
        <v>9.3000000000000007</v>
      </c>
      <c r="P121" s="129">
        <f t="shared" si="45"/>
        <v>9.3000000000000007</v>
      </c>
      <c r="Q121" s="129">
        <f t="shared" si="45"/>
        <v>9.3000000000000007</v>
      </c>
      <c r="R121" s="129">
        <f t="shared" si="45"/>
        <v>9.3000000000000007</v>
      </c>
      <c r="S121" s="129">
        <f t="shared" si="45"/>
        <v>9.3000000000000007</v>
      </c>
      <c r="T121" s="129">
        <f t="shared" si="44"/>
        <v>9.3000000000000007</v>
      </c>
      <c r="U121" s="129">
        <f t="shared" si="44"/>
        <v>9.3000000000000007</v>
      </c>
      <c r="V121" s="129">
        <f t="shared" si="44"/>
        <v>9.3000000000000007</v>
      </c>
      <c r="W121" s="129">
        <f t="shared" si="44"/>
        <v>9.3000000000000007</v>
      </c>
      <c r="X121" s="129">
        <f t="shared" si="44"/>
        <v>9.3000000000000007</v>
      </c>
      <c r="Y121" s="129">
        <f t="shared" si="44"/>
        <v>9.3000000000000007</v>
      </c>
      <c r="Z121" s="129">
        <f t="shared" si="44"/>
        <v>9.3000000000000007</v>
      </c>
      <c r="AA121" s="129">
        <f t="shared" si="44"/>
        <v>9.3000000000000007</v>
      </c>
      <c r="AB121" s="129">
        <f t="shared" si="44"/>
        <v>9.3000000000000007</v>
      </c>
      <c r="AC121" s="129">
        <f t="shared" si="44"/>
        <v>9.3000000000000007</v>
      </c>
      <c r="AD121" s="129">
        <f t="shared" si="44"/>
        <v>9.3000000000000007</v>
      </c>
      <c r="AE121" s="129">
        <f t="shared" si="44"/>
        <v>9.3000000000000007</v>
      </c>
      <c r="AF121" s="129">
        <f t="shared" si="44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2"/>
        <v>0</v>
      </c>
      <c r="C122" s="130">
        <v>0</v>
      </c>
      <c r="D122" s="129">
        <f t="shared" si="45"/>
        <v>0</v>
      </c>
      <c r="E122" s="129">
        <f t="shared" si="45"/>
        <v>0</v>
      </c>
      <c r="F122" s="129">
        <f t="shared" si="45"/>
        <v>0</v>
      </c>
      <c r="G122" s="129">
        <f t="shared" si="45"/>
        <v>0</v>
      </c>
      <c r="H122" s="129">
        <f t="shared" si="45"/>
        <v>0</v>
      </c>
      <c r="I122" s="129">
        <f t="shared" si="45"/>
        <v>0</v>
      </c>
      <c r="J122" s="129">
        <f t="shared" si="45"/>
        <v>0</v>
      </c>
      <c r="K122" s="129">
        <f t="shared" si="45"/>
        <v>0</v>
      </c>
      <c r="L122" s="129">
        <f t="shared" si="45"/>
        <v>0</v>
      </c>
      <c r="M122" s="129">
        <f t="shared" si="45"/>
        <v>0</v>
      </c>
      <c r="N122" s="129">
        <f t="shared" si="45"/>
        <v>0</v>
      </c>
      <c r="O122" s="129">
        <f t="shared" si="45"/>
        <v>0</v>
      </c>
      <c r="P122" s="129">
        <f t="shared" si="45"/>
        <v>0</v>
      </c>
      <c r="Q122" s="129">
        <f t="shared" si="45"/>
        <v>0</v>
      </c>
      <c r="R122" s="129">
        <f t="shared" si="45"/>
        <v>0</v>
      </c>
      <c r="S122" s="129">
        <f t="shared" si="45"/>
        <v>0</v>
      </c>
      <c r="T122" s="129">
        <f t="shared" si="44"/>
        <v>0</v>
      </c>
      <c r="U122" s="129">
        <f t="shared" si="44"/>
        <v>0</v>
      </c>
      <c r="V122" s="129">
        <f t="shared" si="44"/>
        <v>0</v>
      </c>
      <c r="W122" s="129">
        <f t="shared" si="44"/>
        <v>0</v>
      </c>
      <c r="X122" s="129">
        <f t="shared" si="44"/>
        <v>0</v>
      </c>
      <c r="Y122" s="129">
        <f t="shared" si="44"/>
        <v>0</v>
      </c>
      <c r="Z122" s="129">
        <f t="shared" si="44"/>
        <v>0</v>
      </c>
      <c r="AA122" s="129">
        <f t="shared" si="44"/>
        <v>0</v>
      </c>
      <c r="AB122" s="129">
        <f t="shared" si="44"/>
        <v>0</v>
      </c>
      <c r="AC122" s="129">
        <f t="shared" si="44"/>
        <v>0</v>
      </c>
      <c r="AD122" s="129">
        <f t="shared" si="44"/>
        <v>0</v>
      </c>
      <c r="AE122" s="129">
        <f t="shared" si="44"/>
        <v>0</v>
      </c>
      <c r="AF122" s="129">
        <f t="shared" si="44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2"/>
        <v>0</v>
      </c>
      <c r="C123" s="130">
        <v>0</v>
      </c>
      <c r="D123" s="129">
        <f t="shared" si="45"/>
        <v>0</v>
      </c>
      <c r="E123" s="129">
        <f t="shared" si="45"/>
        <v>0</v>
      </c>
      <c r="F123" s="129">
        <f t="shared" si="45"/>
        <v>0</v>
      </c>
      <c r="G123" s="129">
        <f t="shared" si="45"/>
        <v>0</v>
      </c>
      <c r="H123" s="129">
        <f t="shared" si="45"/>
        <v>0</v>
      </c>
      <c r="I123" s="129">
        <f t="shared" si="45"/>
        <v>0</v>
      </c>
      <c r="J123" s="129">
        <f t="shared" si="45"/>
        <v>0</v>
      </c>
      <c r="K123" s="129">
        <f t="shared" si="45"/>
        <v>0</v>
      </c>
      <c r="L123" s="129">
        <f t="shared" si="45"/>
        <v>0</v>
      </c>
      <c r="M123" s="129">
        <f t="shared" si="45"/>
        <v>0</v>
      </c>
      <c r="N123" s="129">
        <f t="shared" si="45"/>
        <v>0</v>
      </c>
      <c r="O123" s="129">
        <f t="shared" si="45"/>
        <v>0</v>
      </c>
      <c r="P123" s="129">
        <f t="shared" si="45"/>
        <v>0</v>
      </c>
      <c r="Q123" s="129">
        <f t="shared" si="45"/>
        <v>0</v>
      </c>
      <c r="R123" s="129">
        <f t="shared" si="45"/>
        <v>0</v>
      </c>
      <c r="S123" s="129">
        <f t="shared" si="45"/>
        <v>0</v>
      </c>
      <c r="T123" s="129">
        <f t="shared" si="44"/>
        <v>0</v>
      </c>
      <c r="U123" s="129">
        <f t="shared" si="44"/>
        <v>0</v>
      </c>
      <c r="V123" s="129">
        <f t="shared" si="44"/>
        <v>0</v>
      </c>
      <c r="W123" s="129">
        <f t="shared" si="44"/>
        <v>0</v>
      </c>
      <c r="X123" s="129">
        <f t="shared" si="44"/>
        <v>0</v>
      </c>
      <c r="Y123" s="129">
        <f t="shared" si="44"/>
        <v>0</v>
      </c>
      <c r="Z123" s="129">
        <f t="shared" si="44"/>
        <v>0</v>
      </c>
      <c r="AA123" s="129">
        <f t="shared" si="44"/>
        <v>0</v>
      </c>
      <c r="AB123" s="129">
        <f t="shared" si="44"/>
        <v>0</v>
      </c>
      <c r="AC123" s="129">
        <f t="shared" si="44"/>
        <v>0</v>
      </c>
      <c r="AD123" s="129">
        <f t="shared" si="44"/>
        <v>0</v>
      </c>
      <c r="AE123" s="129">
        <f t="shared" si="44"/>
        <v>0</v>
      </c>
      <c r="AF123" s="129">
        <f t="shared" si="44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2"/>
        <v>5</v>
      </c>
      <c r="C124" s="130">
        <v>5</v>
      </c>
      <c r="D124" s="129">
        <f t="shared" si="45"/>
        <v>5</v>
      </c>
      <c r="E124" s="129">
        <f t="shared" si="45"/>
        <v>5</v>
      </c>
      <c r="F124" s="129">
        <f t="shared" si="45"/>
        <v>5</v>
      </c>
      <c r="G124" s="129">
        <f t="shared" si="45"/>
        <v>5</v>
      </c>
      <c r="H124" s="129">
        <f t="shared" si="45"/>
        <v>5</v>
      </c>
      <c r="I124" s="129">
        <f t="shared" si="45"/>
        <v>5</v>
      </c>
      <c r="J124" s="129">
        <f t="shared" si="45"/>
        <v>5</v>
      </c>
      <c r="K124" s="129">
        <f t="shared" si="45"/>
        <v>5</v>
      </c>
      <c r="L124" s="129">
        <f t="shared" si="45"/>
        <v>5</v>
      </c>
      <c r="M124" s="129">
        <f t="shared" si="45"/>
        <v>5</v>
      </c>
      <c r="N124" s="129">
        <f t="shared" si="45"/>
        <v>5</v>
      </c>
      <c r="O124" s="129">
        <f t="shared" si="45"/>
        <v>5</v>
      </c>
      <c r="P124" s="129">
        <f t="shared" si="45"/>
        <v>5</v>
      </c>
      <c r="Q124" s="129">
        <f t="shared" si="45"/>
        <v>5</v>
      </c>
      <c r="R124" s="129">
        <f t="shared" si="45"/>
        <v>5</v>
      </c>
      <c r="S124" s="129">
        <f t="shared" si="45"/>
        <v>5</v>
      </c>
      <c r="T124" s="129">
        <f t="shared" si="44"/>
        <v>5</v>
      </c>
      <c r="U124" s="129">
        <f t="shared" si="44"/>
        <v>5</v>
      </c>
      <c r="V124" s="129">
        <f t="shared" si="44"/>
        <v>5</v>
      </c>
      <c r="W124" s="129">
        <f t="shared" si="44"/>
        <v>5</v>
      </c>
      <c r="X124" s="129">
        <f t="shared" si="44"/>
        <v>5</v>
      </c>
      <c r="Y124" s="129">
        <f t="shared" si="44"/>
        <v>5</v>
      </c>
      <c r="Z124" s="129">
        <f t="shared" si="44"/>
        <v>5</v>
      </c>
      <c r="AA124" s="129">
        <f t="shared" si="44"/>
        <v>5</v>
      </c>
      <c r="AB124" s="129">
        <f t="shared" si="44"/>
        <v>5</v>
      </c>
      <c r="AC124" s="129">
        <f t="shared" si="44"/>
        <v>5</v>
      </c>
      <c r="AD124" s="129">
        <f t="shared" si="44"/>
        <v>5</v>
      </c>
      <c r="AE124" s="129">
        <f t="shared" si="44"/>
        <v>5</v>
      </c>
      <c r="AF124" s="129">
        <f t="shared" si="44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2"/>
        <v>1</v>
      </c>
      <c r="C125" s="130">
        <v>1</v>
      </c>
      <c r="D125" s="129">
        <f t="shared" si="45"/>
        <v>1</v>
      </c>
      <c r="E125" s="129">
        <f t="shared" si="45"/>
        <v>1</v>
      </c>
      <c r="F125" s="129">
        <f t="shared" si="45"/>
        <v>1</v>
      </c>
      <c r="G125" s="129">
        <f t="shared" si="45"/>
        <v>1</v>
      </c>
      <c r="H125" s="129">
        <f t="shared" si="45"/>
        <v>1</v>
      </c>
      <c r="I125" s="129">
        <f t="shared" si="45"/>
        <v>1</v>
      </c>
      <c r="J125" s="129">
        <f t="shared" si="45"/>
        <v>1</v>
      </c>
      <c r="K125" s="129">
        <f t="shared" si="45"/>
        <v>1</v>
      </c>
      <c r="L125" s="129">
        <f t="shared" si="45"/>
        <v>1</v>
      </c>
      <c r="M125" s="129">
        <f t="shared" si="45"/>
        <v>1</v>
      </c>
      <c r="N125" s="129">
        <f t="shared" si="45"/>
        <v>1</v>
      </c>
      <c r="O125" s="129">
        <f t="shared" si="45"/>
        <v>1</v>
      </c>
      <c r="P125" s="129">
        <f t="shared" si="45"/>
        <v>1</v>
      </c>
      <c r="Q125" s="129">
        <f t="shared" si="45"/>
        <v>1</v>
      </c>
      <c r="R125" s="129">
        <f t="shared" si="45"/>
        <v>1</v>
      </c>
      <c r="S125" s="129">
        <f t="shared" si="45"/>
        <v>1</v>
      </c>
      <c r="T125" s="129">
        <f t="shared" si="44"/>
        <v>1</v>
      </c>
      <c r="U125" s="129">
        <f t="shared" si="44"/>
        <v>1</v>
      </c>
      <c r="V125" s="129">
        <f t="shared" si="44"/>
        <v>1</v>
      </c>
      <c r="W125" s="129">
        <f t="shared" si="44"/>
        <v>1</v>
      </c>
      <c r="X125" s="129">
        <f t="shared" si="44"/>
        <v>1</v>
      </c>
      <c r="Y125" s="129">
        <f t="shared" si="44"/>
        <v>1</v>
      </c>
      <c r="Z125" s="129">
        <f t="shared" si="44"/>
        <v>1</v>
      </c>
      <c r="AA125" s="129">
        <f t="shared" si="44"/>
        <v>1</v>
      </c>
      <c r="AB125" s="129">
        <f t="shared" si="44"/>
        <v>1</v>
      </c>
      <c r="AC125" s="129">
        <f t="shared" si="44"/>
        <v>1</v>
      </c>
      <c r="AD125" s="129">
        <f t="shared" si="44"/>
        <v>1</v>
      </c>
      <c r="AE125" s="129">
        <f t="shared" si="44"/>
        <v>1</v>
      </c>
      <c r="AF125" s="129">
        <f t="shared" si="44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2"/>
        <v>1.58</v>
      </c>
      <c r="C126" s="130">
        <v>1.58</v>
      </c>
      <c r="D126" s="129">
        <f t="shared" si="45"/>
        <v>1.58</v>
      </c>
      <c r="E126" s="129">
        <f t="shared" si="45"/>
        <v>1.58</v>
      </c>
      <c r="F126" s="129">
        <f t="shared" si="45"/>
        <v>1.58</v>
      </c>
      <c r="G126" s="129">
        <f t="shared" si="45"/>
        <v>1.58</v>
      </c>
      <c r="H126" s="129">
        <f t="shared" si="45"/>
        <v>1.58</v>
      </c>
      <c r="I126" s="129">
        <f t="shared" si="45"/>
        <v>1.58</v>
      </c>
      <c r="J126" s="129">
        <f t="shared" si="45"/>
        <v>1.58</v>
      </c>
      <c r="K126" s="129">
        <f t="shared" si="45"/>
        <v>1.58</v>
      </c>
      <c r="L126" s="129">
        <f t="shared" si="45"/>
        <v>1.58</v>
      </c>
      <c r="M126" s="129">
        <f t="shared" si="45"/>
        <v>1.58</v>
      </c>
      <c r="N126" s="129">
        <f t="shared" si="45"/>
        <v>1.58</v>
      </c>
      <c r="O126" s="129">
        <f t="shared" si="45"/>
        <v>1.58</v>
      </c>
      <c r="P126" s="129">
        <f t="shared" si="45"/>
        <v>1.58</v>
      </c>
      <c r="Q126" s="129">
        <f t="shared" si="45"/>
        <v>1.58</v>
      </c>
      <c r="R126" s="129">
        <f t="shared" si="45"/>
        <v>1.58</v>
      </c>
      <c r="S126" s="129">
        <f t="shared" si="45"/>
        <v>1.58</v>
      </c>
      <c r="T126" s="129">
        <f t="shared" si="44"/>
        <v>1.58</v>
      </c>
      <c r="U126" s="129">
        <f t="shared" si="44"/>
        <v>1.58</v>
      </c>
      <c r="V126" s="129">
        <f t="shared" si="44"/>
        <v>1.58</v>
      </c>
      <c r="W126" s="129">
        <f t="shared" si="44"/>
        <v>1.58</v>
      </c>
      <c r="X126" s="129">
        <f t="shared" si="44"/>
        <v>1.58</v>
      </c>
      <c r="Y126" s="129">
        <f t="shared" si="44"/>
        <v>1.58</v>
      </c>
      <c r="Z126" s="129">
        <f t="shared" si="44"/>
        <v>1.58</v>
      </c>
      <c r="AA126" s="129">
        <f t="shared" si="44"/>
        <v>1.58</v>
      </c>
      <c r="AB126" s="129">
        <f t="shared" si="44"/>
        <v>1.58</v>
      </c>
      <c r="AC126" s="129">
        <f t="shared" si="44"/>
        <v>1.58</v>
      </c>
      <c r="AD126" s="129">
        <f t="shared" si="44"/>
        <v>1.58</v>
      </c>
      <c r="AE126" s="129">
        <f t="shared" si="44"/>
        <v>1.58</v>
      </c>
      <c r="AF126" s="129">
        <f t="shared" si="44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2"/>
        <v>1.46</v>
      </c>
      <c r="C127" s="130">
        <v>1.46</v>
      </c>
      <c r="D127" s="129">
        <f t="shared" si="45"/>
        <v>1.46</v>
      </c>
      <c r="E127" s="129">
        <f t="shared" si="45"/>
        <v>1.46</v>
      </c>
      <c r="F127" s="129">
        <f t="shared" si="45"/>
        <v>1.46</v>
      </c>
      <c r="G127" s="129">
        <f t="shared" si="45"/>
        <v>1.46</v>
      </c>
      <c r="H127" s="129">
        <f t="shared" si="45"/>
        <v>1.46</v>
      </c>
      <c r="I127" s="129">
        <f t="shared" si="45"/>
        <v>1.46</v>
      </c>
      <c r="J127" s="129">
        <f t="shared" si="45"/>
        <v>1.46</v>
      </c>
      <c r="K127" s="129">
        <f t="shared" si="45"/>
        <v>1.46</v>
      </c>
      <c r="L127" s="129">
        <f t="shared" si="45"/>
        <v>1.46</v>
      </c>
      <c r="M127" s="129">
        <f t="shared" si="45"/>
        <v>1.46</v>
      </c>
      <c r="N127" s="129">
        <f t="shared" si="45"/>
        <v>1.46</v>
      </c>
      <c r="O127" s="129">
        <f t="shared" si="45"/>
        <v>1.46</v>
      </c>
      <c r="P127" s="129">
        <f t="shared" si="45"/>
        <v>1.46</v>
      </c>
      <c r="Q127" s="129">
        <f t="shared" si="45"/>
        <v>1.46</v>
      </c>
      <c r="R127" s="129">
        <f t="shared" si="45"/>
        <v>1.46</v>
      </c>
      <c r="S127" s="129">
        <f t="shared" si="45"/>
        <v>1.46</v>
      </c>
      <c r="T127" s="129">
        <f t="shared" ref="T127:AF128" si="46">S127</f>
        <v>1.46</v>
      </c>
      <c r="U127" s="129">
        <f t="shared" si="46"/>
        <v>1.46</v>
      </c>
      <c r="V127" s="129">
        <f t="shared" si="46"/>
        <v>1.46</v>
      </c>
      <c r="W127" s="129">
        <f t="shared" si="46"/>
        <v>1.46</v>
      </c>
      <c r="X127" s="129">
        <f t="shared" si="46"/>
        <v>1.46</v>
      </c>
      <c r="Y127" s="129">
        <f t="shared" si="46"/>
        <v>1.46</v>
      </c>
      <c r="Z127" s="129">
        <f t="shared" si="46"/>
        <v>1.46</v>
      </c>
      <c r="AA127" s="129">
        <f t="shared" si="46"/>
        <v>1.46</v>
      </c>
      <c r="AB127" s="129">
        <f t="shared" si="46"/>
        <v>1.46</v>
      </c>
      <c r="AC127" s="129">
        <f t="shared" si="46"/>
        <v>1.46</v>
      </c>
      <c r="AD127" s="129">
        <f t="shared" si="46"/>
        <v>1.46</v>
      </c>
      <c r="AE127" s="129">
        <f t="shared" si="46"/>
        <v>1.46</v>
      </c>
      <c r="AF127" s="129">
        <f t="shared" si="46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2"/>
        <v>1.48</v>
      </c>
      <c r="C128" s="130">
        <v>1.48</v>
      </c>
      <c r="D128" s="129">
        <f t="shared" si="45"/>
        <v>1.48</v>
      </c>
      <c r="E128" s="129">
        <f t="shared" si="45"/>
        <v>1.48</v>
      </c>
      <c r="F128" s="129">
        <f t="shared" si="45"/>
        <v>1.48</v>
      </c>
      <c r="G128" s="129">
        <f t="shared" si="45"/>
        <v>1.48</v>
      </c>
      <c r="H128" s="129">
        <f t="shared" si="45"/>
        <v>1.48</v>
      </c>
      <c r="I128" s="129">
        <f t="shared" si="45"/>
        <v>1.48</v>
      </c>
      <c r="J128" s="129">
        <f t="shared" si="45"/>
        <v>1.48</v>
      </c>
      <c r="K128" s="129">
        <f t="shared" si="45"/>
        <v>1.48</v>
      </c>
      <c r="L128" s="129">
        <f t="shared" si="45"/>
        <v>1.48</v>
      </c>
      <c r="M128" s="129">
        <f t="shared" si="45"/>
        <v>1.48</v>
      </c>
      <c r="N128" s="129">
        <f t="shared" si="45"/>
        <v>1.48</v>
      </c>
      <c r="O128" s="129">
        <f t="shared" si="45"/>
        <v>1.48</v>
      </c>
      <c r="P128" s="129">
        <f t="shared" si="45"/>
        <v>1.48</v>
      </c>
      <c r="Q128" s="129">
        <f t="shared" si="45"/>
        <v>1.48</v>
      </c>
      <c r="R128" s="129">
        <f t="shared" si="45"/>
        <v>1.48</v>
      </c>
      <c r="S128" s="129">
        <f t="shared" si="45"/>
        <v>1.48</v>
      </c>
      <c r="T128" s="129">
        <f t="shared" si="46"/>
        <v>1.48</v>
      </c>
      <c r="U128" s="129">
        <f t="shared" si="46"/>
        <v>1.48</v>
      </c>
      <c r="V128" s="129">
        <f t="shared" si="46"/>
        <v>1.48</v>
      </c>
      <c r="W128" s="129">
        <f t="shared" si="46"/>
        <v>1.48</v>
      </c>
      <c r="X128" s="129">
        <f t="shared" si="46"/>
        <v>1.48</v>
      </c>
      <c r="Y128" s="129">
        <f t="shared" si="46"/>
        <v>1.48</v>
      </c>
      <c r="Z128" s="129">
        <f t="shared" si="46"/>
        <v>1.48</v>
      </c>
      <c r="AA128" s="129">
        <f t="shared" si="46"/>
        <v>1.48</v>
      </c>
      <c r="AB128" s="129">
        <f t="shared" si="46"/>
        <v>1.48</v>
      </c>
      <c r="AC128" s="129">
        <f t="shared" si="46"/>
        <v>1.48</v>
      </c>
      <c r="AD128" s="129">
        <f t="shared" si="46"/>
        <v>1.48</v>
      </c>
      <c r="AE128" s="129">
        <f t="shared" si="46"/>
        <v>1.48</v>
      </c>
      <c r="AF128" s="129">
        <f t="shared" si="46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47">AF130</f>
        <v>2.2000000000000002</v>
      </c>
      <c r="C130" s="130">
        <v>2.2000000000000002</v>
      </c>
      <c r="D130" s="129">
        <f t="shared" ref="D130:S137" si="48">C130</f>
        <v>2.2000000000000002</v>
      </c>
      <c r="E130" s="129">
        <f t="shared" si="48"/>
        <v>2.2000000000000002</v>
      </c>
      <c r="F130" s="129">
        <f t="shared" si="48"/>
        <v>2.2000000000000002</v>
      </c>
      <c r="G130" s="129">
        <f t="shared" si="48"/>
        <v>2.2000000000000002</v>
      </c>
      <c r="H130" s="129">
        <f t="shared" si="48"/>
        <v>2.2000000000000002</v>
      </c>
      <c r="I130" s="129">
        <f t="shared" si="48"/>
        <v>2.2000000000000002</v>
      </c>
      <c r="J130" s="129">
        <f t="shared" si="48"/>
        <v>2.2000000000000002</v>
      </c>
      <c r="K130" s="129">
        <f t="shared" si="48"/>
        <v>2.2000000000000002</v>
      </c>
      <c r="L130" s="129">
        <f t="shared" si="48"/>
        <v>2.2000000000000002</v>
      </c>
      <c r="M130" s="129">
        <f t="shared" si="48"/>
        <v>2.2000000000000002</v>
      </c>
      <c r="N130" s="129">
        <f t="shared" si="48"/>
        <v>2.2000000000000002</v>
      </c>
      <c r="O130" s="129">
        <f t="shared" si="48"/>
        <v>2.2000000000000002</v>
      </c>
      <c r="P130" s="129">
        <f t="shared" si="48"/>
        <v>2.2000000000000002</v>
      </c>
      <c r="Q130" s="129">
        <f t="shared" si="48"/>
        <v>2.2000000000000002</v>
      </c>
      <c r="R130" s="129">
        <f t="shared" si="48"/>
        <v>2.2000000000000002</v>
      </c>
      <c r="S130" s="129">
        <f t="shared" si="48"/>
        <v>2.2000000000000002</v>
      </c>
      <c r="T130" s="129">
        <f t="shared" ref="T130:AF137" si="49">S130</f>
        <v>2.2000000000000002</v>
      </c>
      <c r="U130" s="129">
        <f t="shared" si="49"/>
        <v>2.2000000000000002</v>
      </c>
      <c r="V130" s="129">
        <f t="shared" si="49"/>
        <v>2.2000000000000002</v>
      </c>
      <c r="W130" s="129">
        <f t="shared" si="49"/>
        <v>2.2000000000000002</v>
      </c>
      <c r="X130" s="129">
        <f t="shared" si="49"/>
        <v>2.2000000000000002</v>
      </c>
      <c r="Y130" s="129">
        <f t="shared" si="49"/>
        <v>2.2000000000000002</v>
      </c>
      <c r="Z130" s="129">
        <f t="shared" si="49"/>
        <v>2.2000000000000002</v>
      </c>
      <c r="AA130" s="129">
        <f t="shared" si="49"/>
        <v>2.2000000000000002</v>
      </c>
      <c r="AB130" s="129">
        <f t="shared" si="49"/>
        <v>2.2000000000000002</v>
      </c>
      <c r="AC130" s="129">
        <f t="shared" si="49"/>
        <v>2.2000000000000002</v>
      </c>
      <c r="AD130" s="129">
        <f t="shared" si="49"/>
        <v>2.2000000000000002</v>
      </c>
      <c r="AE130" s="129">
        <f t="shared" si="49"/>
        <v>2.2000000000000002</v>
      </c>
      <c r="AF130" s="129">
        <f t="shared" si="49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47"/>
        <v>2</v>
      </c>
      <c r="C131" s="130">
        <v>2</v>
      </c>
      <c r="D131" s="129">
        <f t="shared" si="48"/>
        <v>2</v>
      </c>
      <c r="E131" s="129">
        <f t="shared" si="48"/>
        <v>2</v>
      </c>
      <c r="F131" s="129">
        <f t="shared" si="48"/>
        <v>2</v>
      </c>
      <c r="G131" s="129">
        <f t="shared" si="48"/>
        <v>2</v>
      </c>
      <c r="H131" s="129">
        <f t="shared" si="48"/>
        <v>2</v>
      </c>
      <c r="I131" s="129">
        <f t="shared" si="48"/>
        <v>2</v>
      </c>
      <c r="J131" s="129">
        <f t="shared" si="48"/>
        <v>2</v>
      </c>
      <c r="K131" s="129">
        <f t="shared" si="48"/>
        <v>2</v>
      </c>
      <c r="L131" s="129">
        <f t="shared" si="48"/>
        <v>2</v>
      </c>
      <c r="M131" s="129">
        <f t="shared" si="48"/>
        <v>2</v>
      </c>
      <c r="N131" s="129">
        <f t="shared" si="48"/>
        <v>2</v>
      </c>
      <c r="O131" s="129">
        <f t="shared" si="48"/>
        <v>2</v>
      </c>
      <c r="P131" s="129">
        <f t="shared" si="48"/>
        <v>2</v>
      </c>
      <c r="Q131" s="129">
        <f t="shared" si="48"/>
        <v>2</v>
      </c>
      <c r="R131" s="129">
        <f t="shared" si="48"/>
        <v>2</v>
      </c>
      <c r="S131" s="129">
        <f t="shared" si="48"/>
        <v>2</v>
      </c>
      <c r="T131" s="129">
        <f t="shared" si="49"/>
        <v>2</v>
      </c>
      <c r="U131" s="129">
        <f t="shared" si="49"/>
        <v>2</v>
      </c>
      <c r="V131" s="129">
        <f t="shared" si="49"/>
        <v>2</v>
      </c>
      <c r="W131" s="129">
        <f t="shared" si="49"/>
        <v>2</v>
      </c>
      <c r="X131" s="129">
        <f t="shared" si="49"/>
        <v>2</v>
      </c>
      <c r="Y131" s="129">
        <f t="shared" si="49"/>
        <v>2</v>
      </c>
      <c r="Z131" s="129">
        <f t="shared" si="49"/>
        <v>2</v>
      </c>
      <c r="AA131" s="129">
        <f t="shared" si="49"/>
        <v>2</v>
      </c>
      <c r="AB131" s="129">
        <f t="shared" si="49"/>
        <v>2</v>
      </c>
      <c r="AC131" s="129">
        <f t="shared" si="49"/>
        <v>2</v>
      </c>
      <c r="AD131" s="129">
        <f t="shared" si="49"/>
        <v>2</v>
      </c>
      <c r="AE131" s="129">
        <f t="shared" si="49"/>
        <v>2</v>
      </c>
      <c r="AF131" s="129">
        <f t="shared" si="49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47"/>
        <v>1.25</v>
      </c>
      <c r="C132" s="130">
        <v>1.25</v>
      </c>
      <c r="D132" s="129">
        <f t="shared" si="48"/>
        <v>1.25</v>
      </c>
      <c r="E132" s="129">
        <f t="shared" si="48"/>
        <v>1.25</v>
      </c>
      <c r="F132" s="129">
        <f t="shared" si="48"/>
        <v>1.25</v>
      </c>
      <c r="G132" s="129">
        <f t="shared" si="48"/>
        <v>1.25</v>
      </c>
      <c r="H132" s="129">
        <f t="shared" si="48"/>
        <v>1.25</v>
      </c>
      <c r="I132" s="129">
        <f t="shared" si="48"/>
        <v>1.25</v>
      </c>
      <c r="J132" s="129">
        <f t="shared" si="48"/>
        <v>1.25</v>
      </c>
      <c r="K132" s="129">
        <f t="shared" si="48"/>
        <v>1.25</v>
      </c>
      <c r="L132" s="129">
        <f t="shared" si="48"/>
        <v>1.25</v>
      </c>
      <c r="M132" s="129">
        <f t="shared" si="48"/>
        <v>1.25</v>
      </c>
      <c r="N132" s="129">
        <f t="shared" si="48"/>
        <v>1.25</v>
      </c>
      <c r="O132" s="129">
        <f t="shared" si="48"/>
        <v>1.25</v>
      </c>
      <c r="P132" s="129">
        <f t="shared" si="48"/>
        <v>1.25</v>
      </c>
      <c r="Q132" s="129">
        <f t="shared" si="48"/>
        <v>1.25</v>
      </c>
      <c r="R132" s="129">
        <f t="shared" si="48"/>
        <v>1.25</v>
      </c>
      <c r="S132" s="129">
        <f t="shared" si="48"/>
        <v>1.25</v>
      </c>
      <c r="T132" s="129">
        <f t="shared" si="49"/>
        <v>1.25</v>
      </c>
      <c r="U132" s="129">
        <f t="shared" si="49"/>
        <v>1.25</v>
      </c>
      <c r="V132" s="129">
        <f t="shared" si="49"/>
        <v>1.25</v>
      </c>
      <c r="W132" s="129">
        <f t="shared" si="49"/>
        <v>1.25</v>
      </c>
      <c r="X132" s="129">
        <f t="shared" si="49"/>
        <v>1.25</v>
      </c>
      <c r="Y132" s="129">
        <f t="shared" si="49"/>
        <v>1.25</v>
      </c>
      <c r="Z132" s="129">
        <f t="shared" si="49"/>
        <v>1.25</v>
      </c>
      <c r="AA132" s="129">
        <f t="shared" si="49"/>
        <v>1.25</v>
      </c>
      <c r="AB132" s="129">
        <f t="shared" si="49"/>
        <v>1.25</v>
      </c>
      <c r="AC132" s="129">
        <f t="shared" si="49"/>
        <v>1.25</v>
      </c>
      <c r="AD132" s="129">
        <f t="shared" si="49"/>
        <v>1.25</v>
      </c>
      <c r="AE132" s="129">
        <f t="shared" si="49"/>
        <v>1.25</v>
      </c>
      <c r="AF132" s="129">
        <f t="shared" si="49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47"/>
        <v>1.1499999999999999</v>
      </c>
      <c r="C133" s="130">
        <v>1.1499999999999999</v>
      </c>
      <c r="D133" s="129">
        <f t="shared" si="48"/>
        <v>1.1499999999999999</v>
      </c>
      <c r="E133" s="129">
        <f t="shared" si="48"/>
        <v>1.1499999999999999</v>
      </c>
      <c r="F133" s="129">
        <f t="shared" si="48"/>
        <v>1.1499999999999999</v>
      </c>
      <c r="G133" s="129">
        <f t="shared" si="48"/>
        <v>1.1499999999999999</v>
      </c>
      <c r="H133" s="129">
        <f t="shared" si="48"/>
        <v>1.1499999999999999</v>
      </c>
      <c r="I133" s="129">
        <f t="shared" si="48"/>
        <v>1.1499999999999999</v>
      </c>
      <c r="J133" s="129">
        <f t="shared" si="48"/>
        <v>1.1499999999999999</v>
      </c>
      <c r="K133" s="129">
        <f t="shared" si="48"/>
        <v>1.1499999999999999</v>
      </c>
      <c r="L133" s="129">
        <f t="shared" si="48"/>
        <v>1.1499999999999999</v>
      </c>
      <c r="M133" s="129">
        <f t="shared" si="48"/>
        <v>1.1499999999999999</v>
      </c>
      <c r="N133" s="129">
        <f t="shared" si="48"/>
        <v>1.1499999999999999</v>
      </c>
      <c r="O133" s="129">
        <f t="shared" si="48"/>
        <v>1.1499999999999999</v>
      </c>
      <c r="P133" s="129">
        <f t="shared" si="48"/>
        <v>1.1499999999999999</v>
      </c>
      <c r="Q133" s="129">
        <f t="shared" si="48"/>
        <v>1.1499999999999999</v>
      </c>
      <c r="R133" s="129">
        <f t="shared" si="48"/>
        <v>1.1499999999999999</v>
      </c>
      <c r="S133" s="129">
        <f t="shared" si="48"/>
        <v>1.1499999999999999</v>
      </c>
      <c r="T133" s="129">
        <f t="shared" si="49"/>
        <v>1.1499999999999999</v>
      </c>
      <c r="U133" s="129">
        <f t="shared" si="49"/>
        <v>1.1499999999999999</v>
      </c>
      <c r="V133" s="129">
        <f t="shared" si="49"/>
        <v>1.1499999999999999</v>
      </c>
      <c r="W133" s="129">
        <f t="shared" si="49"/>
        <v>1.1499999999999999</v>
      </c>
      <c r="X133" s="129">
        <f t="shared" si="49"/>
        <v>1.1499999999999999</v>
      </c>
      <c r="Y133" s="129">
        <f t="shared" si="49"/>
        <v>1.1499999999999999</v>
      </c>
      <c r="Z133" s="129">
        <f t="shared" si="49"/>
        <v>1.1499999999999999</v>
      </c>
      <c r="AA133" s="129">
        <f t="shared" si="49"/>
        <v>1.1499999999999999</v>
      </c>
      <c r="AB133" s="129">
        <f t="shared" si="49"/>
        <v>1.1499999999999999</v>
      </c>
      <c r="AC133" s="129">
        <f t="shared" si="49"/>
        <v>1.1499999999999999</v>
      </c>
      <c r="AD133" s="129">
        <f t="shared" si="49"/>
        <v>1.1499999999999999</v>
      </c>
      <c r="AE133" s="129">
        <f t="shared" si="49"/>
        <v>1.1499999999999999</v>
      </c>
      <c r="AF133" s="129">
        <f t="shared" si="49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47"/>
        <v>2.133</v>
      </c>
      <c r="C134" s="130">
        <v>2.133</v>
      </c>
      <c r="D134" s="129">
        <f t="shared" si="48"/>
        <v>2.133</v>
      </c>
      <c r="E134" s="129">
        <f t="shared" si="48"/>
        <v>2.133</v>
      </c>
      <c r="F134" s="129">
        <f t="shared" si="48"/>
        <v>2.133</v>
      </c>
      <c r="G134" s="129">
        <f t="shared" si="48"/>
        <v>2.133</v>
      </c>
      <c r="H134" s="129">
        <f t="shared" si="48"/>
        <v>2.133</v>
      </c>
      <c r="I134" s="129">
        <f t="shared" si="48"/>
        <v>2.133</v>
      </c>
      <c r="J134" s="129">
        <f t="shared" si="48"/>
        <v>2.133</v>
      </c>
      <c r="K134" s="129">
        <f t="shared" si="48"/>
        <v>2.133</v>
      </c>
      <c r="L134" s="129">
        <f t="shared" si="48"/>
        <v>2.133</v>
      </c>
      <c r="M134" s="129">
        <f t="shared" si="48"/>
        <v>2.133</v>
      </c>
      <c r="N134" s="129">
        <f t="shared" si="48"/>
        <v>2.133</v>
      </c>
      <c r="O134" s="129">
        <f t="shared" si="48"/>
        <v>2.133</v>
      </c>
      <c r="P134" s="129">
        <f t="shared" si="48"/>
        <v>2.133</v>
      </c>
      <c r="Q134" s="129">
        <f t="shared" si="48"/>
        <v>2.133</v>
      </c>
      <c r="R134" s="129">
        <f t="shared" si="48"/>
        <v>2.133</v>
      </c>
      <c r="S134" s="129">
        <f t="shared" si="48"/>
        <v>2.133</v>
      </c>
      <c r="T134" s="129">
        <f t="shared" si="49"/>
        <v>2.133</v>
      </c>
      <c r="U134" s="129">
        <f t="shared" si="49"/>
        <v>2.133</v>
      </c>
      <c r="V134" s="129">
        <f t="shared" si="49"/>
        <v>2.133</v>
      </c>
      <c r="W134" s="129">
        <f t="shared" si="49"/>
        <v>2.133</v>
      </c>
      <c r="X134" s="129">
        <f t="shared" si="49"/>
        <v>2.133</v>
      </c>
      <c r="Y134" s="129">
        <f t="shared" si="49"/>
        <v>2.133</v>
      </c>
      <c r="Z134" s="129">
        <f t="shared" si="49"/>
        <v>2.133</v>
      </c>
      <c r="AA134" s="129">
        <f t="shared" si="49"/>
        <v>2.133</v>
      </c>
      <c r="AB134" s="129">
        <f t="shared" si="49"/>
        <v>2.133</v>
      </c>
      <c r="AC134" s="129">
        <f t="shared" si="49"/>
        <v>2.133</v>
      </c>
      <c r="AD134" s="129">
        <f t="shared" si="49"/>
        <v>2.133</v>
      </c>
      <c r="AE134" s="129">
        <f t="shared" si="49"/>
        <v>2.133</v>
      </c>
      <c r="AF134" s="129">
        <f t="shared" si="49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47"/>
        <v>2.09</v>
      </c>
      <c r="C135" s="130">
        <v>2.09</v>
      </c>
      <c r="D135" s="129">
        <f t="shared" si="48"/>
        <v>2.09</v>
      </c>
      <c r="E135" s="129">
        <f t="shared" si="48"/>
        <v>2.09</v>
      </c>
      <c r="F135" s="129">
        <f t="shared" si="48"/>
        <v>2.09</v>
      </c>
      <c r="G135" s="129">
        <f t="shared" si="48"/>
        <v>2.09</v>
      </c>
      <c r="H135" s="129">
        <f t="shared" si="48"/>
        <v>2.09</v>
      </c>
      <c r="I135" s="129">
        <f t="shared" si="48"/>
        <v>2.09</v>
      </c>
      <c r="J135" s="129">
        <f t="shared" si="48"/>
        <v>2.09</v>
      </c>
      <c r="K135" s="129">
        <f t="shared" si="48"/>
        <v>2.09</v>
      </c>
      <c r="L135" s="129">
        <f t="shared" si="48"/>
        <v>2.09</v>
      </c>
      <c r="M135" s="129">
        <f t="shared" si="48"/>
        <v>2.09</v>
      </c>
      <c r="N135" s="129">
        <f t="shared" si="48"/>
        <v>2.09</v>
      </c>
      <c r="O135" s="129">
        <f t="shared" si="48"/>
        <v>2.09</v>
      </c>
      <c r="P135" s="129">
        <f t="shared" si="48"/>
        <v>2.09</v>
      </c>
      <c r="Q135" s="129">
        <f t="shared" si="48"/>
        <v>2.09</v>
      </c>
      <c r="R135" s="129">
        <f t="shared" si="48"/>
        <v>2.09</v>
      </c>
      <c r="S135" s="129">
        <f t="shared" si="48"/>
        <v>2.09</v>
      </c>
      <c r="T135" s="129">
        <f t="shared" si="49"/>
        <v>2.09</v>
      </c>
      <c r="U135" s="129">
        <f t="shared" si="49"/>
        <v>2.09</v>
      </c>
      <c r="V135" s="129">
        <f t="shared" si="49"/>
        <v>2.09</v>
      </c>
      <c r="W135" s="129">
        <f t="shared" si="49"/>
        <v>2.09</v>
      </c>
      <c r="X135" s="129">
        <f t="shared" si="49"/>
        <v>2.09</v>
      </c>
      <c r="Y135" s="129">
        <f t="shared" si="49"/>
        <v>2.09</v>
      </c>
      <c r="Z135" s="129">
        <f t="shared" si="49"/>
        <v>2.09</v>
      </c>
      <c r="AA135" s="129">
        <f t="shared" si="49"/>
        <v>2.09</v>
      </c>
      <c r="AB135" s="129">
        <f t="shared" si="49"/>
        <v>2.09</v>
      </c>
      <c r="AC135" s="129">
        <f t="shared" si="49"/>
        <v>2.09</v>
      </c>
      <c r="AD135" s="129">
        <f t="shared" si="49"/>
        <v>2.09</v>
      </c>
      <c r="AE135" s="129">
        <f t="shared" si="49"/>
        <v>2.09</v>
      </c>
      <c r="AF135" s="129">
        <f t="shared" si="49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47"/>
        <v>1.1399999999999999</v>
      </c>
      <c r="C136" s="130">
        <v>1.1399999999999999</v>
      </c>
      <c r="D136" s="129">
        <f t="shared" si="48"/>
        <v>1.1399999999999999</v>
      </c>
      <c r="E136" s="129">
        <f t="shared" si="48"/>
        <v>1.1399999999999999</v>
      </c>
      <c r="F136" s="129">
        <f t="shared" si="48"/>
        <v>1.1399999999999999</v>
      </c>
      <c r="G136" s="129">
        <f t="shared" si="48"/>
        <v>1.1399999999999999</v>
      </c>
      <c r="H136" s="129">
        <f t="shared" si="48"/>
        <v>1.1399999999999999</v>
      </c>
      <c r="I136" s="129">
        <f t="shared" si="48"/>
        <v>1.1399999999999999</v>
      </c>
      <c r="J136" s="129">
        <f t="shared" si="48"/>
        <v>1.1399999999999999</v>
      </c>
      <c r="K136" s="129">
        <f t="shared" si="48"/>
        <v>1.1399999999999999</v>
      </c>
      <c r="L136" s="129">
        <f t="shared" si="48"/>
        <v>1.1399999999999999</v>
      </c>
      <c r="M136" s="129">
        <f t="shared" si="48"/>
        <v>1.1399999999999999</v>
      </c>
      <c r="N136" s="129">
        <f t="shared" si="48"/>
        <v>1.1399999999999999</v>
      </c>
      <c r="O136" s="129">
        <f t="shared" si="48"/>
        <v>1.1399999999999999</v>
      </c>
      <c r="P136" s="129">
        <f t="shared" si="48"/>
        <v>1.1399999999999999</v>
      </c>
      <c r="Q136" s="129">
        <f t="shared" si="48"/>
        <v>1.1399999999999999</v>
      </c>
      <c r="R136" s="129">
        <f t="shared" si="48"/>
        <v>1.1399999999999999</v>
      </c>
      <c r="S136" s="129">
        <f t="shared" si="48"/>
        <v>1.1399999999999999</v>
      </c>
      <c r="T136" s="129">
        <f t="shared" si="49"/>
        <v>1.1399999999999999</v>
      </c>
      <c r="U136" s="129">
        <f t="shared" si="49"/>
        <v>1.1399999999999999</v>
      </c>
      <c r="V136" s="129">
        <f t="shared" si="49"/>
        <v>1.1399999999999999</v>
      </c>
      <c r="W136" s="129">
        <f t="shared" si="49"/>
        <v>1.1399999999999999</v>
      </c>
      <c r="X136" s="129">
        <f t="shared" si="49"/>
        <v>1.1399999999999999</v>
      </c>
      <c r="Y136" s="129">
        <f t="shared" si="49"/>
        <v>1.1399999999999999</v>
      </c>
      <c r="Z136" s="129">
        <f t="shared" si="49"/>
        <v>1.1399999999999999</v>
      </c>
      <c r="AA136" s="129">
        <f t="shared" si="49"/>
        <v>1.1399999999999999</v>
      </c>
      <c r="AB136" s="129">
        <f t="shared" si="49"/>
        <v>1.1399999999999999</v>
      </c>
      <c r="AC136" s="129">
        <f t="shared" si="49"/>
        <v>1.1399999999999999</v>
      </c>
      <c r="AD136" s="129">
        <f t="shared" si="49"/>
        <v>1.1399999999999999</v>
      </c>
      <c r="AE136" s="129">
        <f t="shared" si="49"/>
        <v>1.1399999999999999</v>
      </c>
      <c r="AF136" s="129">
        <f t="shared" si="49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47"/>
        <v>0.82</v>
      </c>
      <c r="C137" s="130">
        <v>0.82</v>
      </c>
      <c r="D137" s="129">
        <f t="shared" si="48"/>
        <v>0.82</v>
      </c>
      <c r="E137" s="129">
        <f t="shared" si="48"/>
        <v>0.82</v>
      </c>
      <c r="F137" s="129">
        <f t="shared" si="48"/>
        <v>0.82</v>
      </c>
      <c r="G137" s="129">
        <f t="shared" si="48"/>
        <v>0.82</v>
      </c>
      <c r="H137" s="129">
        <f t="shared" si="48"/>
        <v>0.82</v>
      </c>
      <c r="I137" s="129">
        <f t="shared" si="48"/>
        <v>0.82</v>
      </c>
      <c r="J137" s="129">
        <f t="shared" si="48"/>
        <v>0.82</v>
      </c>
      <c r="K137" s="129">
        <f t="shared" si="48"/>
        <v>0.82</v>
      </c>
      <c r="L137" s="129">
        <f t="shared" si="48"/>
        <v>0.82</v>
      </c>
      <c r="M137" s="129">
        <f t="shared" si="48"/>
        <v>0.82</v>
      </c>
      <c r="N137" s="129">
        <f t="shared" si="48"/>
        <v>0.82</v>
      </c>
      <c r="O137" s="129">
        <f t="shared" si="48"/>
        <v>0.82</v>
      </c>
      <c r="P137" s="129">
        <f t="shared" si="48"/>
        <v>0.82</v>
      </c>
      <c r="Q137" s="129">
        <f t="shared" si="48"/>
        <v>0.82</v>
      </c>
      <c r="R137" s="129">
        <f t="shared" si="48"/>
        <v>0.82</v>
      </c>
      <c r="S137" s="129">
        <f t="shared" si="48"/>
        <v>0.82</v>
      </c>
      <c r="T137" s="129">
        <f t="shared" si="49"/>
        <v>0.82</v>
      </c>
      <c r="U137" s="129">
        <f t="shared" si="49"/>
        <v>0.82</v>
      </c>
      <c r="V137" s="129">
        <f t="shared" si="49"/>
        <v>0.82</v>
      </c>
      <c r="W137" s="129">
        <f t="shared" si="49"/>
        <v>0.82</v>
      </c>
      <c r="X137" s="129">
        <f t="shared" si="49"/>
        <v>0.82</v>
      </c>
      <c r="Y137" s="129">
        <f t="shared" si="49"/>
        <v>0.82</v>
      </c>
      <c r="Z137" s="129">
        <f t="shared" si="49"/>
        <v>0.82</v>
      </c>
      <c r="AA137" s="129">
        <f t="shared" si="49"/>
        <v>0.82</v>
      </c>
      <c r="AB137" s="129">
        <f t="shared" si="49"/>
        <v>0.82</v>
      </c>
      <c r="AC137" s="129">
        <f t="shared" si="49"/>
        <v>0.82</v>
      </c>
      <c r="AD137" s="129">
        <f t="shared" si="49"/>
        <v>0.82</v>
      </c>
      <c r="AE137" s="129">
        <f t="shared" si="49"/>
        <v>0.82</v>
      </c>
      <c r="AF137" s="129">
        <f t="shared" si="49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0">AF139</f>
        <v>2</v>
      </c>
      <c r="C139" s="130">
        <v>2</v>
      </c>
      <c r="D139" s="129">
        <f t="shared" ref="D139:S145" si="51">C139</f>
        <v>2</v>
      </c>
      <c r="E139" s="129">
        <f t="shared" si="51"/>
        <v>2</v>
      </c>
      <c r="F139" s="129">
        <f t="shared" si="51"/>
        <v>2</v>
      </c>
      <c r="G139" s="129">
        <f t="shared" si="51"/>
        <v>2</v>
      </c>
      <c r="H139" s="129">
        <f t="shared" si="51"/>
        <v>2</v>
      </c>
      <c r="I139" s="129">
        <f t="shared" si="51"/>
        <v>2</v>
      </c>
      <c r="J139" s="129">
        <f t="shared" si="51"/>
        <v>2</v>
      </c>
      <c r="K139" s="129">
        <f t="shared" si="51"/>
        <v>2</v>
      </c>
      <c r="L139" s="129">
        <f t="shared" si="51"/>
        <v>2</v>
      </c>
      <c r="M139" s="129">
        <f t="shared" si="51"/>
        <v>2</v>
      </c>
      <c r="N139" s="129">
        <f t="shared" si="51"/>
        <v>2</v>
      </c>
      <c r="O139" s="129">
        <f t="shared" si="51"/>
        <v>2</v>
      </c>
      <c r="P139" s="129">
        <f t="shared" si="51"/>
        <v>2</v>
      </c>
      <c r="Q139" s="129">
        <f t="shared" si="51"/>
        <v>2</v>
      </c>
      <c r="R139" s="129">
        <f t="shared" si="51"/>
        <v>2</v>
      </c>
      <c r="S139" s="129">
        <f t="shared" si="51"/>
        <v>2</v>
      </c>
      <c r="T139" s="129">
        <f t="shared" ref="T139:AF145" si="52">S139</f>
        <v>2</v>
      </c>
      <c r="U139" s="129">
        <f t="shared" si="52"/>
        <v>2</v>
      </c>
      <c r="V139" s="129">
        <f t="shared" si="52"/>
        <v>2</v>
      </c>
      <c r="W139" s="129">
        <f t="shared" si="52"/>
        <v>2</v>
      </c>
      <c r="X139" s="129">
        <f t="shared" si="52"/>
        <v>2</v>
      </c>
      <c r="Y139" s="129">
        <f t="shared" si="52"/>
        <v>2</v>
      </c>
      <c r="Z139" s="129">
        <f t="shared" si="52"/>
        <v>2</v>
      </c>
      <c r="AA139" s="129">
        <f t="shared" si="52"/>
        <v>2</v>
      </c>
      <c r="AB139" s="129">
        <f t="shared" si="52"/>
        <v>2</v>
      </c>
      <c r="AC139" s="129">
        <f t="shared" si="52"/>
        <v>2</v>
      </c>
      <c r="AD139" s="129">
        <f t="shared" si="52"/>
        <v>2</v>
      </c>
      <c r="AE139" s="129">
        <f t="shared" si="52"/>
        <v>2</v>
      </c>
      <c r="AF139" s="129">
        <f t="shared" si="52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0"/>
        <v>5.61</v>
      </c>
      <c r="C140" s="130">
        <v>5.61</v>
      </c>
      <c r="D140" s="129">
        <f t="shared" si="51"/>
        <v>5.61</v>
      </c>
      <c r="E140" s="129">
        <f t="shared" si="51"/>
        <v>5.61</v>
      </c>
      <c r="F140" s="129">
        <f t="shared" si="51"/>
        <v>5.61</v>
      </c>
      <c r="G140" s="129">
        <f t="shared" si="51"/>
        <v>5.61</v>
      </c>
      <c r="H140" s="129">
        <f t="shared" si="51"/>
        <v>5.61</v>
      </c>
      <c r="I140" s="129">
        <f t="shared" si="51"/>
        <v>5.61</v>
      </c>
      <c r="J140" s="129">
        <f t="shared" si="51"/>
        <v>5.61</v>
      </c>
      <c r="K140" s="129">
        <f t="shared" si="51"/>
        <v>5.61</v>
      </c>
      <c r="L140" s="129">
        <f t="shared" si="51"/>
        <v>5.61</v>
      </c>
      <c r="M140" s="129">
        <f t="shared" si="51"/>
        <v>5.61</v>
      </c>
      <c r="N140" s="129">
        <f t="shared" si="51"/>
        <v>5.61</v>
      </c>
      <c r="O140" s="129">
        <f t="shared" si="51"/>
        <v>5.61</v>
      </c>
      <c r="P140" s="129">
        <f t="shared" si="51"/>
        <v>5.61</v>
      </c>
      <c r="Q140" s="129">
        <f t="shared" si="51"/>
        <v>5.61</v>
      </c>
      <c r="R140" s="129">
        <f t="shared" si="51"/>
        <v>5.61</v>
      </c>
      <c r="S140" s="129">
        <f t="shared" si="51"/>
        <v>5.61</v>
      </c>
      <c r="T140" s="129">
        <f t="shared" si="52"/>
        <v>5.61</v>
      </c>
      <c r="U140" s="129">
        <f t="shared" si="52"/>
        <v>5.61</v>
      </c>
      <c r="V140" s="129">
        <f t="shared" si="52"/>
        <v>5.61</v>
      </c>
      <c r="W140" s="129">
        <f t="shared" si="52"/>
        <v>5.61</v>
      </c>
      <c r="X140" s="129">
        <f t="shared" si="52"/>
        <v>5.61</v>
      </c>
      <c r="Y140" s="129">
        <f t="shared" si="52"/>
        <v>5.61</v>
      </c>
      <c r="Z140" s="129">
        <f t="shared" si="52"/>
        <v>5.61</v>
      </c>
      <c r="AA140" s="129">
        <f t="shared" si="52"/>
        <v>5.61</v>
      </c>
      <c r="AB140" s="129">
        <f t="shared" si="52"/>
        <v>5.61</v>
      </c>
      <c r="AC140" s="129">
        <f t="shared" si="52"/>
        <v>5.61</v>
      </c>
      <c r="AD140" s="129">
        <f t="shared" si="52"/>
        <v>5.61</v>
      </c>
      <c r="AE140" s="129">
        <f t="shared" si="52"/>
        <v>5.61</v>
      </c>
      <c r="AF140" s="129">
        <f t="shared" si="52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0"/>
        <v>1.25</v>
      </c>
      <c r="C141" s="130">
        <v>1.25</v>
      </c>
      <c r="D141" s="129">
        <f t="shared" si="51"/>
        <v>1.25</v>
      </c>
      <c r="E141" s="129">
        <f t="shared" si="51"/>
        <v>1.25</v>
      </c>
      <c r="F141" s="129">
        <f t="shared" si="51"/>
        <v>1.25</v>
      </c>
      <c r="G141" s="129">
        <f t="shared" si="51"/>
        <v>1.25</v>
      </c>
      <c r="H141" s="129">
        <f t="shared" si="51"/>
        <v>1.25</v>
      </c>
      <c r="I141" s="129">
        <f t="shared" si="51"/>
        <v>1.25</v>
      </c>
      <c r="J141" s="129">
        <f t="shared" si="51"/>
        <v>1.25</v>
      </c>
      <c r="K141" s="129">
        <f t="shared" si="51"/>
        <v>1.25</v>
      </c>
      <c r="L141" s="129">
        <f t="shared" si="51"/>
        <v>1.25</v>
      </c>
      <c r="M141" s="129">
        <f t="shared" si="51"/>
        <v>1.25</v>
      </c>
      <c r="N141" s="129">
        <f t="shared" si="51"/>
        <v>1.25</v>
      </c>
      <c r="O141" s="129">
        <f t="shared" si="51"/>
        <v>1.25</v>
      </c>
      <c r="P141" s="129">
        <f t="shared" si="51"/>
        <v>1.25</v>
      </c>
      <c r="Q141" s="129">
        <f t="shared" si="51"/>
        <v>1.25</v>
      </c>
      <c r="R141" s="129">
        <f t="shared" si="51"/>
        <v>1.25</v>
      </c>
      <c r="S141" s="129">
        <f t="shared" si="51"/>
        <v>1.25</v>
      </c>
      <c r="T141" s="129">
        <f t="shared" si="52"/>
        <v>1.25</v>
      </c>
      <c r="U141" s="129">
        <f t="shared" si="52"/>
        <v>1.25</v>
      </c>
      <c r="V141" s="129">
        <f t="shared" si="52"/>
        <v>1.25</v>
      </c>
      <c r="W141" s="129">
        <f t="shared" si="52"/>
        <v>1.25</v>
      </c>
      <c r="X141" s="129">
        <f t="shared" si="52"/>
        <v>1.25</v>
      </c>
      <c r="Y141" s="129">
        <f t="shared" si="52"/>
        <v>1.25</v>
      </c>
      <c r="Z141" s="129">
        <f t="shared" si="52"/>
        <v>1.25</v>
      </c>
      <c r="AA141" s="129">
        <f t="shared" si="52"/>
        <v>1.25</v>
      </c>
      <c r="AB141" s="129">
        <f t="shared" si="52"/>
        <v>1.25</v>
      </c>
      <c r="AC141" s="129">
        <f t="shared" si="52"/>
        <v>1.25</v>
      </c>
      <c r="AD141" s="129">
        <f t="shared" si="52"/>
        <v>1.25</v>
      </c>
      <c r="AE141" s="129">
        <f t="shared" si="52"/>
        <v>1.25</v>
      </c>
      <c r="AF141" s="129">
        <f t="shared" si="52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0"/>
        <v>1.25</v>
      </c>
      <c r="C142" s="130">
        <v>1.25</v>
      </c>
      <c r="D142" s="129">
        <f t="shared" si="51"/>
        <v>1.25</v>
      </c>
      <c r="E142" s="129">
        <f t="shared" si="51"/>
        <v>1.25</v>
      </c>
      <c r="F142" s="129">
        <f t="shared" si="51"/>
        <v>1.25</v>
      </c>
      <c r="G142" s="129">
        <f t="shared" si="51"/>
        <v>1.25</v>
      </c>
      <c r="H142" s="129">
        <f t="shared" si="51"/>
        <v>1.25</v>
      </c>
      <c r="I142" s="129">
        <f t="shared" si="51"/>
        <v>1.25</v>
      </c>
      <c r="J142" s="129">
        <f t="shared" si="51"/>
        <v>1.25</v>
      </c>
      <c r="K142" s="129">
        <f t="shared" si="51"/>
        <v>1.25</v>
      </c>
      <c r="L142" s="129">
        <f t="shared" si="51"/>
        <v>1.25</v>
      </c>
      <c r="M142" s="129">
        <f t="shared" si="51"/>
        <v>1.25</v>
      </c>
      <c r="N142" s="129">
        <f t="shared" si="51"/>
        <v>1.25</v>
      </c>
      <c r="O142" s="129">
        <f t="shared" si="51"/>
        <v>1.25</v>
      </c>
      <c r="P142" s="129">
        <f t="shared" si="51"/>
        <v>1.25</v>
      </c>
      <c r="Q142" s="129">
        <f t="shared" si="51"/>
        <v>1.25</v>
      </c>
      <c r="R142" s="129">
        <f t="shared" si="51"/>
        <v>1.25</v>
      </c>
      <c r="S142" s="129">
        <f t="shared" si="51"/>
        <v>1.25</v>
      </c>
      <c r="T142" s="129">
        <f t="shared" si="52"/>
        <v>1.25</v>
      </c>
      <c r="U142" s="129">
        <f t="shared" si="52"/>
        <v>1.25</v>
      </c>
      <c r="V142" s="129">
        <f t="shared" si="52"/>
        <v>1.25</v>
      </c>
      <c r="W142" s="129">
        <f t="shared" si="52"/>
        <v>1.25</v>
      </c>
      <c r="X142" s="129">
        <f t="shared" si="52"/>
        <v>1.25</v>
      </c>
      <c r="Y142" s="129">
        <f t="shared" si="52"/>
        <v>1.25</v>
      </c>
      <c r="Z142" s="129">
        <f t="shared" si="52"/>
        <v>1.25</v>
      </c>
      <c r="AA142" s="129">
        <f t="shared" si="52"/>
        <v>1.25</v>
      </c>
      <c r="AB142" s="129">
        <f t="shared" si="52"/>
        <v>1.25</v>
      </c>
      <c r="AC142" s="129">
        <f t="shared" si="52"/>
        <v>1.25</v>
      </c>
      <c r="AD142" s="129">
        <f t="shared" si="52"/>
        <v>1.25</v>
      </c>
      <c r="AE142" s="129">
        <f t="shared" si="52"/>
        <v>1.25</v>
      </c>
      <c r="AF142" s="129">
        <f t="shared" si="52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0"/>
        <v>1.46</v>
      </c>
      <c r="C143" s="130">
        <v>1.46</v>
      </c>
      <c r="D143" s="129">
        <f t="shared" si="51"/>
        <v>1.46</v>
      </c>
      <c r="E143" s="129">
        <f t="shared" si="51"/>
        <v>1.46</v>
      </c>
      <c r="F143" s="129">
        <f t="shared" si="51"/>
        <v>1.46</v>
      </c>
      <c r="G143" s="129">
        <f t="shared" si="51"/>
        <v>1.46</v>
      </c>
      <c r="H143" s="129">
        <f t="shared" si="51"/>
        <v>1.46</v>
      </c>
      <c r="I143" s="129">
        <f t="shared" si="51"/>
        <v>1.46</v>
      </c>
      <c r="J143" s="129">
        <f t="shared" si="51"/>
        <v>1.46</v>
      </c>
      <c r="K143" s="129">
        <f t="shared" si="51"/>
        <v>1.46</v>
      </c>
      <c r="L143" s="129">
        <f t="shared" si="51"/>
        <v>1.46</v>
      </c>
      <c r="M143" s="129">
        <f t="shared" si="51"/>
        <v>1.46</v>
      </c>
      <c r="N143" s="129">
        <f t="shared" si="51"/>
        <v>1.46</v>
      </c>
      <c r="O143" s="129">
        <f t="shared" si="51"/>
        <v>1.46</v>
      </c>
      <c r="P143" s="129">
        <f t="shared" si="51"/>
        <v>1.46</v>
      </c>
      <c r="Q143" s="129">
        <f t="shared" si="51"/>
        <v>1.46</v>
      </c>
      <c r="R143" s="129">
        <f t="shared" si="51"/>
        <v>1.46</v>
      </c>
      <c r="S143" s="129">
        <f t="shared" si="51"/>
        <v>1.46</v>
      </c>
      <c r="T143" s="129">
        <f t="shared" si="52"/>
        <v>1.46</v>
      </c>
      <c r="U143" s="129">
        <f t="shared" si="52"/>
        <v>1.46</v>
      </c>
      <c r="V143" s="129">
        <f t="shared" si="52"/>
        <v>1.46</v>
      </c>
      <c r="W143" s="129">
        <f t="shared" si="52"/>
        <v>1.46</v>
      </c>
      <c r="X143" s="129">
        <f t="shared" si="52"/>
        <v>1.46</v>
      </c>
      <c r="Y143" s="129">
        <f t="shared" si="52"/>
        <v>1.46</v>
      </c>
      <c r="Z143" s="129">
        <f t="shared" si="52"/>
        <v>1.46</v>
      </c>
      <c r="AA143" s="129">
        <f t="shared" si="52"/>
        <v>1.46</v>
      </c>
      <c r="AB143" s="129">
        <f t="shared" si="52"/>
        <v>1.46</v>
      </c>
      <c r="AC143" s="129">
        <f t="shared" si="52"/>
        <v>1.46</v>
      </c>
      <c r="AD143" s="129">
        <f t="shared" si="52"/>
        <v>1.46</v>
      </c>
      <c r="AE143" s="129">
        <f t="shared" si="52"/>
        <v>1.46</v>
      </c>
      <c r="AF143" s="129">
        <f t="shared" si="52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0"/>
        <v>3</v>
      </c>
      <c r="C144" s="130">
        <v>3</v>
      </c>
      <c r="D144" s="129">
        <f t="shared" si="51"/>
        <v>3</v>
      </c>
      <c r="E144" s="129">
        <f t="shared" si="51"/>
        <v>3</v>
      </c>
      <c r="F144" s="129">
        <f t="shared" si="51"/>
        <v>3</v>
      </c>
      <c r="G144" s="129">
        <f t="shared" si="51"/>
        <v>3</v>
      </c>
      <c r="H144" s="129">
        <f t="shared" si="51"/>
        <v>3</v>
      </c>
      <c r="I144" s="129">
        <f t="shared" si="51"/>
        <v>3</v>
      </c>
      <c r="J144" s="129">
        <f t="shared" si="51"/>
        <v>3</v>
      </c>
      <c r="K144" s="129">
        <f t="shared" si="51"/>
        <v>3</v>
      </c>
      <c r="L144" s="129">
        <f t="shared" si="51"/>
        <v>3</v>
      </c>
      <c r="M144" s="129">
        <f t="shared" si="51"/>
        <v>3</v>
      </c>
      <c r="N144" s="129">
        <f t="shared" si="51"/>
        <v>3</v>
      </c>
      <c r="O144" s="129">
        <f t="shared" si="51"/>
        <v>3</v>
      </c>
      <c r="P144" s="129">
        <f t="shared" si="51"/>
        <v>3</v>
      </c>
      <c r="Q144" s="129">
        <f t="shared" si="51"/>
        <v>3</v>
      </c>
      <c r="R144" s="129">
        <f t="shared" si="51"/>
        <v>3</v>
      </c>
      <c r="S144" s="129">
        <f t="shared" si="51"/>
        <v>3</v>
      </c>
      <c r="T144" s="129">
        <f t="shared" si="52"/>
        <v>3</v>
      </c>
      <c r="U144" s="129">
        <f t="shared" si="52"/>
        <v>3</v>
      </c>
      <c r="V144" s="129">
        <f t="shared" si="52"/>
        <v>3</v>
      </c>
      <c r="W144" s="129">
        <f t="shared" si="52"/>
        <v>3</v>
      </c>
      <c r="X144" s="129">
        <f t="shared" si="52"/>
        <v>3</v>
      </c>
      <c r="Y144" s="129">
        <f t="shared" si="52"/>
        <v>3</v>
      </c>
      <c r="Z144" s="129">
        <f t="shared" si="52"/>
        <v>3</v>
      </c>
      <c r="AA144" s="129">
        <f t="shared" si="52"/>
        <v>3</v>
      </c>
      <c r="AB144" s="129">
        <f t="shared" si="52"/>
        <v>3</v>
      </c>
      <c r="AC144" s="129">
        <f t="shared" si="52"/>
        <v>3</v>
      </c>
      <c r="AD144" s="129">
        <f t="shared" si="52"/>
        <v>3</v>
      </c>
      <c r="AE144" s="129">
        <f t="shared" si="52"/>
        <v>3</v>
      </c>
      <c r="AF144" s="129">
        <f t="shared" si="52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0"/>
        <v>3.3</v>
      </c>
      <c r="C145" s="130">
        <v>3.3</v>
      </c>
      <c r="D145" s="129">
        <f t="shared" si="51"/>
        <v>3.3</v>
      </c>
      <c r="E145" s="129">
        <f t="shared" si="51"/>
        <v>3.3</v>
      </c>
      <c r="F145" s="129">
        <f t="shared" si="51"/>
        <v>3.3</v>
      </c>
      <c r="G145" s="129">
        <f t="shared" si="51"/>
        <v>3.3</v>
      </c>
      <c r="H145" s="129">
        <f t="shared" si="51"/>
        <v>3.3</v>
      </c>
      <c r="I145" s="129">
        <f t="shared" si="51"/>
        <v>3.3</v>
      </c>
      <c r="J145" s="129">
        <f t="shared" si="51"/>
        <v>3.3</v>
      </c>
      <c r="K145" s="129">
        <f t="shared" si="51"/>
        <v>3.3</v>
      </c>
      <c r="L145" s="129">
        <f t="shared" si="51"/>
        <v>3.3</v>
      </c>
      <c r="M145" s="129">
        <f t="shared" si="51"/>
        <v>3.3</v>
      </c>
      <c r="N145" s="129">
        <f t="shared" si="51"/>
        <v>3.3</v>
      </c>
      <c r="O145" s="129">
        <f t="shared" si="51"/>
        <v>3.3</v>
      </c>
      <c r="P145" s="129">
        <f t="shared" si="51"/>
        <v>3.3</v>
      </c>
      <c r="Q145" s="129">
        <f t="shared" si="51"/>
        <v>3.3</v>
      </c>
      <c r="R145" s="129">
        <f t="shared" si="51"/>
        <v>3.3</v>
      </c>
      <c r="S145" s="129">
        <f t="shared" si="51"/>
        <v>3.3</v>
      </c>
      <c r="T145" s="129">
        <f t="shared" si="52"/>
        <v>3.3</v>
      </c>
      <c r="U145" s="129">
        <f t="shared" si="52"/>
        <v>3.3</v>
      </c>
      <c r="V145" s="129">
        <f t="shared" si="52"/>
        <v>3.3</v>
      </c>
      <c r="W145" s="129">
        <f t="shared" si="52"/>
        <v>3.3</v>
      </c>
      <c r="X145" s="129">
        <f t="shared" si="52"/>
        <v>3.3</v>
      </c>
      <c r="Y145" s="129">
        <f t="shared" si="52"/>
        <v>3.3</v>
      </c>
      <c r="Z145" s="129">
        <f t="shared" si="52"/>
        <v>3.3</v>
      </c>
      <c r="AA145" s="129">
        <f t="shared" si="52"/>
        <v>3.3</v>
      </c>
      <c r="AB145" s="129">
        <f t="shared" si="52"/>
        <v>3.3</v>
      </c>
      <c r="AC145" s="129">
        <f t="shared" si="52"/>
        <v>3.3</v>
      </c>
      <c r="AD145" s="129">
        <f t="shared" si="52"/>
        <v>3.3</v>
      </c>
      <c r="AE145" s="129">
        <f t="shared" si="52"/>
        <v>3.3</v>
      </c>
      <c r="AF145" s="129">
        <f t="shared" si="52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3">C147</f>
        <v>1.76</v>
      </c>
      <c r="E147" s="129">
        <f t="shared" si="53"/>
        <v>1.76</v>
      </c>
      <c r="F147" s="129">
        <f t="shared" si="53"/>
        <v>1.76</v>
      </c>
      <c r="G147" s="129">
        <f t="shared" si="53"/>
        <v>1.76</v>
      </c>
      <c r="H147" s="129">
        <f t="shared" si="53"/>
        <v>1.76</v>
      </c>
      <c r="I147" s="129">
        <f t="shared" si="53"/>
        <v>1.76</v>
      </c>
      <c r="J147" s="129">
        <f t="shared" si="53"/>
        <v>1.76</v>
      </c>
      <c r="K147" s="129">
        <f t="shared" si="53"/>
        <v>1.76</v>
      </c>
      <c r="L147" s="129">
        <f t="shared" si="53"/>
        <v>1.76</v>
      </c>
      <c r="M147" s="129">
        <f t="shared" si="53"/>
        <v>1.76</v>
      </c>
      <c r="N147" s="129">
        <f t="shared" si="53"/>
        <v>1.76</v>
      </c>
      <c r="O147" s="129">
        <f t="shared" si="53"/>
        <v>1.76</v>
      </c>
      <c r="P147" s="129">
        <f t="shared" si="53"/>
        <v>1.76</v>
      </c>
      <c r="Q147" s="129">
        <f t="shared" si="53"/>
        <v>1.76</v>
      </c>
      <c r="R147" s="129">
        <f t="shared" si="53"/>
        <v>1.76</v>
      </c>
      <c r="S147" s="129">
        <f t="shared" si="53"/>
        <v>1.76</v>
      </c>
      <c r="T147" s="129">
        <f t="shared" ref="T147:AF148" si="54">S147</f>
        <v>1.76</v>
      </c>
      <c r="U147" s="129">
        <f t="shared" si="54"/>
        <v>1.76</v>
      </c>
      <c r="V147" s="129">
        <f t="shared" si="54"/>
        <v>1.76</v>
      </c>
      <c r="W147" s="129">
        <f t="shared" si="54"/>
        <v>1.76</v>
      </c>
      <c r="X147" s="129">
        <f t="shared" si="54"/>
        <v>1.76</v>
      </c>
      <c r="Y147" s="129">
        <f t="shared" si="54"/>
        <v>1.76</v>
      </c>
      <c r="Z147" s="129">
        <f t="shared" si="54"/>
        <v>1.76</v>
      </c>
      <c r="AA147" s="129">
        <f t="shared" si="54"/>
        <v>1.76</v>
      </c>
      <c r="AB147" s="129">
        <f t="shared" si="54"/>
        <v>1.76</v>
      </c>
      <c r="AC147" s="129">
        <f t="shared" si="54"/>
        <v>1.76</v>
      </c>
      <c r="AD147" s="129">
        <f t="shared" si="54"/>
        <v>1.76</v>
      </c>
      <c r="AE147" s="129">
        <f t="shared" si="54"/>
        <v>1.76</v>
      </c>
      <c r="AF147" s="129">
        <f t="shared" si="54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3"/>
        <v>0</v>
      </c>
      <c r="E148" s="129">
        <f t="shared" si="53"/>
        <v>0</v>
      </c>
      <c r="F148" s="129">
        <f t="shared" si="53"/>
        <v>0</v>
      </c>
      <c r="G148" s="129">
        <f t="shared" si="53"/>
        <v>0</v>
      </c>
      <c r="H148" s="129">
        <f t="shared" si="53"/>
        <v>0</v>
      </c>
      <c r="I148" s="129">
        <f t="shared" si="53"/>
        <v>0</v>
      </c>
      <c r="J148" s="129">
        <f t="shared" si="53"/>
        <v>0</v>
      </c>
      <c r="K148" s="129">
        <f t="shared" si="53"/>
        <v>0</v>
      </c>
      <c r="L148" s="129">
        <f t="shared" si="53"/>
        <v>0</v>
      </c>
      <c r="M148" s="129">
        <f t="shared" si="53"/>
        <v>0</v>
      </c>
      <c r="N148" s="129">
        <f t="shared" si="53"/>
        <v>0</v>
      </c>
      <c r="O148" s="129">
        <f t="shared" si="53"/>
        <v>0</v>
      </c>
      <c r="P148" s="129">
        <f t="shared" si="53"/>
        <v>0</v>
      </c>
      <c r="Q148" s="129">
        <f t="shared" si="53"/>
        <v>0</v>
      </c>
      <c r="R148" s="129">
        <f t="shared" si="53"/>
        <v>0</v>
      </c>
      <c r="S148" s="129">
        <f t="shared" si="53"/>
        <v>0</v>
      </c>
      <c r="T148" s="129">
        <f t="shared" si="54"/>
        <v>0</v>
      </c>
      <c r="U148" s="129">
        <f t="shared" si="54"/>
        <v>0</v>
      </c>
      <c r="V148" s="129">
        <f t="shared" si="54"/>
        <v>0</v>
      </c>
      <c r="W148" s="129">
        <f t="shared" si="54"/>
        <v>0</v>
      </c>
      <c r="X148" s="129">
        <f t="shared" si="54"/>
        <v>0</v>
      </c>
      <c r="Y148" s="129">
        <f t="shared" si="54"/>
        <v>0</v>
      </c>
      <c r="Z148" s="129">
        <f t="shared" si="54"/>
        <v>0</v>
      </c>
      <c r="AA148" s="129">
        <f t="shared" si="54"/>
        <v>0</v>
      </c>
      <c r="AB148" s="129">
        <f t="shared" si="54"/>
        <v>0</v>
      </c>
      <c r="AC148" s="129">
        <f t="shared" si="54"/>
        <v>0</v>
      </c>
      <c r="AD148" s="129">
        <f t="shared" si="54"/>
        <v>0</v>
      </c>
      <c r="AE148" s="129">
        <f t="shared" si="54"/>
        <v>0</v>
      </c>
      <c r="AF148" s="129">
        <f t="shared" si="54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5">C150</f>
        <v>0.1</v>
      </c>
      <c r="E150" s="129">
        <f t="shared" si="55"/>
        <v>0.1</v>
      </c>
      <c r="F150" s="129">
        <f t="shared" si="55"/>
        <v>0.1</v>
      </c>
      <c r="G150" s="129">
        <f t="shared" si="55"/>
        <v>0.1</v>
      </c>
      <c r="H150" s="129">
        <f t="shared" si="55"/>
        <v>0.1</v>
      </c>
      <c r="I150" s="129">
        <f t="shared" si="55"/>
        <v>0.1</v>
      </c>
      <c r="J150" s="129">
        <f t="shared" si="55"/>
        <v>0.1</v>
      </c>
      <c r="K150" s="129">
        <f t="shared" si="55"/>
        <v>0.1</v>
      </c>
      <c r="L150" s="129">
        <f t="shared" si="55"/>
        <v>0.1</v>
      </c>
      <c r="M150" s="129">
        <f t="shared" si="55"/>
        <v>0.1</v>
      </c>
      <c r="N150" s="129">
        <f t="shared" si="55"/>
        <v>0.1</v>
      </c>
      <c r="O150" s="129">
        <f t="shared" si="55"/>
        <v>0.1</v>
      </c>
      <c r="P150" s="129">
        <f t="shared" si="55"/>
        <v>0.1</v>
      </c>
      <c r="Q150" s="129">
        <f t="shared" si="55"/>
        <v>0.1</v>
      </c>
      <c r="R150" s="129">
        <f t="shared" si="55"/>
        <v>0.1</v>
      </c>
      <c r="S150" s="129">
        <f t="shared" si="55"/>
        <v>0.1</v>
      </c>
      <c r="T150" s="129">
        <f t="shared" ref="T150:AF153" si="56">S150</f>
        <v>0.1</v>
      </c>
      <c r="U150" s="129">
        <f t="shared" si="56"/>
        <v>0.1</v>
      </c>
      <c r="V150" s="129">
        <f t="shared" si="56"/>
        <v>0.1</v>
      </c>
      <c r="W150" s="129">
        <f t="shared" si="56"/>
        <v>0.1</v>
      </c>
      <c r="X150" s="129">
        <f t="shared" si="56"/>
        <v>0.1</v>
      </c>
      <c r="Y150" s="129">
        <f t="shared" si="56"/>
        <v>0.1</v>
      </c>
      <c r="Z150" s="129">
        <f t="shared" si="56"/>
        <v>0.1</v>
      </c>
      <c r="AA150" s="129">
        <f t="shared" si="56"/>
        <v>0.1</v>
      </c>
      <c r="AB150" s="129">
        <f t="shared" si="56"/>
        <v>0.1</v>
      </c>
      <c r="AC150" s="129">
        <f t="shared" si="56"/>
        <v>0.1</v>
      </c>
      <c r="AD150" s="129">
        <f t="shared" si="56"/>
        <v>0.1</v>
      </c>
      <c r="AE150" s="129">
        <f t="shared" si="56"/>
        <v>0.1</v>
      </c>
      <c r="AF150" s="129">
        <f t="shared" si="56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5"/>
        <v>2.0499999999999998</v>
      </c>
      <c r="E151" s="129">
        <f t="shared" si="55"/>
        <v>2.0499999999999998</v>
      </c>
      <c r="F151" s="129">
        <f t="shared" si="55"/>
        <v>2.0499999999999998</v>
      </c>
      <c r="G151" s="129">
        <f t="shared" si="55"/>
        <v>2.0499999999999998</v>
      </c>
      <c r="H151" s="129">
        <f t="shared" si="55"/>
        <v>2.0499999999999998</v>
      </c>
      <c r="I151" s="129">
        <f t="shared" si="55"/>
        <v>2.0499999999999998</v>
      </c>
      <c r="J151" s="129">
        <f t="shared" si="55"/>
        <v>2.0499999999999998</v>
      </c>
      <c r="K151" s="129">
        <f t="shared" si="55"/>
        <v>2.0499999999999998</v>
      </c>
      <c r="L151" s="129">
        <f t="shared" si="55"/>
        <v>2.0499999999999998</v>
      </c>
      <c r="M151" s="129">
        <f t="shared" si="55"/>
        <v>2.0499999999999998</v>
      </c>
      <c r="N151" s="129">
        <f t="shared" si="55"/>
        <v>2.0499999999999998</v>
      </c>
      <c r="O151" s="129">
        <f t="shared" si="55"/>
        <v>2.0499999999999998</v>
      </c>
      <c r="P151" s="129">
        <f t="shared" si="55"/>
        <v>2.0499999999999998</v>
      </c>
      <c r="Q151" s="129">
        <f t="shared" si="55"/>
        <v>2.0499999999999998</v>
      </c>
      <c r="R151" s="129">
        <f t="shared" si="55"/>
        <v>2.0499999999999998</v>
      </c>
      <c r="S151" s="129">
        <f t="shared" si="55"/>
        <v>2.0499999999999998</v>
      </c>
      <c r="T151" s="129">
        <f t="shared" si="56"/>
        <v>2.0499999999999998</v>
      </c>
      <c r="U151" s="129">
        <f t="shared" si="56"/>
        <v>2.0499999999999998</v>
      </c>
      <c r="V151" s="129">
        <f t="shared" si="56"/>
        <v>2.0499999999999998</v>
      </c>
      <c r="W151" s="129">
        <f t="shared" si="56"/>
        <v>2.0499999999999998</v>
      </c>
      <c r="X151" s="129">
        <f t="shared" si="56"/>
        <v>2.0499999999999998</v>
      </c>
      <c r="Y151" s="129">
        <f t="shared" si="56"/>
        <v>2.0499999999999998</v>
      </c>
      <c r="Z151" s="129">
        <f t="shared" si="56"/>
        <v>2.0499999999999998</v>
      </c>
      <c r="AA151" s="129">
        <f t="shared" si="56"/>
        <v>2.0499999999999998</v>
      </c>
      <c r="AB151" s="129">
        <f t="shared" si="56"/>
        <v>2.0499999999999998</v>
      </c>
      <c r="AC151" s="129">
        <f t="shared" si="56"/>
        <v>2.0499999999999998</v>
      </c>
      <c r="AD151" s="129">
        <f t="shared" si="56"/>
        <v>2.0499999999999998</v>
      </c>
      <c r="AE151" s="129">
        <f t="shared" si="56"/>
        <v>2.0499999999999998</v>
      </c>
      <c r="AF151" s="129">
        <f t="shared" si="56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5"/>
        <v>2.7</v>
      </c>
      <c r="E152" s="129">
        <f t="shared" si="55"/>
        <v>2.7</v>
      </c>
      <c r="F152" s="129">
        <f t="shared" si="55"/>
        <v>2.7</v>
      </c>
      <c r="G152" s="129">
        <f t="shared" si="55"/>
        <v>2.7</v>
      </c>
      <c r="H152" s="129">
        <f t="shared" si="55"/>
        <v>2.7</v>
      </c>
      <c r="I152" s="129">
        <f t="shared" si="55"/>
        <v>2.7</v>
      </c>
      <c r="J152" s="129">
        <f t="shared" si="55"/>
        <v>2.7</v>
      </c>
      <c r="K152" s="129">
        <f t="shared" si="55"/>
        <v>2.7</v>
      </c>
      <c r="L152" s="129">
        <f t="shared" si="55"/>
        <v>2.7</v>
      </c>
      <c r="M152" s="129">
        <f t="shared" si="55"/>
        <v>2.7</v>
      </c>
      <c r="N152" s="129">
        <f t="shared" si="55"/>
        <v>2.7</v>
      </c>
      <c r="O152" s="129">
        <f t="shared" si="55"/>
        <v>2.7</v>
      </c>
      <c r="P152" s="129">
        <f t="shared" si="55"/>
        <v>2.7</v>
      </c>
      <c r="Q152" s="129">
        <f t="shared" si="55"/>
        <v>2.7</v>
      </c>
      <c r="R152" s="129">
        <f t="shared" si="55"/>
        <v>2.7</v>
      </c>
      <c r="S152" s="129">
        <f t="shared" si="55"/>
        <v>2.7</v>
      </c>
      <c r="T152" s="129">
        <f t="shared" si="56"/>
        <v>2.7</v>
      </c>
      <c r="U152" s="129">
        <f t="shared" si="56"/>
        <v>2.7</v>
      </c>
      <c r="V152" s="129">
        <f t="shared" si="56"/>
        <v>2.7</v>
      </c>
      <c r="W152" s="129">
        <f t="shared" si="56"/>
        <v>2.7</v>
      </c>
      <c r="X152" s="129">
        <f t="shared" si="56"/>
        <v>2.7</v>
      </c>
      <c r="Y152" s="129">
        <f t="shared" si="56"/>
        <v>2.7</v>
      </c>
      <c r="Z152" s="129">
        <f t="shared" si="56"/>
        <v>2.7</v>
      </c>
      <c r="AA152" s="129">
        <f t="shared" si="56"/>
        <v>2.7</v>
      </c>
      <c r="AB152" s="129">
        <f t="shared" si="56"/>
        <v>2.7</v>
      </c>
      <c r="AC152" s="129">
        <f t="shared" si="56"/>
        <v>2.7</v>
      </c>
      <c r="AD152" s="129">
        <f t="shared" si="56"/>
        <v>2.7</v>
      </c>
      <c r="AE152" s="129">
        <f t="shared" si="56"/>
        <v>2.7</v>
      </c>
      <c r="AF152" s="129">
        <f t="shared" si="56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5"/>
        <v>2.15</v>
      </c>
      <c r="E153" s="129">
        <f t="shared" si="55"/>
        <v>2.15</v>
      </c>
      <c r="F153" s="129">
        <f t="shared" si="55"/>
        <v>2.15</v>
      </c>
      <c r="G153" s="129">
        <f t="shared" si="55"/>
        <v>2.15</v>
      </c>
      <c r="H153" s="129">
        <f t="shared" si="55"/>
        <v>2.15</v>
      </c>
      <c r="I153" s="129">
        <f t="shared" si="55"/>
        <v>2.15</v>
      </c>
      <c r="J153" s="129">
        <f t="shared" si="55"/>
        <v>2.15</v>
      </c>
      <c r="K153" s="129">
        <f t="shared" si="55"/>
        <v>2.15</v>
      </c>
      <c r="L153" s="129">
        <f t="shared" si="55"/>
        <v>2.15</v>
      </c>
      <c r="M153" s="129">
        <f t="shared" si="55"/>
        <v>2.15</v>
      </c>
      <c r="N153" s="129">
        <f t="shared" si="55"/>
        <v>2.15</v>
      </c>
      <c r="O153" s="129">
        <f t="shared" si="55"/>
        <v>2.15</v>
      </c>
      <c r="P153" s="129">
        <f t="shared" si="55"/>
        <v>2.15</v>
      </c>
      <c r="Q153" s="129">
        <f t="shared" si="55"/>
        <v>2.15</v>
      </c>
      <c r="R153" s="129">
        <f t="shared" si="55"/>
        <v>2.15</v>
      </c>
      <c r="S153" s="129">
        <f t="shared" si="55"/>
        <v>2.15</v>
      </c>
      <c r="T153" s="129">
        <f t="shared" si="56"/>
        <v>2.15</v>
      </c>
      <c r="U153" s="129">
        <f t="shared" si="56"/>
        <v>2.15</v>
      </c>
      <c r="V153" s="129">
        <f t="shared" si="56"/>
        <v>2.15</v>
      </c>
      <c r="W153" s="129">
        <f t="shared" si="56"/>
        <v>2.15</v>
      </c>
      <c r="X153" s="129">
        <f t="shared" si="56"/>
        <v>2.15</v>
      </c>
      <c r="Y153" s="129">
        <f t="shared" si="56"/>
        <v>2.15</v>
      </c>
      <c r="Z153" s="129">
        <f t="shared" si="56"/>
        <v>2.15</v>
      </c>
      <c r="AA153" s="129">
        <f t="shared" si="56"/>
        <v>2.15</v>
      </c>
      <c r="AB153" s="129">
        <f t="shared" si="56"/>
        <v>2.15</v>
      </c>
      <c r="AC153" s="129">
        <f t="shared" si="56"/>
        <v>2.15</v>
      </c>
      <c r="AD153" s="129">
        <f t="shared" si="56"/>
        <v>2.15</v>
      </c>
      <c r="AE153" s="129">
        <f t="shared" si="56"/>
        <v>2.15</v>
      </c>
      <c r="AF153" s="129">
        <f t="shared" si="56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57">AF155</f>
        <v>0.9</v>
      </c>
      <c r="C155" s="130">
        <v>0.9</v>
      </c>
      <c r="D155" s="129">
        <f t="shared" ref="D155:S167" si="58">C155</f>
        <v>0.9</v>
      </c>
      <c r="E155" s="129">
        <f t="shared" si="58"/>
        <v>0.9</v>
      </c>
      <c r="F155" s="129">
        <f t="shared" si="58"/>
        <v>0.9</v>
      </c>
      <c r="G155" s="129">
        <f t="shared" si="58"/>
        <v>0.9</v>
      </c>
      <c r="H155" s="129">
        <f t="shared" si="58"/>
        <v>0.9</v>
      </c>
      <c r="I155" s="129">
        <f t="shared" si="58"/>
        <v>0.9</v>
      </c>
      <c r="J155" s="129">
        <f t="shared" si="58"/>
        <v>0.9</v>
      </c>
      <c r="K155" s="129">
        <f t="shared" si="58"/>
        <v>0.9</v>
      </c>
      <c r="L155" s="129">
        <f t="shared" si="58"/>
        <v>0.9</v>
      </c>
      <c r="M155" s="129">
        <f t="shared" si="58"/>
        <v>0.9</v>
      </c>
      <c r="N155" s="129">
        <f t="shared" si="58"/>
        <v>0.9</v>
      </c>
      <c r="O155" s="129">
        <f t="shared" si="58"/>
        <v>0.9</v>
      </c>
      <c r="P155" s="129">
        <f t="shared" si="58"/>
        <v>0.9</v>
      </c>
      <c r="Q155" s="129">
        <f t="shared" si="58"/>
        <v>0.9</v>
      </c>
      <c r="R155" s="129">
        <f t="shared" si="58"/>
        <v>0.9</v>
      </c>
      <c r="S155" s="129">
        <f t="shared" si="58"/>
        <v>0.9</v>
      </c>
      <c r="T155" s="129">
        <f t="shared" ref="S155:AF167" si="59">S155</f>
        <v>0.9</v>
      </c>
      <c r="U155" s="129">
        <f t="shared" si="59"/>
        <v>0.9</v>
      </c>
      <c r="V155" s="129">
        <f t="shared" si="59"/>
        <v>0.9</v>
      </c>
      <c r="W155" s="129">
        <f t="shared" si="59"/>
        <v>0.9</v>
      </c>
      <c r="X155" s="129">
        <f t="shared" si="59"/>
        <v>0.9</v>
      </c>
      <c r="Y155" s="129">
        <f t="shared" si="59"/>
        <v>0.9</v>
      </c>
      <c r="Z155" s="129">
        <f t="shared" si="59"/>
        <v>0.9</v>
      </c>
      <c r="AA155" s="129">
        <f t="shared" si="59"/>
        <v>0.9</v>
      </c>
      <c r="AB155" s="129">
        <f t="shared" si="59"/>
        <v>0.9</v>
      </c>
      <c r="AC155" s="129">
        <f t="shared" si="59"/>
        <v>0.9</v>
      </c>
      <c r="AD155" s="129">
        <f t="shared" si="59"/>
        <v>0.9</v>
      </c>
      <c r="AE155" s="129">
        <f t="shared" si="59"/>
        <v>0.9</v>
      </c>
      <c r="AF155" s="129">
        <f t="shared" si="59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57"/>
        <v>1.08</v>
      </c>
      <c r="C156" s="130">
        <v>1.08</v>
      </c>
      <c r="D156" s="129">
        <f t="shared" si="58"/>
        <v>1.08</v>
      </c>
      <c r="E156" s="129">
        <f t="shared" si="58"/>
        <v>1.08</v>
      </c>
      <c r="F156" s="129">
        <f t="shared" si="58"/>
        <v>1.08</v>
      </c>
      <c r="G156" s="129">
        <f t="shared" si="58"/>
        <v>1.08</v>
      </c>
      <c r="H156" s="129">
        <f t="shared" si="58"/>
        <v>1.08</v>
      </c>
      <c r="I156" s="129">
        <f t="shared" si="58"/>
        <v>1.08</v>
      </c>
      <c r="J156" s="129">
        <f t="shared" si="58"/>
        <v>1.08</v>
      </c>
      <c r="K156" s="129">
        <f t="shared" si="58"/>
        <v>1.08</v>
      </c>
      <c r="L156" s="129">
        <f t="shared" si="58"/>
        <v>1.08</v>
      </c>
      <c r="M156" s="129">
        <f t="shared" si="58"/>
        <v>1.08</v>
      </c>
      <c r="N156" s="129">
        <f t="shared" si="58"/>
        <v>1.08</v>
      </c>
      <c r="O156" s="129">
        <f t="shared" si="58"/>
        <v>1.08</v>
      </c>
      <c r="P156" s="129">
        <f t="shared" si="58"/>
        <v>1.08</v>
      </c>
      <c r="Q156" s="129">
        <f t="shared" si="58"/>
        <v>1.08</v>
      </c>
      <c r="R156" s="129">
        <f t="shared" si="58"/>
        <v>1.08</v>
      </c>
      <c r="S156" s="129">
        <f t="shared" si="58"/>
        <v>1.08</v>
      </c>
      <c r="T156" s="129">
        <f t="shared" si="59"/>
        <v>1.08</v>
      </c>
      <c r="U156" s="129">
        <f t="shared" si="59"/>
        <v>1.08</v>
      </c>
      <c r="V156" s="129">
        <f t="shared" si="59"/>
        <v>1.08</v>
      </c>
      <c r="W156" s="129">
        <f t="shared" si="59"/>
        <v>1.08</v>
      </c>
      <c r="X156" s="129">
        <f t="shared" si="59"/>
        <v>1.08</v>
      </c>
      <c r="Y156" s="129">
        <f t="shared" si="59"/>
        <v>1.08</v>
      </c>
      <c r="Z156" s="129">
        <f t="shared" si="59"/>
        <v>1.08</v>
      </c>
      <c r="AA156" s="129">
        <f t="shared" si="59"/>
        <v>1.08</v>
      </c>
      <c r="AB156" s="129">
        <f t="shared" si="59"/>
        <v>1.08</v>
      </c>
      <c r="AC156" s="129">
        <f t="shared" si="59"/>
        <v>1.08</v>
      </c>
      <c r="AD156" s="129">
        <f t="shared" si="59"/>
        <v>1.08</v>
      </c>
      <c r="AE156" s="129">
        <f t="shared" si="59"/>
        <v>1.08</v>
      </c>
      <c r="AF156" s="129">
        <f t="shared" si="59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57"/>
        <v>2.37</v>
      </c>
      <c r="C157" s="130">
        <v>2.37</v>
      </c>
      <c r="D157" s="129">
        <f t="shared" si="58"/>
        <v>2.37</v>
      </c>
      <c r="E157" s="129">
        <f t="shared" si="58"/>
        <v>2.37</v>
      </c>
      <c r="F157" s="129">
        <f t="shared" si="58"/>
        <v>2.37</v>
      </c>
      <c r="G157" s="129">
        <f t="shared" si="58"/>
        <v>2.37</v>
      </c>
      <c r="H157" s="129">
        <f t="shared" si="58"/>
        <v>2.37</v>
      </c>
      <c r="I157" s="129">
        <f t="shared" si="58"/>
        <v>2.37</v>
      </c>
      <c r="J157" s="129">
        <f t="shared" si="58"/>
        <v>2.37</v>
      </c>
      <c r="K157" s="129">
        <f t="shared" si="58"/>
        <v>2.37</v>
      </c>
      <c r="L157" s="129">
        <f t="shared" si="58"/>
        <v>2.37</v>
      </c>
      <c r="M157" s="129">
        <f t="shared" si="58"/>
        <v>2.37</v>
      </c>
      <c r="N157" s="129">
        <f t="shared" si="58"/>
        <v>2.37</v>
      </c>
      <c r="O157" s="129">
        <f t="shared" si="58"/>
        <v>2.37</v>
      </c>
      <c r="P157" s="129">
        <f t="shared" si="58"/>
        <v>2.37</v>
      </c>
      <c r="Q157" s="129">
        <f t="shared" si="58"/>
        <v>2.37</v>
      </c>
      <c r="R157" s="129">
        <f t="shared" si="58"/>
        <v>2.37</v>
      </c>
      <c r="S157" s="129">
        <f t="shared" si="58"/>
        <v>2.37</v>
      </c>
      <c r="T157" s="129">
        <f t="shared" si="59"/>
        <v>2.37</v>
      </c>
      <c r="U157" s="129">
        <f t="shared" si="59"/>
        <v>2.37</v>
      </c>
      <c r="V157" s="129">
        <f t="shared" si="59"/>
        <v>2.37</v>
      </c>
      <c r="W157" s="129">
        <f t="shared" si="59"/>
        <v>2.37</v>
      </c>
      <c r="X157" s="129">
        <f t="shared" si="59"/>
        <v>2.37</v>
      </c>
      <c r="Y157" s="129">
        <f t="shared" si="59"/>
        <v>2.37</v>
      </c>
      <c r="Z157" s="129">
        <f t="shared" si="59"/>
        <v>2.37</v>
      </c>
      <c r="AA157" s="129">
        <f t="shared" si="59"/>
        <v>2.37</v>
      </c>
      <c r="AB157" s="129">
        <f t="shared" si="59"/>
        <v>2.37</v>
      </c>
      <c r="AC157" s="129">
        <f t="shared" si="59"/>
        <v>2.37</v>
      </c>
      <c r="AD157" s="129">
        <f t="shared" si="59"/>
        <v>2.37</v>
      </c>
      <c r="AE157" s="129">
        <f t="shared" si="59"/>
        <v>2.37</v>
      </c>
      <c r="AF157" s="129">
        <f t="shared" si="59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57"/>
        <v>1.81</v>
      </c>
      <c r="C158" s="130">
        <v>1.81</v>
      </c>
      <c r="D158" s="129">
        <f t="shared" si="58"/>
        <v>1.81</v>
      </c>
      <c r="E158" s="129">
        <f t="shared" si="58"/>
        <v>1.81</v>
      </c>
      <c r="F158" s="129">
        <f t="shared" si="58"/>
        <v>1.81</v>
      </c>
      <c r="G158" s="129">
        <f t="shared" si="58"/>
        <v>1.81</v>
      </c>
      <c r="H158" s="129">
        <f t="shared" si="58"/>
        <v>1.81</v>
      </c>
      <c r="I158" s="129">
        <f t="shared" si="58"/>
        <v>1.81</v>
      </c>
      <c r="J158" s="129">
        <f t="shared" si="58"/>
        <v>1.81</v>
      </c>
      <c r="K158" s="129">
        <f t="shared" si="58"/>
        <v>1.81</v>
      </c>
      <c r="L158" s="129">
        <f t="shared" si="58"/>
        <v>1.81</v>
      </c>
      <c r="M158" s="129">
        <f t="shared" si="58"/>
        <v>1.81</v>
      </c>
      <c r="N158" s="129">
        <f t="shared" si="58"/>
        <v>1.81</v>
      </c>
      <c r="O158" s="129">
        <f t="shared" si="58"/>
        <v>1.81</v>
      </c>
      <c r="P158" s="129">
        <f t="shared" si="58"/>
        <v>1.81</v>
      </c>
      <c r="Q158" s="129">
        <f t="shared" si="58"/>
        <v>1.81</v>
      </c>
      <c r="R158" s="129">
        <f t="shared" si="58"/>
        <v>1.81</v>
      </c>
      <c r="S158" s="129">
        <f t="shared" si="58"/>
        <v>1.81</v>
      </c>
      <c r="T158" s="129">
        <f t="shared" si="59"/>
        <v>1.81</v>
      </c>
      <c r="U158" s="129">
        <f t="shared" si="59"/>
        <v>1.81</v>
      </c>
      <c r="V158" s="129">
        <f t="shared" si="59"/>
        <v>1.81</v>
      </c>
      <c r="W158" s="129">
        <f t="shared" si="59"/>
        <v>1.81</v>
      </c>
      <c r="X158" s="129">
        <f t="shared" si="59"/>
        <v>1.81</v>
      </c>
      <c r="Y158" s="129">
        <f t="shared" si="59"/>
        <v>1.81</v>
      </c>
      <c r="Z158" s="129">
        <f t="shared" si="59"/>
        <v>1.81</v>
      </c>
      <c r="AA158" s="129">
        <f t="shared" si="59"/>
        <v>1.81</v>
      </c>
      <c r="AB158" s="129">
        <f t="shared" si="59"/>
        <v>1.81</v>
      </c>
      <c r="AC158" s="129">
        <f t="shared" si="59"/>
        <v>1.81</v>
      </c>
      <c r="AD158" s="129">
        <f t="shared" si="59"/>
        <v>1.81</v>
      </c>
      <c r="AE158" s="129">
        <f t="shared" si="59"/>
        <v>1.81</v>
      </c>
      <c r="AF158" s="129">
        <f t="shared" si="59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57"/>
        <v>1.0900000000000001</v>
      </c>
      <c r="C159" s="130">
        <v>1.0900000000000001</v>
      </c>
      <c r="D159" s="129">
        <f t="shared" si="58"/>
        <v>1.0900000000000001</v>
      </c>
      <c r="E159" s="129">
        <f t="shared" si="58"/>
        <v>1.0900000000000001</v>
      </c>
      <c r="F159" s="129">
        <f t="shared" si="58"/>
        <v>1.0900000000000001</v>
      </c>
      <c r="G159" s="129">
        <f t="shared" si="58"/>
        <v>1.0900000000000001</v>
      </c>
      <c r="H159" s="129">
        <f t="shared" si="58"/>
        <v>1.0900000000000001</v>
      </c>
      <c r="I159" s="129">
        <f t="shared" si="58"/>
        <v>1.0900000000000001</v>
      </c>
      <c r="J159" s="129">
        <f t="shared" si="58"/>
        <v>1.0900000000000001</v>
      </c>
      <c r="K159" s="129">
        <f t="shared" si="58"/>
        <v>1.0900000000000001</v>
      </c>
      <c r="L159" s="129">
        <f t="shared" si="58"/>
        <v>1.0900000000000001</v>
      </c>
      <c r="M159" s="129">
        <f t="shared" si="58"/>
        <v>1.0900000000000001</v>
      </c>
      <c r="N159" s="129">
        <f t="shared" si="58"/>
        <v>1.0900000000000001</v>
      </c>
      <c r="O159" s="129">
        <f t="shared" si="58"/>
        <v>1.0900000000000001</v>
      </c>
      <c r="P159" s="129">
        <f t="shared" si="58"/>
        <v>1.0900000000000001</v>
      </c>
      <c r="Q159" s="129">
        <f t="shared" si="58"/>
        <v>1.0900000000000001</v>
      </c>
      <c r="R159" s="129">
        <f t="shared" si="58"/>
        <v>1.0900000000000001</v>
      </c>
      <c r="S159" s="129">
        <f t="shared" si="58"/>
        <v>1.0900000000000001</v>
      </c>
      <c r="T159" s="129">
        <f t="shared" si="59"/>
        <v>1.0900000000000001</v>
      </c>
      <c r="U159" s="129">
        <f t="shared" si="59"/>
        <v>1.0900000000000001</v>
      </c>
      <c r="V159" s="129">
        <f t="shared" si="59"/>
        <v>1.0900000000000001</v>
      </c>
      <c r="W159" s="129">
        <f t="shared" si="59"/>
        <v>1.0900000000000001</v>
      </c>
      <c r="X159" s="129">
        <f t="shared" si="59"/>
        <v>1.0900000000000001</v>
      </c>
      <c r="Y159" s="129">
        <f t="shared" si="59"/>
        <v>1.0900000000000001</v>
      </c>
      <c r="Z159" s="129">
        <f t="shared" si="59"/>
        <v>1.0900000000000001</v>
      </c>
      <c r="AA159" s="129">
        <f t="shared" si="59"/>
        <v>1.0900000000000001</v>
      </c>
      <c r="AB159" s="129">
        <f t="shared" si="59"/>
        <v>1.0900000000000001</v>
      </c>
      <c r="AC159" s="129">
        <f t="shared" si="59"/>
        <v>1.0900000000000001</v>
      </c>
      <c r="AD159" s="129">
        <f t="shared" si="59"/>
        <v>1.0900000000000001</v>
      </c>
      <c r="AE159" s="129">
        <f t="shared" si="59"/>
        <v>1.0900000000000001</v>
      </c>
      <c r="AF159" s="129">
        <f t="shared" si="59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57"/>
        <v>1.58</v>
      </c>
      <c r="C160" s="130">
        <v>1.58</v>
      </c>
      <c r="D160" s="129">
        <f t="shared" si="58"/>
        <v>1.58</v>
      </c>
      <c r="E160" s="129">
        <f t="shared" si="58"/>
        <v>1.58</v>
      </c>
      <c r="F160" s="129">
        <f t="shared" si="58"/>
        <v>1.58</v>
      </c>
      <c r="G160" s="129">
        <f t="shared" si="58"/>
        <v>1.58</v>
      </c>
      <c r="H160" s="129">
        <f t="shared" si="58"/>
        <v>1.58</v>
      </c>
      <c r="I160" s="129">
        <f t="shared" si="58"/>
        <v>1.58</v>
      </c>
      <c r="J160" s="129">
        <f t="shared" si="58"/>
        <v>1.58</v>
      </c>
      <c r="K160" s="129">
        <f t="shared" si="58"/>
        <v>1.58</v>
      </c>
      <c r="L160" s="129">
        <f t="shared" si="58"/>
        <v>1.58</v>
      </c>
      <c r="M160" s="129">
        <f t="shared" si="58"/>
        <v>1.58</v>
      </c>
      <c r="N160" s="129">
        <f t="shared" si="58"/>
        <v>1.58</v>
      </c>
      <c r="O160" s="129">
        <f t="shared" si="58"/>
        <v>1.58</v>
      </c>
      <c r="P160" s="129">
        <f t="shared" si="58"/>
        <v>1.58</v>
      </c>
      <c r="Q160" s="129">
        <f t="shared" si="58"/>
        <v>1.58</v>
      </c>
      <c r="R160" s="129">
        <f t="shared" si="58"/>
        <v>1.58</v>
      </c>
      <c r="S160" s="129">
        <f t="shared" si="58"/>
        <v>1.58</v>
      </c>
      <c r="T160" s="129">
        <f t="shared" si="59"/>
        <v>1.58</v>
      </c>
      <c r="U160" s="129">
        <f t="shared" si="59"/>
        <v>1.58</v>
      </c>
      <c r="V160" s="129">
        <f t="shared" si="59"/>
        <v>1.58</v>
      </c>
      <c r="W160" s="129">
        <f t="shared" si="59"/>
        <v>1.58</v>
      </c>
      <c r="X160" s="129">
        <f t="shared" si="59"/>
        <v>1.58</v>
      </c>
      <c r="Y160" s="129">
        <f t="shared" si="59"/>
        <v>1.58</v>
      </c>
      <c r="Z160" s="129">
        <f t="shared" si="59"/>
        <v>1.58</v>
      </c>
      <c r="AA160" s="129">
        <f t="shared" si="59"/>
        <v>1.58</v>
      </c>
      <c r="AB160" s="129">
        <f t="shared" si="59"/>
        <v>1.58</v>
      </c>
      <c r="AC160" s="129">
        <f t="shared" si="59"/>
        <v>1.58</v>
      </c>
      <c r="AD160" s="129">
        <f t="shared" si="59"/>
        <v>1.58</v>
      </c>
      <c r="AE160" s="129">
        <f t="shared" si="59"/>
        <v>1.58</v>
      </c>
      <c r="AF160" s="129">
        <f t="shared" si="59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57"/>
        <v>2</v>
      </c>
      <c r="C161" s="130">
        <v>2</v>
      </c>
      <c r="D161" s="129">
        <f t="shared" si="58"/>
        <v>2</v>
      </c>
      <c r="E161" s="129">
        <f t="shared" si="58"/>
        <v>2</v>
      </c>
      <c r="F161" s="129">
        <f t="shared" si="58"/>
        <v>2</v>
      </c>
      <c r="G161" s="129">
        <f t="shared" si="58"/>
        <v>2</v>
      </c>
      <c r="H161" s="129">
        <f t="shared" si="58"/>
        <v>2</v>
      </c>
      <c r="I161" s="129">
        <f t="shared" si="58"/>
        <v>2</v>
      </c>
      <c r="J161" s="129">
        <f t="shared" si="58"/>
        <v>2</v>
      </c>
      <c r="K161" s="129">
        <f t="shared" si="58"/>
        <v>2</v>
      </c>
      <c r="L161" s="129">
        <f t="shared" si="58"/>
        <v>2</v>
      </c>
      <c r="M161" s="129">
        <f t="shared" si="58"/>
        <v>2</v>
      </c>
      <c r="N161" s="129">
        <f t="shared" si="58"/>
        <v>2</v>
      </c>
      <c r="O161" s="129">
        <f t="shared" si="58"/>
        <v>2</v>
      </c>
      <c r="P161" s="129">
        <f t="shared" si="58"/>
        <v>2</v>
      </c>
      <c r="Q161" s="129">
        <f t="shared" si="58"/>
        <v>2</v>
      </c>
      <c r="R161" s="129">
        <f t="shared" si="58"/>
        <v>2</v>
      </c>
      <c r="S161" s="129">
        <f t="shared" si="58"/>
        <v>2</v>
      </c>
      <c r="T161" s="129">
        <f t="shared" si="59"/>
        <v>2</v>
      </c>
      <c r="U161" s="129">
        <f t="shared" si="59"/>
        <v>2</v>
      </c>
      <c r="V161" s="129">
        <f t="shared" si="59"/>
        <v>2</v>
      </c>
      <c r="W161" s="129">
        <f t="shared" si="59"/>
        <v>2</v>
      </c>
      <c r="X161" s="129">
        <f t="shared" si="59"/>
        <v>2</v>
      </c>
      <c r="Y161" s="129">
        <f t="shared" si="59"/>
        <v>2</v>
      </c>
      <c r="Z161" s="129">
        <f t="shared" si="59"/>
        <v>2</v>
      </c>
      <c r="AA161" s="129">
        <f t="shared" si="59"/>
        <v>2</v>
      </c>
      <c r="AB161" s="129">
        <f t="shared" si="59"/>
        <v>2</v>
      </c>
      <c r="AC161" s="129">
        <f t="shared" si="59"/>
        <v>2</v>
      </c>
      <c r="AD161" s="129">
        <f t="shared" si="59"/>
        <v>2</v>
      </c>
      <c r="AE161" s="129">
        <f t="shared" si="59"/>
        <v>2</v>
      </c>
      <c r="AF161" s="129">
        <f t="shared" si="59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57"/>
        <v>0.47</v>
      </c>
      <c r="C162" s="130">
        <v>0.47</v>
      </c>
      <c r="D162" s="129">
        <f t="shared" si="58"/>
        <v>0.47</v>
      </c>
      <c r="E162" s="129">
        <f t="shared" si="58"/>
        <v>0.47</v>
      </c>
      <c r="F162" s="129">
        <f t="shared" si="58"/>
        <v>0.47</v>
      </c>
      <c r="G162" s="129">
        <f t="shared" si="58"/>
        <v>0.47</v>
      </c>
      <c r="H162" s="129">
        <f t="shared" si="58"/>
        <v>0.47</v>
      </c>
      <c r="I162" s="129">
        <f t="shared" si="58"/>
        <v>0.47</v>
      </c>
      <c r="J162" s="129">
        <f t="shared" si="58"/>
        <v>0.47</v>
      </c>
      <c r="K162" s="129">
        <f t="shared" si="58"/>
        <v>0.47</v>
      </c>
      <c r="L162" s="129">
        <f t="shared" si="58"/>
        <v>0.47</v>
      </c>
      <c r="M162" s="129">
        <f t="shared" si="58"/>
        <v>0.47</v>
      </c>
      <c r="N162" s="129">
        <f t="shared" si="58"/>
        <v>0.47</v>
      </c>
      <c r="O162" s="129">
        <f t="shared" si="58"/>
        <v>0.47</v>
      </c>
      <c r="P162" s="129">
        <f t="shared" si="58"/>
        <v>0.47</v>
      </c>
      <c r="Q162" s="129">
        <f t="shared" si="58"/>
        <v>0.47</v>
      </c>
      <c r="R162" s="129">
        <f t="shared" si="58"/>
        <v>0.47</v>
      </c>
      <c r="S162" s="129">
        <f t="shared" si="58"/>
        <v>0.47</v>
      </c>
      <c r="T162" s="129">
        <f t="shared" si="59"/>
        <v>0.47</v>
      </c>
      <c r="U162" s="129">
        <f t="shared" si="59"/>
        <v>0.47</v>
      </c>
      <c r="V162" s="129">
        <f t="shared" si="59"/>
        <v>0.47</v>
      </c>
      <c r="W162" s="129">
        <f t="shared" si="59"/>
        <v>0.47</v>
      </c>
      <c r="X162" s="129">
        <f t="shared" si="59"/>
        <v>0.47</v>
      </c>
      <c r="Y162" s="129">
        <f t="shared" si="59"/>
        <v>0.47</v>
      </c>
      <c r="Z162" s="129">
        <f t="shared" si="59"/>
        <v>0.47</v>
      </c>
      <c r="AA162" s="129">
        <f t="shared" si="59"/>
        <v>0.47</v>
      </c>
      <c r="AB162" s="129">
        <f t="shared" si="59"/>
        <v>0.47</v>
      </c>
      <c r="AC162" s="129">
        <f t="shared" si="59"/>
        <v>0.47</v>
      </c>
      <c r="AD162" s="129">
        <f t="shared" si="59"/>
        <v>0.47</v>
      </c>
      <c r="AE162" s="129">
        <f t="shared" si="59"/>
        <v>0.47</v>
      </c>
      <c r="AF162" s="129">
        <f t="shared" si="59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57"/>
        <v>0</v>
      </c>
      <c r="C163" s="130">
        <v>0</v>
      </c>
      <c r="D163" s="129">
        <f t="shared" si="58"/>
        <v>0</v>
      </c>
      <c r="E163" s="129">
        <f t="shared" si="58"/>
        <v>0</v>
      </c>
      <c r="F163" s="129">
        <f t="shared" si="58"/>
        <v>0</v>
      </c>
      <c r="G163" s="129">
        <f t="shared" si="58"/>
        <v>0</v>
      </c>
      <c r="H163" s="129">
        <f t="shared" si="58"/>
        <v>0</v>
      </c>
      <c r="I163" s="129">
        <f t="shared" si="58"/>
        <v>0</v>
      </c>
      <c r="J163" s="129">
        <f t="shared" si="58"/>
        <v>0</v>
      </c>
      <c r="K163" s="129">
        <f t="shared" si="58"/>
        <v>0</v>
      </c>
      <c r="L163" s="129">
        <f t="shared" si="58"/>
        <v>0</v>
      </c>
      <c r="M163" s="129">
        <f t="shared" si="58"/>
        <v>0</v>
      </c>
      <c r="N163" s="129">
        <f t="shared" si="58"/>
        <v>0</v>
      </c>
      <c r="O163" s="129">
        <f t="shared" si="58"/>
        <v>0</v>
      </c>
      <c r="P163" s="129">
        <f t="shared" si="58"/>
        <v>0</v>
      </c>
      <c r="Q163" s="129">
        <f t="shared" si="58"/>
        <v>0</v>
      </c>
      <c r="R163" s="129">
        <f t="shared" si="58"/>
        <v>0</v>
      </c>
      <c r="S163" s="129">
        <f t="shared" si="58"/>
        <v>0</v>
      </c>
      <c r="T163" s="129">
        <f t="shared" si="59"/>
        <v>0</v>
      </c>
      <c r="U163" s="129">
        <f t="shared" si="59"/>
        <v>0</v>
      </c>
      <c r="V163" s="129">
        <f t="shared" si="59"/>
        <v>0</v>
      </c>
      <c r="W163" s="129">
        <f t="shared" si="59"/>
        <v>0</v>
      </c>
      <c r="X163" s="129">
        <f t="shared" si="59"/>
        <v>0</v>
      </c>
      <c r="Y163" s="129">
        <f t="shared" si="59"/>
        <v>0</v>
      </c>
      <c r="Z163" s="129">
        <f t="shared" si="59"/>
        <v>0</v>
      </c>
      <c r="AA163" s="129">
        <f t="shared" si="59"/>
        <v>0</v>
      </c>
      <c r="AB163" s="129">
        <f t="shared" si="59"/>
        <v>0</v>
      </c>
      <c r="AC163" s="129">
        <f t="shared" si="59"/>
        <v>0</v>
      </c>
      <c r="AD163" s="129">
        <f t="shared" si="59"/>
        <v>0</v>
      </c>
      <c r="AE163" s="129">
        <f t="shared" si="59"/>
        <v>0</v>
      </c>
      <c r="AF163" s="129">
        <f t="shared" si="59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57"/>
        <v>0</v>
      </c>
      <c r="C164" s="130">
        <v>0</v>
      </c>
      <c r="D164" s="129">
        <f t="shared" si="58"/>
        <v>0</v>
      </c>
      <c r="E164" s="129">
        <f t="shared" si="58"/>
        <v>0</v>
      </c>
      <c r="F164" s="129">
        <f t="shared" si="58"/>
        <v>0</v>
      </c>
      <c r="G164" s="129">
        <f t="shared" si="58"/>
        <v>0</v>
      </c>
      <c r="H164" s="129">
        <f t="shared" si="58"/>
        <v>0</v>
      </c>
      <c r="I164" s="129">
        <f t="shared" si="58"/>
        <v>0</v>
      </c>
      <c r="J164" s="129">
        <f t="shared" si="58"/>
        <v>0</v>
      </c>
      <c r="K164" s="129">
        <f t="shared" si="58"/>
        <v>0</v>
      </c>
      <c r="L164" s="129">
        <f t="shared" si="58"/>
        <v>0</v>
      </c>
      <c r="M164" s="129">
        <f t="shared" si="58"/>
        <v>0</v>
      </c>
      <c r="N164" s="129">
        <f t="shared" si="58"/>
        <v>0</v>
      </c>
      <c r="O164" s="129">
        <f t="shared" si="58"/>
        <v>0</v>
      </c>
      <c r="P164" s="129">
        <f t="shared" si="58"/>
        <v>0</v>
      </c>
      <c r="Q164" s="129">
        <f t="shared" si="58"/>
        <v>0</v>
      </c>
      <c r="R164" s="129">
        <f t="shared" si="58"/>
        <v>0</v>
      </c>
      <c r="S164" s="129">
        <f t="shared" si="59"/>
        <v>0</v>
      </c>
      <c r="T164" s="129">
        <f t="shared" si="59"/>
        <v>0</v>
      </c>
      <c r="U164" s="129">
        <f t="shared" si="59"/>
        <v>0</v>
      </c>
      <c r="V164" s="129">
        <f t="shared" si="59"/>
        <v>0</v>
      </c>
      <c r="W164" s="129">
        <f t="shared" si="59"/>
        <v>0</v>
      </c>
      <c r="X164" s="129">
        <f t="shared" si="59"/>
        <v>0</v>
      </c>
      <c r="Y164" s="129">
        <f t="shared" si="59"/>
        <v>0</v>
      </c>
      <c r="Z164" s="129">
        <f t="shared" si="59"/>
        <v>0</v>
      </c>
      <c r="AA164" s="129">
        <f t="shared" si="59"/>
        <v>0</v>
      </c>
      <c r="AB164" s="129">
        <f t="shared" si="59"/>
        <v>0</v>
      </c>
      <c r="AC164" s="129">
        <f t="shared" si="59"/>
        <v>0</v>
      </c>
      <c r="AD164" s="129">
        <f t="shared" si="59"/>
        <v>0</v>
      </c>
      <c r="AE164" s="129">
        <f t="shared" si="59"/>
        <v>0</v>
      </c>
      <c r="AF164" s="129">
        <f t="shared" si="59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57"/>
        <v>0.8</v>
      </c>
      <c r="C165" s="130">
        <v>0.8</v>
      </c>
      <c r="D165" s="129">
        <f t="shared" si="58"/>
        <v>0.8</v>
      </c>
      <c r="E165" s="129">
        <f t="shared" si="58"/>
        <v>0.8</v>
      </c>
      <c r="F165" s="129">
        <f t="shared" si="58"/>
        <v>0.8</v>
      </c>
      <c r="G165" s="129">
        <f t="shared" si="58"/>
        <v>0.8</v>
      </c>
      <c r="H165" s="129">
        <f t="shared" si="58"/>
        <v>0.8</v>
      </c>
      <c r="I165" s="129">
        <f t="shared" si="58"/>
        <v>0.8</v>
      </c>
      <c r="J165" s="129">
        <f t="shared" si="58"/>
        <v>0.8</v>
      </c>
      <c r="K165" s="129">
        <f t="shared" si="58"/>
        <v>0.8</v>
      </c>
      <c r="L165" s="129">
        <f t="shared" si="58"/>
        <v>0.8</v>
      </c>
      <c r="M165" s="129">
        <f t="shared" si="58"/>
        <v>0.8</v>
      </c>
      <c r="N165" s="129">
        <f t="shared" si="58"/>
        <v>0.8</v>
      </c>
      <c r="O165" s="129">
        <f t="shared" si="58"/>
        <v>0.8</v>
      </c>
      <c r="P165" s="129">
        <f t="shared" si="58"/>
        <v>0.8</v>
      </c>
      <c r="Q165" s="129">
        <f t="shared" si="58"/>
        <v>0.8</v>
      </c>
      <c r="R165" s="129">
        <f t="shared" si="58"/>
        <v>0.8</v>
      </c>
      <c r="S165" s="129">
        <f t="shared" si="59"/>
        <v>0.8</v>
      </c>
      <c r="T165" s="129">
        <f t="shared" si="59"/>
        <v>0.8</v>
      </c>
      <c r="U165" s="129">
        <f t="shared" si="59"/>
        <v>0.8</v>
      </c>
      <c r="V165" s="129">
        <f t="shared" si="59"/>
        <v>0.8</v>
      </c>
      <c r="W165" s="129">
        <f t="shared" si="59"/>
        <v>0.8</v>
      </c>
      <c r="X165" s="129">
        <f t="shared" si="59"/>
        <v>0.8</v>
      </c>
      <c r="Y165" s="129">
        <f t="shared" si="59"/>
        <v>0.8</v>
      </c>
      <c r="Z165" s="129">
        <f t="shared" si="59"/>
        <v>0.8</v>
      </c>
      <c r="AA165" s="129">
        <f t="shared" si="59"/>
        <v>0.8</v>
      </c>
      <c r="AB165" s="129">
        <f t="shared" si="59"/>
        <v>0.8</v>
      </c>
      <c r="AC165" s="129">
        <f t="shared" si="59"/>
        <v>0.8</v>
      </c>
      <c r="AD165" s="129">
        <f t="shared" si="59"/>
        <v>0.8</v>
      </c>
      <c r="AE165" s="129">
        <f t="shared" si="59"/>
        <v>0.8</v>
      </c>
      <c r="AF165" s="129">
        <f t="shared" si="59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57"/>
        <v>1.5</v>
      </c>
      <c r="C166" s="130">
        <v>1.5</v>
      </c>
      <c r="D166" s="129">
        <f t="shared" si="58"/>
        <v>1.5</v>
      </c>
      <c r="E166" s="129">
        <f t="shared" si="58"/>
        <v>1.5</v>
      </c>
      <c r="F166" s="129">
        <f t="shared" si="58"/>
        <v>1.5</v>
      </c>
      <c r="G166" s="129">
        <f t="shared" si="58"/>
        <v>1.5</v>
      </c>
      <c r="H166" s="129">
        <f t="shared" si="58"/>
        <v>1.5</v>
      </c>
      <c r="I166" s="129">
        <f t="shared" si="58"/>
        <v>1.5</v>
      </c>
      <c r="J166" s="129">
        <f t="shared" si="58"/>
        <v>1.5</v>
      </c>
      <c r="K166" s="129">
        <f t="shared" si="58"/>
        <v>1.5</v>
      </c>
      <c r="L166" s="129">
        <f t="shared" si="58"/>
        <v>1.5</v>
      </c>
      <c r="M166" s="129">
        <f t="shared" si="58"/>
        <v>1.5</v>
      </c>
      <c r="N166" s="129">
        <f t="shared" si="58"/>
        <v>1.5</v>
      </c>
      <c r="O166" s="129">
        <f t="shared" si="58"/>
        <v>1.5</v>
      </c>
      <c r="P166" s="129">
        <f t="shared" si="58"/>
        <v>1.5</v>
      </c>
      <c r="Q166" s="129">
        <f t="shared" si="58"/>
        <v>1.5</v>
      </c>
      <c r="R166" s="129">
        <f t="shared" si="58"/>
        <v>1.5</v>
      </c>
      <c r="S166" s="129">
        <f t="shared" si="59"/>
        <v>1.5</v>
      </c>
      <c r="T166" s="129">
        <f t="shared" si="59"/>
        <v>1.5</v>
      </c>
      <c r="U166" s="129">
        <f t="shared" si="59"/>
        <v>1.5</v>
      </c>
      <c r="V166" s="129">
        <f t="shared" si="59"/>
        <v>1.5</v>
      </c>
      <c r="W166" s="129">
        <f t="shared" si="59"/>
        <v>1.5</v>
      </c>
      <c r="X166" s="129">
        <f t="shared" si="59"/>
        <v>1.5</v>
      </c>
      <c r="Y166" s="129">
        <f t="shared" si="59"/>
        <v>1.5</v>
      </c>
      <c r="Z166" s="129">
        <f t="shared" si="59"/>
        <v>1.5</v>
      </c>
      <c r="AA166" s="129">
        <f t="shared" si="59"/>
        <v>1.5</v>
      </c>
      <c r="AB166" s="129">
        <f t="shared" si="59"/>
        <v>1.5</v>
      </c>
      <c r="AC166" s="129">
        <f t="shared" si="59"/>
        <v>1.5</v>
      </c>
      <c r="AD166" s="129">
        <f t="shared" si="59"/>
        <v>1.5</v>
      </c>
      <c r="AE166" s="129">
        <f t="shared" si="59"/>
        <v>1.5</v>
      </c>
      <c r="AF166" s="129">
        <f t="shared" si="59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57"/>
        <v>1</v>
      </c>
      <c r="C167" s="130">
        <v>1</v>
      </c>
      <c r="D167" s="129">
        <f t="shared" si="58"/>
        <v>1</v>
      </c>
      <c r="E167" s="129">
        <f t="shared" si="58"/>
        <v>1</v>
      </c>
      <c r="F167" s="129">
        <f t="shared" si="58"/>
        <v>1</v>
      </c>
      <c r="G167" s="129">
        <f t="shared" si="58"/>
        <v>1</v>
      </c>
      <c r="H167" s="129">
        <f t="shared" si="58"/>
        <v>1</v>
      </c>
      <c r="I167" s="129">
        <f t="shared" si="58"/>
        <v>1</v>
      </c>
      <c r="J167" s="129">
        <f t="shared" si="58"/>
        <v>1</v>
      </c>
      <c r="K167" s="129">
        <f t="shared" si="58"/>
        <v>1</v>
      </c>
      <c r="L167" s="129">
        <f t="shared" si="58"/>
        <v>1</v>
      </c>
      <c r="M167" s="129">
        <f t="shared" si="58"/>
        <v>1</v>
      </c>
      <c r="N167" s="129">
        <f t="shared" si="58"/>
        <v>1</v>
      </c>
      <c r="O167" s="129">
        <f t="shared" si="58"/>
        <v>1</v>
      </c>
      <c r="P167" s="129">
        <f t="shared" si="58"/>
        <v>1</v>
      </c>
      <c r="Q167" s="129">
        <f t="shared" si="58"/>
        <v>1</v>
      </c>
      <c r="R167" s="129">
        <f t="shared" si="58"/>
        <v>1</v>
      </c>
      <c r="S167" s="129">
        <f t="shared" si="59"/>
        <v>1</v>
      </c>
      <c r="T167" s="129">
        <f t="shared" si="59"/>
        <v>1</v>
      </c>
      <c r="U167" s="129">
        <f t="shared" si="59"/>
        <v>1</v>
      </c>
      <c r="V167" s="129">
        <f t="shared" si="59"/>
        <v>1</v>
      </c>
      <c r="W167" s="129">
        <f t="shared" si="59"/>
        <v>1</v>
      </c>
      <c r="X167" s="129">
        <f t="shared" si="59"/>
        <v>1</v>
      </c>
      <c r="Y167" s="129">
        <f t="shared" si="59"/>
        <v>1</v>
      </c>
      <c r="Z167" s="129">
        <f t="shared" si="59"/>
        <v>1</v>
      </c>
      <c r="AA167" s="129">
        <f t="shared" si="59"/>
        <v>1</v>
      </c>
      <c r="AB167" s="129">
        <f t="shared" si="59"/>
        <v>1</v>
      </c>
      <c r="AC167" s="129">
        <f t="shared" si="59"/>
        <v>1</v>
      </c>
      <c r="AD167" s="129">
        <f t="shared" si="59"/>
        <v>1</v>
      </c>
      <c r="AE167" s="129">
        <f t="shared" si="59"/>
        <v>1</v>
      </c>
      <c r="AF167" s="129">
        <f t="shared" si="59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0">AF169</f>
        <v>1</v>
      </c>
      <c r="C169" s="130">
        <v>1</v>
      </c>
      <c r="D169" s="129">
        <f t="shared" ref="D169:S176" si="61">C169</f>
        <v>1</v>
      </c>
      <c r="E169" s="129">
        <f t="shared" si="61"/>
        <v>1</v>
      </c>
      <c r="F169" s="129">
        <f t="shared" si="61"/>
        <v>1</v>
      </c>
      <c r="G169" s="129">
        <f t="shared" si="61"/>
        <v>1</v>
      </c>
      <c r="H169" s="129">
        <f t="shared" si="61"/>
        <v>1</v>
      </c>
      <c r="I169" s="129">
        <f t="shared" si="61"/>
        <v>1</v>
      </c>
      <c r="J169" s="129">
        <f t="shared" si="61"/>
        <v>1</v>
      </c>
      <c r="K169" s="129">
        <f t="shared" si="61"/>
        <v>1</v>
      </c>
      <c r="L169" s="129">
        <f t="shared" si="61"/>
        <v>1</v>
      </c>
      <c r="M169" s="129">
        <f t="shared" si="61"/>
        <v>1</v>
      </c>
      <c r="N169" s="129">
        <f t="shared" si="61"/>
        <v>1</v>
      </c>
      <c r="O169" s="129">
        <f t="shared" si="61"/>
        <v>1</v>
      </c>
      <c r="P169" s="129">
        <f t="shared" si="61"/>
        <v>1</v>
      </c>
      <c r="Q169" s="129">
        <f t="shared" si="61"/>
        <v>1</v>
      </c>
      <c r="R169" s="129">
        <f t="shared" si="61"/>
        <v>1</v>
      </c>
      <c r="S169" s="129">
        <f t="shared" si="61"/>
        <v>1</v>
      </c>
      <c r="T169" s="129">
        <f t="shared" ref="S169:AF176" si="62">S169</f>
        <v>1</v>
      </c>
      <c r="U169" s="129">
        <f t="shared" si="62"/>
        <v>1</v>
      </c>
      <c r="V169" s="129">
        <f t="shared" si="62"/>
        <v>1</v>
      </c>
      <c r="W169" s="129">
        <f t="shared" si="62"/>
        <v>1</v>
      </c>
      <c r="X169" s="129">
        <f t="shared" si="62"/>
        <v>1</v>
      </c>
      <c r="Y169" s="129">
        <f t="shared" si="62"/>
        <v>1</v>
      </c>
      <c r="Z169" s="129">
        <f t="shared" si="62"/>
        <v>1</v>
      </c>
      <c r="AA169" s="129">
        <f t="shared" si="62"/>
        <v>1</v>
      </c>
      <c r="AB169" s="129">
        <f t="shared" si="62"/>
        <v>1</v>
      </c>
      <c r="AC169" s="129">
        <f t="shared" si="62"/>
        <v>1</v>
      </c>
      <c r="AD169" s="129">
        <f t="shared" si="62"/>
        <v>1</v>
      </c>
      <c r="AE169" s="129">
        <f t="shared" si="62"/>
        <v>1</v>
      </c>
      <c r="AF169" s="129">
        <f t="shared" si="62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0"/>
        <v>0.42</v>
      </c>
      <c r="C170" s="130">
        <v>0.42</v>
      </c>
      <c r="D170" s="129">
        <f t="shared" si="61"/>
        <v>0.42</v>
      </c>
      <c r="E170" s="129">
        <f t="shared" si="61"/>
        <v>0.42</v>
      </c>
      <c r="F170" s="129">
        <f t="shared" si="61"/>
        <v>0.42</v>
      </c>
      <c r="G170" s="129">
        <f t="shared" si="61"/>
        <v>0.42</v>
      </c>
      <c r="H170" s="129">
        <f t="shared" si="61"/>
        <v>0.42</v>
      </c>
      <c r="I170" s="129">
        <f t="shared" si="61"/>
        <v>0.42</v>
      </c>
      <c r="J170" s="129">
        <f t="shared" si="61"/>
        <v>0.42</v>
      </c>
      <c r="K170" s="129">
        <f t="shared" si="61"/>
        <v>0.42</v>
      </c>
      <c r="L170" s="129">
        <f t="shared" si="61"/>
        <v>0.42</v>
      </c>
      <c r="M170" s="129">
        <f t="shared" si="61"/>
        <v>0.42</v>
      </c>
      <c r="N170" s="129">
        <f t="shared" si="61"/>
        <v>0.42</v>
      </c>
      <c r="O170" s="129">
        <f t="shared" si="61"/>
        <v>0.42</v>
      </c>
      <c r="P170" s="129">
        <f t="shared" si="61"/>
        <v>0.42</v>
      </c>
      <c r="Q170" s="129">
        <f t="shared" si="61"/>
        <v>0.42</v>
      </c>
      <c r="R170" s="129">
        <f t="shared" si="61"/>
        <v>0.42</v>
      </c>
      <c r="S170" s="129">
        <f t="shared" si="62"/>
        <v>0.42</v>
      </c>
      <c r="T170" s="129">
        <f t="shared" si="62"/>
        <v>0.42</v>
      </c>
      <c r="U170" s="129">
        <f t="shared" si="62"/>
        <v>0.42</v>
      </c>
      <c r="V170" s="129">
        <f t="shared" si="62"/>
        <v>0.42</v>
      </c>
      <c r="W170" s="129">
        <f t="shared" si="62"/>
        <v>0.42</v>
      </c>
      <c r="X170" s="129">
        <f t="shared" si="62"/>
        <v>0.42</v>
      </c>
      <c r="Y170" s="129">
        <f t="shared" si="62"/>
        <v>0.42</v>
      </c>
      <c r="Z170" s="129">
        <f t="shared" si="62"/>
        <v>0.42</v>
      </c>
      <c r="AA170" s="129">
        <f t="shared" si="62"/>
        <v>0.42</v>
      </c>
      <c r="AB170" s="129">
        <f t="shared" si="62"/>
        <v>0.42</v>
      </c>
      <c r="AC170" s="129">
        <f t="shared" si="62"/>
        <v>0.42</v>
      </c>
      <c r="AD170" s="129">
        <f t="shared" si="62"/>
        <v>0.42</v>
      </c>
      <c r="AE170" s="129">
        <f t="shared" si="62"/>
        <v>0.42</v>
      </c>
      <c r="AF170" s="129">
        <f t="shared" si="62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0"/>
        <v>0.46</v>
      </c>
      <c r="C171" s="130">
        <v>0.46</v>
      </c>
      <c r="D171" s="129">
        <f t="shared" si="61"/>
        <v>0.46</v>
      </c>
      <c r="E171" s="129">
        <f t="shared" si="61"/>
        <v>0.46</v>
      </c>
      <c r="F171" s="129">
        <f t="shared" si="61"/>
        <v>0.46</v>
      </c>
      <c r="G171" s="129">
        <f t="shared" si="61"/>
        <v>0.46</v>
      </c>
      <c r="H171" s="129">
        <f t="shared" si="61"/>
        <v>0.46</v>
      </c>
      <c r="I171" s="129">
        <f t="shared" si="61"/>
        <v>0.46</v>
      </c>
      <c r="J171" s="129">
        <f t="shared" si="61"/>
        <v>0.46</v>
      </c>
      <c r="K171" s="129">
        <f t="shared" si="61"/>
        <v>0.46</v>
      </c>
      <c r="L171" s="129">
        <f t="shared" si="61"/>
        <v>0.46</v>
      </c>
      <c r="M171" s="129">
        <f t="shared" si="61"/>
        <v>0.46</v>
      </c>
      <c r="N171" s="129">
        <f t="shared" si="61"/>
        <v>0.46</v>
      </c>
      <c r="O171" s="129">
        <f t="shared" si="61"/>
        <v>0.46</v>
      </c>
      <c r="P171" s="129">
        <f t="shared" si="61"/>
        <v>0.46</v>
      </c>
      <c r="Q171" s="129">
        <f t="shared" si="61"/>
        <v>0.46</v>
      </c>
      <c r="R171" s="129">
        <f t="shared" si="61"/>
        <v>0.46</v>
      </c>
      <c r="S171" s="129">
        <f t="shared" si="62"/>
        <v>0.46</v>
      </c>
      <c r="T171" s="129">
        <f t="shared" si="62"/>
        <v>0.46</v>
      </c>
      <c r="U171" s="129">
        <f t="shared" si="62"/>
        <v>0.46</v>
      </c>
      <c r="V171" s="129">
        <f t="shared" si="62"/>
        <v>0.46</v>
      </c>
      <c r="W171" s="129">
        <f t="shared" si="62"/>
        <v>0.46</v>
      </c>
      <c r="X171" s="129">
        <f t="shared" si="62"/>
        <v>0.46</v>
      </c>
      <c r="Y171" s="129">
        <f t="shared" si="62"/>
        <v>0.46</v>
      </c>
      <c r="Z171" s="129">
        <f t="shared" si="62"/>
        <v>0.46</v>
      </c>
      <c r="AA171" s="129">
        <f t="shared" si="62"/>
        <v>0.46</v>
      </c>
      <c r="AB171" s="129">
        <f t="shared" si="62"/>
        <v>0.46</v>
      </c>
      <c r="AC171" s="129">
        <f t="shared" si="62"/>
        <v>0.46</v>
      </c>
      <c r="AD171" s="129">
        <f t="shared" si="62"/>
        <v>0.46</v>
      </c>
      <c r="AE171" s="129">
        <f t="shared" si="62"/>
        <v>0.46</v>
      </c>
      <c r="AF171" s="129">
        <f t="shared" si="62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0"/>
        <v>0.85</v>
      </c>
      <c r="C172" s="130">
        <v>0.85</v>
      </c>
      <c r="D172" s="129">
        <f t="shared" si="61"/>
        <v>0.85</v>
      </c>
      <c r="E172" s="129">
        <f t="shared" si="61"/>
        <v>0.85</v>
      </c>
      <c r="F172" s="129">
        <f t="shared" si="61"/>
        <v>0.85</v>
      </c>
      <c r="G172" s="129">
        <f t="shared" si="61"/>
        <v>0.85</v>
      </c>
      <c r="H172" s="129">
        <f t="shared" si="61"/>
        <v>0.85</v>
      </c>
      <c r="I172" s="129">
        <f t="shared" si="61"/>
        <v>0.85</v>
      </c>
      <c r="J172" s="129">
        <f t="shared" si="61"/>
        <v>0.85</v>
      </c>
      <c r="K172" s="129">
        <f t="shared" si="61"/>
        <v>0.85</v>
      </c>
      <c r="L172" s="129">
        <f t="shared" si="61"/>
        <v>0.85</v>
      </c>
      <c r="M172" s="129">
        <f t="shared" si="61"/>
        <v>0.85</v>
      </c>
      <c r="N172" s="129">
        <f t="shared" si="61"/>
        <v>0.85</v>
      </c>
      <c r="O172" s="129">
        <f t="shared" si="61"/>
        <v>0.85</v>
      </c>
      <c r="P172" s="129">
        <f t="shared" si="61"/>
        <v>0.85</v>
      </c>
      <c r="Q172" s="129">
        <f t="shared" si="61"/>
        <v>0.85</v>
      </c>
      <c r="R172" s="129">
        <f t="shared" si="61"/>
        <v>0.85</v>
      </c>
      <c r="S172" s="129">
        <f t="shared" si="62"/>
        <v>0.85</v>
      </c>
      <c r="T172" s="129">
        <f t="shared" si="62"/>
        <v>0.85</v>
      </c>
      <c r="U172" s="129">
        <f t="shared" si="62"/>
        <v>0.85</v>
      </c>
      <c r="V172" s="129">
        <f t="shared" si="62"/>
        <v>0.85</v>
      </c>
      <c r="W172" s="129">
        <f t="shared" si="62"/>
        <v>0.85</v>
      </c>
      <c r="X172" s="129">
        <f t="shared" si="62"/>
        <v>0.85</v>
      </c>
      <c r="Y172" s="129">
        <f t="shared" si="62"/>
        <v>0.85</v>
      </c>
      <c r="Z172" s="129">
        <f t="shared" si="62"/>
        <v>0.85</v>
      </c>
      <c r="AA172" s="129">
        <f t="shared" si="62"/>
        <v>0.85</v>
      </c>
      <c r="AB172" s="129">
        <f t="shared" si="62"/>
        <v>0.85</v>
      </c>
      <c r="AC172" s="129">
        <f t="shared" si="62"/>
        <v>0.85</v>
      </c>
      <c r="AD172" s="129">
        <f t="shared" si="62"/>
        <v>0.85</v>
      </c>
      <c r="AE172" s="129">
        <f t="shared" si="62"/>
        <v>0.85</v>
      </c>
      <c r="AF172" s="129">
        <f t="shared" si="62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0"/>
        <v>0.9</v>
      </c>
      <c r="C173" s="130">
        <v>0.9</v>
      </c>
      <c r="D173" s="129">
        <f t="shared" si="61"/>
        <v>0.9</v>
      </c>
      <c r="E173" s="129">
        <f t="shared" si="61"/>
        <v>0.9</v>
      </c>
      <c r="F173" s="129">
        <f t="shared" si="61"/>
        <v>0.9</v>
      </c>
      <c r="G173" s="129">
        <f t="shared" si="61"/>
        <v>0.9</v>
      </c>
      <c r="H173" s="129">
        <f t="shared" si="61"/>
        <v>0.9</v>
      </c>
      <c r="I173" s="129">
        <f t="shared" si="61"/>
        <v>0.9</v>
      </c>
      <c r="J173" s="129">
        <f t="shared" si="61"/>
        <v>0.9</v>
      </c>
      <c r="K173" s="129">
        <f t="shared" si="61"/>
        <v>0.9</v>
      </c>
      <c r="L173" s="129">
        <f t="shared" si="61"/>
        <v>0.9</v>
      </c>
      <c r="M173" s="129">
        <f t="shared" si="61"/>
        <v>0.9</v>
      </c>
      <c r="N173" s="129">
        <f t="shared" si="61"/>
        <v>0.9</v>
      </c>
      <c r="O173" s="129">
        <f t="shared" si="61"/>
        <v>0.9</v>
      </c>
      <c r="P173" s="129">
        <f t="shared" si="61"/>
        <v>0.9</v>
      </c>
      <c r="Q173" s="129">
        <f t="shared" si="61"/>
        <v>0.9</v>
      </c>
      <c r="R173" s="129">
        <f t="shared" si="61"/>
        <v>0.9</v>
      </c>
      <c r="S173" s="129">
        <f t="shared" si="62"/>
        <v>0.9</v>
      </c>
      <c r="T173" s="129">
        <f t="shared" si="62"/>
        <v>0.9</v>
      </c>
      <c r="U173" s="129">
        <f t="shared" si="62"/>
        <v>0.9</v>
      </c>
      <c r="V173" s="129">
        <f t="shared" si="62"/>
        <v>0.9</v>
      </c>
      <c r="W173" s="129">
        <f t="shared" si="62"/>
        <v>0.9</v>
      </c>
      <c r="X173" s="129">
        <f t="shared" si="62"/>
        <v>0.9</v>
      </c>
      <c r="Y173" s="129">
        <f t="shared" si="62"/>
        <v>0.9</v>
      </c>
      <c r="Z173" s="129">
        <f t="shared" si="62"/>
        <v>0.9</v>
      </c>
      <c r="AA173" s="129">
        <f t="shared" si="62"/>
        <v>0.9</v>
      </c>
      <c r="AB173" s="129">
        <f t="shared" si="62"/>
        <v>0.9</v>
      </c>
      <c r="AC173" s="129">
        <f t="shared" si="62"/>
        <v>0.9</v>
      </c>
      <c r="AD173" s="129">
        <f t="shared" si="62"/>
        <v>0.9</v>
      </c>
      <c r="AE173" s="129">
        <f t="shared" si="62"/>
        <v>0.9</v>
      </c>
      <c r="AF173" s="129">
        <f t="shared" si="62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0"/>
        <v>0.44</v>
      </c>
      <c r="C174" s="130">
        <v>0.44</v>
      </c>
      <c r="D174" s="129">
        <f t="shared" si="61"/>
        <v>0.44</v>
      </c>
      <c r="E174" s="129">
        <f t="shared" si="61"/>
        <v>0.44</v>
      </c>
      <c r="F174" s="129">
        <f t="shared" si="61"/>
        <v>0.44</v>
      </c>
      <c r="G174" s="129">
        <f t="shared" si="61"/>
        <v>0.44</v>
      </c>
      <c r="H174" s="129">
        <f t="shared" si="61"/>
        <v>0.44</v>
      </c>
      <c r="I174" s="129">
        <f t="shared" si="61"/>
        <v>0.44</v>
      </c>
      <c r="J174" s="129">
        <f t="shared" si="61"/>
        <v>0.44</v>
      </c>
      <c r="K174" s="129">
        <f t="shared" si="61"/>
        <v>0.44</v>
      </c>
      <c r="L174" s="129">
        <f t="shared" si="61"/>
        <v>0.44</v>
      </c>
      <c r="M174" s="129">
        <f t="shared" si="61"/>
        <v>0.44</v>
      </c>
      <c r="N174" s="129">
        <f t="shared" si="61"/>
        <v>0.44</v>
      </c>
      <c r="O174" s="129">
        <f t="shared" si="61"/>
        <v>0.44</v>
      </c>
      <c r="P174" s="129">
        <f t="shared" si="61"/>
        <v>0.44</v>
      </c>
      <c r="Q174" s="129">
        <f t="shared" si="61"/>
        <v>0.44</v>
      </c>
      <c r="R174" s="129">
        <f t="shared" si="61"/>
        <v>0.44</v>
      </c>
      <c r="S174" s="129">
        <f t="shared" si="62"/>
        <v>0.44</v>
      </c>
      <c r="T174" s="129">
        <f t="shared" si="62"/>
        <v>0.44</v>
      </c>
      <c r="U174" s="129">
        <f t="shared" si="62"/>
        <v>0.44</v>
      </c>
      <c r="V174" s="129">
        <f t="shared" si="62"/>
        <v>0.44</v>
      </c>
      <c r="W174" s="129">
        <f t="shared" si="62"/>
        <v>0.44</v>
      </c>
      <c r="X174" s="129">
        <f t="shared" si="62"/>
        <v>0.44</v>
      </c>
      <c r="Y174" s="129">
        <f t="shared" si="62"/>
        <v>0.44</v>
      </c>
      <c r="Z174" s="129">
        <f t="shared" si="62"/>
        <v>0.44</v>
      </c>
      <c r="AA174" s="129">
        <f t="shared" si="62"/>
        <v>0.44</v>
      </c>
      <c r="AB174" s="129">
        <f t="shared" si="62"/>
        <v>0.44</v>
      </c>
      <c r="AC174" s="129">
        <f t="shared" si="62"/>
        <v>0.44</v>
      </c>
      <c r="AD174" s="129">
        <f t="shared" si="62"/>
        <v>0.44</v>
      </c>
      <c r="AE174" s="129">
        <f t="shared" si="62"/>
        <v>0.44</v>
      </c>
      <c r="AF174" s="129">
        <f t="shared" si="62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0"/>
        <v>2.1</v>
      </c>
      <c r="C175" s="130">
        <v>2.1</v>
      </c>
      <c r="D175" s="129">
        <f t="shared" si="61"/>
        <v>2.1</v>
      </c>
      <c r="E175" s="129">
        <f t="shared" si="61"/>
        <v>2.1</v>
      </c>
      <c r="F175" s="129">
        <f t="shared" si="61"/>
        <v>2.1</v>
      </c>
      <c r="G175" s="129">
        <f t="shared" si="61"/>
        <v>2.1</v>
      </c>
      <c r="H175" s="129">
        <f t="shared" si="61"/>
        <v>2.1</v>
      </c>
      <c r="I175" s="129">
        <f t="shared" si="61"/>
        <v>2.1</v>
      </c>
      <c r="J175" s="129">
        <f t="shared" si="61"/>
        <v>2.1</v>
      </c>
      <c r="K175" s="129">
        <f t="shared" si="61"/>
        <v>2.1</v>
      </c>
      <c r="L175" s="129">
        <f t="shared" si="61"/>
        <v>2.1</v>
      </c>
      <c r="M175" s="129">
        <f t="shared" si="61"/>
        <v>2.1</v>
      </c>
      <c r="N175" s="129">
        <f t="shared" si="61"/>
        <v>2.1</v>
      </c>
      <c r="O175" s="129">
        <f t="shared" si="61"/>
        <v>2.1</v>
      </c>
      <c r="P175" s="129">
        <f t="shared" si="61"/>
        <v>2.1</v>
      </c>
      <c r="Q175" s="129">
        <f t="shared" si="61"/>
        <v>2.1</v>
      </c>
      <c r="R175" s="129">
        <f t="shared" si="61"/>
        <v>2.1</v>
      </c>
      <c r="S175" s="129">
        <f t="shared" si="62"/>
        <v>2.1</v>
      </c>
      <c r="T175" s="129">
        <f t="shared" si="62"/>
        <v>2.1</v>
      </c>
      <c r="U175" s="129">
        <f t="shared" si="62"/>
        <v>2.1</v>
      </c>
      <c r="V175" s="129">
        <f t="shared" si="62"/>
        <v>2.1</v>
      </c>
      <c r="W175" s="129">
        <f t="shared" si="62"/>
        <v>2.1</v>
      </c>
      <c r="X175" s="129">
        <f t="shared" si="62"/>
        <v>2.1</v>
      </c>
      <c r="Y175" s="129">
        <f t="shared" si="62"/>
        <v>2.1</v>
      </c>
      <c r="Z175" s="129">
        <f t="shared" si="62"/>
        <v>2.1</v>
      </c>
      <c r="AA175" s="129">
        <f t="shared" si="62"/>
        <v>2.1</v>
      </c>
      <c r="AB175" s="129">
        <f t="shared" si="62"/>
        <v>2.1</v>
      </c>
      <c r="AC175" s="129">
        <f t="shared" si="62"/>
        <v>2.1</v>
      </c>
      <c r="AD175" s="129">
        <f t="shared" si="62"/>
        <v>2.1</v>
      </c>
      <c r="AE175" s="129">
        <f t="shared" si="62"/>
        <v>2.1</v>
      </c>
      <c r="AF175" s="129">
        <f t="shared" si="62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0"/>
        <v>0.9</v>
      </c>
      <c r="C176" s="130">
        <v>0.9</v>
      </c>
      <c r="D176" s="129">
        <f t="shared" si="61"/>
        <v>0.9</v>
      </c>
      <c r="E176" s="129">
        <f t="shared" si="61"/>
        <v>0.9</v>
      </c>
      <c r="F176" s="129">
        <f t="shared" si="61"/>
        <v>0.9</v>
      </c>
      <c r="G176" s="129">
        <f t="shared" si="61"/>
        <v>0.9</v>
      </c>
      <c r="H176" s="129">
        <f t="shared" si="61"/>
        <v>0.9</v>
      </c>
      <c r="I176" s="129">
        <f t="shared" si="61"/>
        <v>0.9</v>
      </c>
      <c r="J176" s="129">
        <f t="shared" si="61"/>
        <v>0.9</v>
      </c>
      <c r="K176" s="129">
        <f t="shared" si="61"/>
        <v>0.9</v>
      </c>
      <c r="L176" s="129">
        <f t="shared" si="61"/>
        <v>0.9</v>
      </c>
      <c r="M176" s="129">
        <f t="shared" si="61"/>
        <v>0.9</v>
      </c>
      <c r="N176" s="129">
        <f t="shared" si="61"/>
        <v>0.9</v>
      </c>
      <c r="O176" s="129">
        <f t="shared" si="61"/>
        <v>0.9</v>
      </c>
      <c r="P176" s="129">
        <f t="shared" si="61"/>
        <v>0.9</v>
      </c>
      <c r="Q176" s="129">
        <f t="shared" si="61"/>
        <v>0.9</v>
      </c>
      <c r="R176" s="129">
        <f t="shared" si="61"/>
        <v>0.9</v>
      </c>
      <c r="S176" s="129">
        <f t="shared" si="62"/>
        <v>0.9</v>
      </c>
      <c r="T176" s="129">
        <f t="shared" si="62"/>
        <v>0.9</v>
      </c>
      <c r="U176" s="129">
        <f t="shared" si="62"/>
        <v>0.9</v>
      </c>
      <c r="V176" s="129">
        <f t="shared" si="62"/>
        <v>0.9</v>
      </c>
      <c r="W176" s="129">
        <f t="shared" si="62"/>
        <v>0.9</v>
      </c>
      <c r="X176" s="129">
        <f t="shared" si="62"/>
        <v>0.9</v>
      </c>
      <c r="Y176" s="129">
        <f t="shared" si="62"/>
        <v>0.9</v>
      </c>
      <c r="Z176" s="129">
        <f t="shared" si="62"/>
        <v>0.9</v>
      </c>
      <c r="AA176" s="129">
        <f t="shared" si="62"/>
        <v>0.9</v>
      </c>
      <c r="AB176" s="129">
        <f t="shared" si="62"/>
        <v>0.9</v>
      </c>
      <c r="AC176" s="129">
        <f t="shared" si="62"/>
        <v>0.9</v>
      </c>
      <c r="AD176" s="129">
        <f t="shared" si="62"/>
        <v>0.9</v>
      </c>
      <c r="AE176" s="129">
        <f t="shared" si="62"/>
        <v>0.9</v>
      </c>
      <c r="AF176" s="129">
        <f t="shared" si="62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3">AF178</f>
        <v>0.57999999999999996</v>
      </c>
      <c r="C178" s="130">
        <v>0.57999999999999996</v>
      </c>
      <c r="D178" s="129">
        <f t="shared" ref="D178:S190" si="64">C178</f>
        <v>0.57999999999999996</v>
      </c>
      <c r="E178" s="129">
        <f t="shared" si="64"/>
        <v>0.57999999999999996</v>
      </c>
      <c r="F178" s="129">
        <f t="shared" si="64"/>
        <v>0.57999999999999996</v>
      </c>
      <c r="G178" s="129">
        <f t="shared" si="64"/>
        <v>0.57999999999999996</v>
      </c>
      <c r="H178" s="129">
        <f t="shared" si="64"/>
        <v>0.57999999999999996</v>
      </c>
      <c r="I178" s="129">
        <f t="shared" si="64"/>
        <v>0.57999999999999996</v>
      </c>
      <c r="J178" s="129">
        <f t="shared" si="64"/>
        <v>0.57999999999999996</v>
      </c>
      <c r="K178" s="129">
        <f t="shared" si="64"/>
        <v>0.57999999999999996</v>
      </c>
      <c r="L178" s="129">
        <f t="shared" si="64"/>
        <v>0.57999999999999996</v>
      </c>
      <c r="M178" s="129">
        <f t="shared" si="64"/>
        <v>0.57999999999999996</v>
      </c>
      <c r="N178" s="129">
        <f t="shared" si="64"/>
        <v>0.57999999999999996</v>
      </c>
      <c r="O178" s="129">
        <f t="shared" si="64"/>
        <v>0.57999999999999996</v>
      </c>
      <c r="P178" s="129">
        <f t="shared" si="64"/>
        <v>0.57999999999999996</v>
      </c>
      <c r="Q178" s="129">
        <f t="shared" si="64"/>
        <v>0.57999999999999996</v>
      </c>
      <c r="R178" s="129">
        <f t="shared" si="64"/>
        <v>0.57999999999999996</v>
      </c>
      <c r="S178" s="129">
        <f t="shared" si="64"/>
        <v>0.57999999999999996</v>
      </c>
      <c r="T178" s="129">
        <f t="shared" ref="S178:AF190" si="65">S178</f>
        <v>0.57999999999999996</v>
      </c>
      <c r="U178" s="129">
        <f t="shared" si="65"/>
        <v>0.57999999999999996</v>
      </c>
      <c r="V178" s="129">
        <f t="shared" si="65"/>
        <v>0.57999999999999996</v>
      </c>
      <c r="W178" s="129">
        <f t="shared" si="65"/>
        <v>0.57999999999999996</v>
      </c>
      <c r="X178" s="129">
        <f t="shared" si="65"/>
        <v>0.57999999999999996</v>
      </c>
      <c r="Y178" s="129">
        <f t="shared" si="65"/>
        <v>0.57999999999999996</v>
      </c>
      <c r="Z178" s="129">
        <f t="shared" si="65"/>
        <v>0.57999999999999996</v>
      </c>
      <c r="AA178" s="129">
        <f t="shared" si="65"/>
        <v>0.57999999999999996</v>
      </c>
      <c r="AB178" s="129">
        <f t="shared" si="65"/>
        <v>0.57999999999999996</v>
      </c>
      <c r="AC178" s="129">
        <f t="shared" si="65"/>
        <v>0.57999999999999996</v>
      </c>
      <c r="AD178" s="129">
        <f t="shared" si="65"/>
        <v>0.57999999999999996</v>
      </c>
      <c r="AE178" s="129">
        <f t="shared" si="65"/>
        <v>0.57999999999999996</v>
      </c>
      <c r="AF178" s="129">
        <f t="shared" si="65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3"/>
        <v>0.8</v>
      </c>
      <c r="C179" s="130">
        <v>0.8</v>
      </c>
      <c r="D179" s="129">
        <f t="shared" si="64"/>
        <v>0.8</v>
      </c>
      <c r="E179" s="129">
        <f t="shared" si="64"/>
        <v>0.8</v>
      </c>
      <c r="F179" s="129">
        <f t="shared" si="64"/>
        <v>0.8</v>
      </c>
      <c r="G179" s="129">
        <f t="shared" si="64"/>
        <v>0.8</v>
      </c>
      <c r="H179" s="129">
        <f t="shared" si="64"/>
        <v>0.8</v>
      </c>
      <c r="I179" s="129">
        <f t="shared" si="64"/>
        <v>0.8</v>
      </c>
      <c r="J179" s="129">
        <f t="shared" si="64"/>
        <v>0.8</v>
      </c>
      <c r="K179" s="129">
        <f t="shared" si="64"/>
        <v>0.8</v>
      </c>
      <c r="L179" s="129">
        <f t="shared" si="64"/>
        <v>0.8</v>
      </c>
      <c r="M179" s="129">
        <f t="shared" si="64"/>
        <v>0.8</v>
      </c>
      <c r="N179" s="129">
        <f t="shared" si="64"/>
        <v>0.8</v>
      </c>
      <c r="O179" s="129">
        <f t="shared" si="64"/>
        <v>0.8</v>
      </c>
      <c r="P179" s="129">
        <f t="shared" si="64"/>
        <v>0.8</v>
      </c>
      <c r="Q179" s="129">
        <f t="shared" si="64"/>
        <v>0.8</v>
      </c>
      <c r="R179" s="129">
        <f t="shared" si="64"/>
        <v>0.8</v>
      </c>
      <c r="S179" s="129">
        <f t="shared" si="64"/>
        <v>0.8</v>
      </c>
      <c r="T179" s="129">
        <f t="shared" si="65"/>
        <v>0.8</v>
      </c>
      <c r="U179" s="129">
        <f t="shared" si="65"/>
        <v>0.8</v>
      </c>
      <c r="V179" s="129">
        <f t="shared" si="65"/>
        <v>0.8</v>
      </c>
      <c r="W179" s="129">
        <f t="shared" si="65"/>
        <v>0.8</v>
      </c>
      <c r="X179" s="129">
        <f t="shared" si="65"/>
        <v>0.8</v>
      </c>
      <c r="Y179" s="129">
        <f t="shared" si="65"/>
        <v>0.8</v>
      </c>
      <c r="Z179" s="129">
        <f t="shared" si="65"/>
        <v>0.8</v>
      </c>
      <c r="AA179" s="129">
        <f t="shared" si="65"/>
        <v>0.8</v>
      </c>
      <c r="AB179" s="129">
        <f t="shared" si="65"/>
        <v>0.8</v>
      </c>
      <c r="AC179" s="129">
        <f t="shared" si="65"/>
        <v>0.8</v>
      </c>
      <c r="AD179" s="129">
        <f t="shared" si="65"/>
        <v>0.8</v>
      </c>
      <c r="AE179" s="129">
        <f t="shared" si="65"/>
        <v>0.8</v>
      </c>
      <c r="AF179" s="129">
        <f t="shared" si="65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3"/>
        <v>0</v>
      </c>
      <c r="C180" s="130">
        <v>0</v>
      </c>
      <c r="D180" s="129">
        <f t="shared" si="64"/>
        <v>0</v>
      </c>
      <c r="E180" s="129">
        <f t="shared" si="64"/>
        <v>0</v>
      </c>
      <c r="F180" s="129">
        <f t="shared" si="64"/>
        <v>0</v>
      </c>
      <c r="G180" s="129">
        <f t="shared" si="64"/>
        <v>0</v>
      </c>
      <c r="H180" s="129">
        <f t="shared" si="64"/>
        <v>0</v>
      </c>
      <c r="I180" s="129">
        <f t="shared" si="64"/>
        <v>0</v>
      </c>
      <c r="J180" s="129">
        <f t="shared" si="64"/>
        <v>0</v>
      </c>
      <c r="K180" s="129">
        <f t="shared" si="64"/>
        <v>0</v>
      </c>
      <c r="L180" s="129">
        <f t="shared" si="64"/>
        <v>0</v>
      </c>
      <c r="M180" s="129">
        <f t="shared" si="64"/>
        <v>0</v>
      </c>
      <c r="N180" s="129">
        <f t="shared" si="64"/>
        <v>0</v>
      </c>
      <c r="O180" s="129">
        <f t="shared" si="64"/>
        <v>0</v>
      </c>
      <c r="P180" s="129">
        <f t="shared" si="64"/>
        <v>0</v>
      </c>
      <c r="Q180" s="129">
        <f t="shared" si="64"/>
        <v>0</v>
      </c>
      <c r="R180" s="129">
        <f t="shared" si="64"/>
        <v>0</v>
      </c>
      <c r="S180" s="129">
        <f t="shared" si="64"/>
        <v>0</v>
      </c>
      <c r="T180" s="129">
        <f t="shared" si="65"/>
        <v>0</v>
      </c>
      <c r="U180" s="129">
        <f t="shared" si="65"/>
        <v>0</v>
      </c>
      <c r="V180" s="129">
        <f t="shared" si="65"/>
        <v>0</v>
      </c>
      <c r="W180" s="129">
        <f t="shared" si="65"/>
        <v>0</v>
      </c>
      <c r="X180" s="129">
        <f t="shared" si="65"/>
        <v>0</v>
      </c>
      <c r="Y180" s="129">
        <f t="shared" si="65"/>
        <v>0</v>
      </c>
      <c r="Z180" s="129">
        <f t="shared" si="65"/>
        <v>0</v>
      </c>
      <c r="AA180" s="129">
        <f t="shared" si="65"/>
        <v>0</v>
      </c>
      <c r="AB180" s="129">
        <f t="shared" si="65"/>
        <v>0</v>
      </c>
      <c r="AC180" s="129">
        <f t="shared" si="65"/>
        <v>0</v>
      </c>
      <c r="AD180" s="129">
        <f t="shared" si="65"/>
        <v>0</v>
      </c>
      <c r="AE180" s="129">
        <f t="shared" si="65"/>
        <v>0</v>
      </c>
      <c r="AF180" s="129">
        <f t="shared" si="65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3"/>
        <v>0.6</v>
      </c>
      <c r="C181" s="130">
        <v>0.6</v>
      </c>
      <c r="D181" s="129">
        <f t="shared" si="64"/>
        <v>0.6</v>
      </c>
      <c r="E181" s="129">
        <f t="shared" si="64"/>
        <v>0.6</v>
      </c>
      <c r="F181" s="129">
        <f t="shared" si="64"/>
        <v>0.6</v>
      </c>
      <c r="G181" s="129">
        <f t="shared" si="64"/>
        <v>0.6</v>
      </c>
      <c r="H181" s="129">
        <f t="shared" si="64"/>
        <v>0.6</v>
      </c>
      <c r="I181" s="129">
        <f t="shared" si="64"/>
        <v>0.6</v>
      </c>
      <c r="J181" s="129">
        <f t="shared" si="64"/>
        <v>0.6</v>
      </c>
      <c r="K181" s="129">
        <f t="shared" si="64"/>
        <v>0.6</v>
      </c>
      <c r="L181" s="129">
        <f t="shared" si="64"/>
        <v>0.6</v>
      </c>
      <c r="M181" s="129">
        <f t="shared" si="64"/>
        <v>0.6</v>
      </c>
      <c r="N181" s="129">
        <f t="shared" si="64"/>
        <v>0.6</v>
      </c>
      <c r="O181" s="129">
        <f t="shared" si="64"/>
        <v>0.6</v>
      </c>
      <c r="P181" s="129">
        <f t="shared" si="64"/>
        <v>0.6</v>
      </c>
      <c r="Q181" s="129">
        <f t="shared" si="64"/>
        <v>0.6</v>
      </c>
      <c r="R181" s="129">
        <f t="shared" si="64"/>
        <v>0.6</v>
      </c>
      <c r="S181" s="129">
        <f t="shared" si="64"/>
        <v>0.6</v>
      </c>
      <c r="T181" s="129">
        <f t="shared" si="65"/>
        <v>0.6</v>
      </c>
      <c r="U181" s="129">
        <f t="shared" si="65"/>
        <v>0.6</v>
      </c>
      <c r="V181" s="129">
        <f t="shared" si="65"/>
        <v>0.6</v>
      </c>
      <c r="W181" s="129">
        <f t="shared" si="65"/>
        <v>0.6</v>
      </c>
      <c r="X181" s="129">
        <f t="shared" si="65"/>
        <v>0.6</v>
      </c>
      <c r="Y181" s="129">
        <f t="shared" si="65"/>
        <v>0.6</v>
      </c>
      <c r="Z181" s="129">
        <f t="shared" si="65"/>
        <v>0.6</v>
      </c>
      <c r="AA181" s="129">
        <f t="shared" si="65"/>
        <v>0.6</v>
      </c>
      <c r="AB181" s="129">
        <f t="shared" si="65"/>
        <v>0.6</v>
      </c>
      <c r="AC181" s="129">
        <f t="shared" si="65"/>
        <v>0.6</v>
      </c>
      <c r="AD181" s="129">
        <f t="shared" si="65"/>
        <v>0.6</v>
      </c>
      <c r="AE181" s="129">
        <f t="shared" si="65"/>
        <v>0.6</v>
      </c>
      <c r="AF181" s="129">
        <f t="shared" si="65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3"/>
        <v>0.6</v>
      </c>
      <c r="C182" s="130">
        <v>0.6</v>
      </c>
      <c r="D182" s="129">
        <f t="shared" si="64"/>
        <v>0.6</v>
      </c>
      <c r="E182" s="129">
        <f t="shared" si="64"/>
        <v>0.6</v>
      </c>
      <c r="F182" s="129">
        <f t="shared" si="64"/>
        <v>0.6</v>
      </c>
      <c r="G182" s="129">
        <f t="shared" si="64"/>
        <v>0.6</v>
      </c>
      <c r="H182" s="129">
        <f t="shared" si="64"/>
        <v>0.6</v>
      </c>
      <c r="I182" s="129">
        <f t="shared" si="64"/>
        <v>0.6</v>
      </c>
      <c r="J182" s="129">
        <f t="shared" si="64"/>
        <v>0.6</v>
      </c>
      <c r="K182" s="129">
        <f t="shared" si="64"/>
        <v>0.6</v>
      </c>
      <c r="L182" s="129">
        <f t="shared" si="64"/>
        <v>0.6</v>
      </c>
      <c r="M182" s="129">
        <f t="shared" si="64"/>
        <v>0.6</v>
      </c>
      <c r="N182" s="129">
        <f t="shared" si="64"/>
        <v>0.6</v>
      </c>
      <c r="O182" s="129">
        <f t="shared" si="64"/>
        <v>0.6</v>
      </c>
      <c r="P182" s="129">
        <f t="shared" si="64"/>
        <v>0.6</v>
      </c>
      <c r="Q182" s="129">
        <f t="shared" si="64"/>
        <v>0.6</v>
      </c>
      <c r="R182" s="129">
        <f t="shared" si="64"/>
        <v>0.6</v>
      </c>
      <c r="S182" s="129">
        <f t="shared" si="64"/>
        <v>0.6</v>
      </c>
      <c r="T182" s="129">
        <f t="shared" si="65"/>
        <v>0.6</v>
      </c>
      <c r="U182" s="129">
        <f t="shared" si="65"/>
        <v>0.6</v>
      </c>
      <c r="V182" s="129">
        <f t="shared" si="65"/>
        <v>0.6</v>
      </c>
      <c r="W182" s="129">
        <f t="shared" si="65"/>
        <v>0.6</v>
      </c>
      <c r="X182" s="129">
        <f t="shared" si="65"/>
        <v>0.6</v>
      </c>
      <c r="Y182" s="129">
        <f t="shared" si="65"/>
        <v>0.6</v>
      </c>
      <c r="Z182" s="129">
        <f t="shared" si="65"/>
        <v>0.6</v>
      </c>
      <c r="AA182" s="129">
        <f t="shared" si="65"/>
        <v>0.6</v>
      </c>
      <c r="AB182" s="129">
        <f t="shared" si="65"/>
        <v>0.6</v>
      </c>
      <c r="AC182" s="129">
        <f t="shared" si="65"/>
        <v>0.6</v>
      </c>
      <c r="AD182" s="129">
        <f t="shared" si="65"/>
        <v>0.6</v>
      </c>
      <c r="AE182" s="129">
        <f t="shared" si="65"/>
        <v>0.6</v>
      </c>
      <c r="AF182" s="129">
        <f t="shared" si="65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3"/>
        <v>0.35</v>
      </c>
      <c r="C183" s="130">
        <v>0.35</v>
      </c>
      <c r="D183" s="129">
        <f t="shared" si="64"/>
        <v>0.35</v>
      </c>
      <c r="E183" s="129">
        <f t="shared" si="64"/>
        <v>0.35</v>
      </c>
      <c r="F183" s="129">
        <f t="shared" si="64"/>
        <v>0.35</v>
      </c>
      <c r="G183" s="129">
        <f t="shared" si="64"/>
        <v>0.35</v>
      </c>
      <c r="H183" s="129">
        <f t="shared" si="64"/>
        <v>0.35</v>
      </c>
      <c r="I183" s="129">
        <f t="shared" si="64"/>
        <v>0.35</v>
      </c>
      <c r="J183" s="129">
        <f t="shared" si="64"/>
        <v>0.35</v>
      </c>
      <c r="K183" s="129">
        <f t="shared" si="64"/>
        <v>0.35</v>
      </c>
      <c r="L183" s="129">
        <f t="shared" si="64"/>
        <v>0.35</v>
      </c>
      <c r="M183" s="129">
        <f t="shared" si="64"/>
        <v>0.35</v>
      </c>
      <c r="N183" s="129">
        <f t="shared" si="64"/>
        <v>0.35</v>
      </c>
      <c r="O183" s="129">
        <f t="shared" si="64"/>
        <v>0.35</v>
      </c>
      <c r="P183" s="129">
        <f t="shared" si="64"/>
        <v>0.35</v>
      </c>
      <c r="Q183" s="129">
        <f t="shared" si="64"/>
        <v>0.35</v>
      </c>
      <c r="R183" s="129">
        <f t="shared" si="64"/>
        <v>0.35</v>
      </c>
      <c r="S183" s="129">
        <f t="shared" si="64"/>
        <v>0.35</v>
      </c>
      <c r="T183" s="129">
        <f t="shared" si="65"/>
        <v>0.35</v>
      </c>
      <c r="U183" s="129">
        <f t="shared" si="65"/>
        <v>0.35</v>
      </c>
      <c r="V183" s="129">
        <f t="shared" si="65"/>
        <v>0.35</v>
      </c>
      <c r="W183" s="129">
        <f t="shared" si="65"/>
        <v>0.35</v>
      </c>
      <c r="X183" s="129">
        <f t="shared" si="65"/>
        <v>0.35</v>
      </c>
      <c r="Y183" s="129">
        <f t="shared" si="65"/>
        <v>0.35</v>
      </c>
      <c r="Z183" s="129">
        <f t="shared" si="65"/>
        <v>0.35</v>
      </c>
      <c r="AA183" s="129">
        <f t="shared" si="65"/>
        <v>0.35</v>
      </c>
      <c r="AB183" s="129">
        <f t="shared" si="65"/>
        <v>0.35</v>
      </c>
      <c r="AC183" s="129">
        <f t="shared" si="65"/>
        <v>0.35</v>
      </c>
      <c r="AD183" s="129">
        <f t="shared" si="65"/>
        <v>0.35</v>
      </c>
      <c r="AE183" s="129">
        <f t="shared" si="65"/>
        <v>0.35</v>
      </c>
      <c r="AF183" s="129">
        <f t="shared" si="65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3"/>
        <v>0.28999999999999998</v>
      </c>
      <c r="C184" s="130">
        <v>0.28999999999999998</v>
      </c>
      <c r="D184" s="129">
        <f t="shared" si="64"/>
        <v>0.28999999999999998</v>
      </c>
      <c r="E184" s="129">
        <f t="shared" si="64"/>
        <v>0.28999999999999998</v>
      </c>
      <c r="F184" s="129">
        <f t="shared" si="64"/>
        <v>0.28999999999999998</v>
      </c>
      <c r="G184" s="129">
        <f t="shared" si="64"/>
        <v>0.28999999999999998</v>
      </c>
      <c r="H184" s="129">
        <f t="shared" si="64"/>
        <v>0.28999999999999998</v>
      </c>
      <c r="I184" s="129">
        <f t="shared" si="64"/>
        <v>0.28999999999999998</v>
      </c>
      <c r="J184" s="129">
        <f t="shared" si="64"/>
        <v>0.28999999999999998</v>
      </c>
      <c r="K184" s="129">
        <f t="shared" si="64"/>
        <v>0.28999999999999998</v>
      </c>
      <c r="L184" s="129">
        <f t="shared" si="64"/>
        <v>0.28999999999999998</v>
      </c>
      <c r="M184" s="129">
        <f t="shared" si="64"/>
        <v>0.28999999999999998</v>
      </c>
      <c r="N184" s="129">
        <f t="shared" si="64"/>
        <v>0.28999999999999998</v>
      </c>
      <c r="O184" s="129">
        <f t="shared" si="64"/>
        <v>0.28999999999999998</v>
      </c>
      <c r="P184" s="129">
        <f t="shared" si="64"/>
        <v>0.28999999999999998</v>
      </c>
      <c r="Q184" s="129">
        <f t="shared" si="64"/>
        <v>0.28999999999999998</v>
      </c>
      <c r="R184" s="129">
        <f t="shared" si="64"/>
        <v>0.28999999999999998</v>
      </c>
      <c r="S184" s="129">
        <f t="shared" si="64"/>
        <v>0.28999999999999998</v>
      </c>
      <c r="T184" s="129">
        <f t="shared" si="65"/>
        <v>0.28999999999999998</v>
      </c>
      <c r="U184" s="129">
        <f t="shared" si="65"/>
        <v>0.28999999999999998</v>
      </c>
      <c r="V184" s="129">
        <f t="shared" si="65"/>
        <v>0.28999999999999998</v>
      </c>
      <c r="W184" s="129">
        <f t="shared" si="65"/>
        <v>0.28999999999999998</v>
      </c>
      <c r="X184" s="129">
        <f t="shared" si="65"/>
        <v>0.28999999999999998</v>
      </c>
      <c r="Y184" s="129">
        <f t="shared" si="65"/>
        <v>0.28999999999999998</v>
      </c>
      <c r="Z184" s="129">
        <f t="shared" si="65"/>
        <v>0.28999999999999998</v>
      </c>
      <c r="AA184" s="129">
        <f t="shared" si="65"/>
        <v>0.28999999999999998</v>
      </c>
      <c r="AB184" s="129">
        <f t="shared" si="65"/>
        <v>0.28999999999999998</v>
      </c>
      <c r="AC184" s="129">
        <f t="shared" si="65"/>
        <v>0.28999999999999998</v>
      </c>
      <c r="AD184" s="129">
        <f t="shared" si="65"/>
        <v>0.28999999999999998</v>
      </c>
      <c r="AE184" s="129">
        <f t="shared" si="65"/>
        <v>0.28999999999999998</v>
      </c>
      <c r="AF184" s="129">
        <f t="shared" si="65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3"/>
        <v>0.06</v>
      </c>
      <c r="C185" s="130">
        <v>0.06</v>
      </c>
      <c r="D185" s="129">
        <f t="shared" si="64"/>
        <v>0.06</v>
      </c>
      <c r="E185" s="129">
        <f t="shared" si="64"/>
        <v>0.06</v>
      </c>
      <c r="F185" s="129">
        <f t="shared" si="64"/>
        <v>0.06</v>
      </c>
      <c r="G185" s="129">
        <f t="shared" si="64"/>
        <v>0.06</v>
      </c>
      <c r="H185" s="129">
        <f t="shared" si="64"/>
        <v>0.06</v>
      </c>
      <c r="I185" s="129">
        <f t="shared" si="64"/>
        <v>0.06</v>
      </c>
      <c r="J185" s="129">
        <f t="shared" si="64"/>
        <v>0.06</v>
      </c>
      <c r="K185" s="129">
        <f t="shared" si="64"/>
        <v>0.06</v>
      </c>
      <c r="L185" s="129">
        <f t="shared" si="64"/>
        <v>0.06</v>
      </c>
      <c r="M185" s="129">
        <f t="shared" si="64"/>
        <v>0.06</v>
      </c>
      <c r="N185" s="129">
        <f t="shared" si="64"/>
        <v>0.06</v>
      </c>
      <c r="O185" s="129">
        <f t="shared" si="64"/>
        <v>0.06</v>
      </c>
      <c r="P185" s="129">
        <f t="shared" si="64"/>
        <v>0.06</v>
      </c>
      <c r="Q185" s="129">
        <f t="shared" si="64"/>
        <v>0.06</v>
      </c>
      <c r="R185" s="129">
        <f t="shared" si="64"/>
        <v>0.06</v>
      </c>
      <c r="S185" s="129">
        <f t="shared" si="64"/>
        <v>0.06</v>
      </c>
      <c r="T185" s="129">
        <f t="shared" si="65"/>
        <v>0.06</v>
      </c>
      <c r="U185" s="129">
        <f t="shared" si="65"/>
        <v>0.06</v>
      </c>
      <c r="V185" s="129">
        <f t="shared" si="65"/>
        <v>0.06</v>
      </c>
      <c r="W185" s="129">
        <f t="shared" si="65"/>
        <v>0.06</v>
      </c>
      <c r="X185" s="129">
        <f t="shared" si="65"/>
        <v>0.06</v>
      </c>
      <c r="Y185" s="129">
        <f t="shared" si="65"/>
        <v>0.06</v>
      </c>
      <c r="Z185" s="129">
        <f t="shared" si="65"/>
        <v>0.06</v>
      </c>
      <c r="AA185" s="129">
        <f t="shared" si="65"/>
        <v>0.06</v>
      </c>
      <c r="AB185" s="129">
        <f t="shared" si="65"/>
        <v>0.06</v>
      </c>
      <c r="AC185" s="129">
        <f t="shared" si="65"/>
        <v>0.06</v>
      </c>
      <c r="AD185" s="129">
        <f t="shared" si="65"/>
        <v>0.06</v>
      </c>
      <c r="AE185" s="129">
        <f t="shared" si="65"/>
        <v>0.06</v>
      </c>
      <c r="AF185" s="129">
        <f t="shared" si="65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3"/>
        <v>0.11</v>
      </c>
      <c r="C186" s="130">
        <v>0.11</v>
      </c>
      <c r="D186" s="129">
        <f t="shared" si="64"/>
        <v>0.11</v>
      </c>
      <c r="E186" s="129">
        <f t="shared" si="64"/>
        <v>0.11</v>
      </c>
      <c r="F186" s="129">
        <f t="shared" si="64"/>
        <v>0.11</v>
      </c>
      <c r="G186" s="129">
        <f t="shared" si="64"/>
        <v>0.11</v>
      </c>
      <c r="H186" s="129">
        <f t="shared" si="64"/>
        <v>0.11</v>
      </c>
      <c r="I186" s="129">
        <f t="shared" si="64"/>
        <v>0.11</v>
      </c>
      <c r="J186" s="129">
        <f t="shared" si="64"/>
        <v>0.11</v>
      </c>
      <c r="K186" s="129">
        <f t="shared" si="64"/>
        <v>0.11</v>
      </c>
      <c r="L186" s="129">
        <f t="shared" si="64"/>
        <v>0.11</v>
      </c>
      <c r="M186" s="129">
        <f t="shared" si="64"/>
        <v>0.11</v>
      </c>
      <c r="N186" s="129">
        <f t="shared" si="64"/>
        <v>0.11</v>
      </c>
      <c r="O186" s="129">
        <f t="shared" si="64"/>
        <v>0.11</v>
      </c>
      <c r="P186" s="129">
        <f t="shared" si="64"/>
        <v>0.11</v>
      </c>
      <c r="Q186" s="129">
        <f t="shared" si="64"/>
        <v>0.11</v>
      </c>
      <c r="R186" s="129">
        <f t="shared" si="64"/>
        <v>0.11</v>
      </c>
      <c r="S186" s="129">
        <f t="shared" si="64"/>
        <v>0.11</v>
      </c>
      <c r="T186" s="129">
        <f t="shared" si="65"/>
        <v>0.11</v>
      </c>
      <c r="U186" s="129">
        <f t="shared" si="65"/>
        <v>0.11</v>
      </c>
      <c r="V186" s="129">
        <f t="shared" si="65"/>
        <v>0.11</v>
      </c>
      <c r="W186" s="129">
        <f t="shared" si="65"/>
        <v>0.11</v>
      </c>
      <c r="X186" s="129">
        <f t="shared" si="65"/>
        <v>0.11</v>
      </c>
      <c r="Y186" s="129">
        <f t="shared" si="65"/>
        <v>0.11</v>
      </c>
      <c r="Z186" s="129">
        <f t="shared" si="65"/>
        <v>0.11</v>
      </c>
      <c r="AA186" s="129">
        <f t="shared" si="65"/>
        <v>0.11</v>
      </c>
      <c r="AB186" s="129">
        <f t="shared" si="65"/>
        <v>0.11</v>
      </c>
      <c r="AC186" s="129">
        <f t="shared" si="65"/>
        <v>0.11</v>
      </c>
      <c r="AD186" s="129">
        <f t="shared" si="65"/>
        <v>0.11</v>
      </c>
      <c r="AE186" s="129">
        <f t="shared" si="65"/>
        <v>0.11</v>
      </c>
      <c r="AF186" s="129">
        <f t="shared" si="65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3"/>
        <v>0.1</v>
      </c>
      <c r="C187" s="130">
        <v>0.1</v>
      </c>
      <c r="D187" s="129">
        <f t="shared" si="64"/>
        <v>0.1</v>
      </c>
      <c r="E187" s="129">
        <f t="shared" si="64"/>
        <v>0.1</v>
      </c>
      <c r="F187" s="129">
        <f t="shared" si="64"/>
        <v>0.1</v>
      </c>
      <c r="G187" s="129">
        <f t="shared" si="64"/>
        <v>0.1</v>
      </c>
      <c r="H187" s="129">
        <f t="shared" si="64"/>
        <v>0.1</v>
      </c>
      <c r="I187" s="129">
        <f t="shared" si="64"/>
        <v>0.1</v>
      </c>
      <c r="J187" s="129">
        <f t="shared" si="64"/>
        <v>0.1</v>
      </c>
      <c r="K187" s="129">
        <f t="shared" si="64"/>
        <v>0.1</v>
      </c>
      <c r="L187" s="129">
        <f t="shared" si="64"/>
        <v>0.1</v>
      </c>
      <c r="M187" s="129">
        <f t="shared" si="64"/>
        <v>0.1</v>
      </c>
      <c r="N187" s="129">
        <f t="shared" si="64"/>
        <v>0.1</v>
      </c>
      <c r="O187" s="129">
        <f t="shared" si="64"/>
        <v>0.1</v>
      </c>
      <c r="P187" s="129">
        <f t="shared" si="64"/>
        <v>0.1</v>
      </c>
      <c r="Q187" s="129">
        <f t="shared" si="64"/>
        <v>0.1</v>
      </c>
      <c r="R187" s="129">
        <f t="shared" si="64"/>
        <v>0.1</v>
      </c>
      <c r="S187" s="129">
        <f t="shared" si="65"/>
        <v>0.1</v>
      </c>
      <c r="T187" s="129">
        <f t="shared" si="65"/>
        <v>0.1</v>
      </c>
      <c r="U187" s="129">
        <f t="shared" si="65"/>
        <v>0.1</v>
      </c>
      <c r="V187" s="129">
        <f t="shared" si="65"/>
        <v>0.1</v>
      </c>
      <c r="W187" s="129">
        <f t="shared" si="65"/>
        <v>0.1</v>
      </c>
      <c r="X187" s="129">
        <f t="shared" si="65"/>
        <v>0.1</v>
      </c>
      <c r="Y187" s="129">
        <f t="shared" si="65"/>
        <v>0.1</v>
      </c>
      <c r="Z187" s="129">
        <f t="shared" si="65"/>
        <v>0.1</v>
      </c>
      <c r="AA187" s="129">
        <f t="shared" si="65"/>
        <v>0.1</v>
      </c>
      <c r="AB187" s="129">
        <f t="shared" si="65"/>
        <v>0.1</v>
      </c>
      <c r="AC187" s="129">
        <f t="shared" si="65"/>
        <v>0.1</v>
      </c>
      <c r="AD187" s="129">
        <f t="shared" si="65"/>
        <v>0.1</v>
      </c>
      <c r="AE187" s="129">
        <f t="shared" si="65"/>
        <v>0.1</v>
      </c>
      <c r="AF187" s="129">
        <f t="shared" si="65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3"/>
        <v>0.09</v>
      </c>
      <c r="C188" s="130">
        <v>0.09</v>
      </c>
      <c r="D188" s="129">
        <f t="shared" si="64"/>
        <v>0.09</v>
      </c>
      <c r="E188" s="129">
        <f t="shared" si="64"/>
        <v>0.09</v>
      </c>
      <c r="F188" s="129">
        <f t="shared" si="64"/>
        <v>0.09</v>
      </c>
      <c r="G188" s="129">
        <f t="shared" si="64"/>
        <v>0.09</v>
      </c>
      <c r="H188" s="129">
        <f t="shared" si="64"/>
        <v>0.09</v>
      </c>
      <c r="I188" s="129">
        <f t="shared" si="64"/>
        <v>0.09</v>
      </c>
      <c r="J188" s="129">
        <f t="shared" si="64"/>
        <v>0.09</v>
      </c>
      <c r="K188" s="129">
        <f t="shared" si="64"/>
        <v>0.09</v>
      </c>
      <c r="L188" s="129">
        <f t="shared" si="64"/>
        <v>0.09</v>
      </c>
      <c r="M188" s="129">
        <f t="shared" si="64"/>
        <v>0.09</v>
      </c>
      <c r="N188" s="129">
        <f t="shared" si="64"/>
        <v>0.09</v>
      </c>
      <c r="O188" s="129">
        <f t="shared" si="64"/>
        <v>0.09</v>
      </c>
      <c r="P188" s="129">
        <f t="shared" si="64"/>
        <v>0.09</v>
      </c>
      <c r="Q188" s="129">
        <f t="shared" si="64"/>
        <v>0.09</v>
      </c>
      <c r="R188" s="129">
        <f t="shared" si="64"/>
        <v>0.09</v>
      </c>
      <c r="S188" s="129">
        <f t="shared" si="65"/>
        <v>0.09</v>
      </c>
      <c r="T188" s="129">
        <f t="shared" si="65"/>
        <v>0.09</v>
      </c>
      <c r="U188" s="129">
        <f t="shared" si="65"/>
        <v>0.09</v>
      </c>
      <c r="V188" s="129">
        <f t="shared" si="65"/>
        <v>0.09</v>
      </c>
      <c r="W188" s="129">
        <f t="shared" si="65"/>
        <v>0.09</v>
      </c>
      <c r="X188" s="129">
        <f t="shared" si="65"/>
        <v>0.09</v>
      </c>
      <c r="Y188" s="129">
        <f t="shared" si="65"/>
        <v>0.09</v>
      </c>
      <c r="Z188" s="129">
        <f t="shared" si="65"/>
        <v>0.09</v>
      </c>
      <c r="AA188" s="129">
        <f t="shared" si="65"/>
        <v>0.09</v>
      </c>
      <c r="AB188" s="129">
        <f t="shared" si="65"/>
        <v>0.09</v>
      </c>
      <c r="AC188" s="129">
        <f t="shared" si="65"/>
        <v>0.09</v>
      </c>
      <c r="AD188" s="129">
        <f t="shared" si="65"/>
        <v>0.09</v>
      </c>
      <c r="AE188" s="129">
        <f t="shared" si="65"/>
        <v>0.09</v>
      </c>
      <c r="AF188" s="129">
        <f t="shared" si="65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3"/>
        <v>0.04</v>
      </c>
      <c r="C189" s="53">
        <v>0.04</v>
      </c>
      <c r="D189" s="129">
        <f t="shared" si="64"/>
        <v>0.04</v>
      </c>
      <c r="E189" s="129">
        <f t="shared" si="64"/>
        <v>0.04</v>
      </c>
      <c r="F189" s="129">
        <f t="shared" si="64"/>
        <v>0.04</v>
      </c>
      <c r="G189" s="129">
        <f t="shared" si="64"/>
        <v>0.04</v>
      </c>
      <c r="H189" s="129">
        <f t="shared" si="64"/>
        <v>0.04</v>
      </c>
      <c r="I189" s="129">
        <f t="shared" si="64"/>
        <v>0.04</v>
      </c>
      <c r="J189" s="129">
        <f t="shared" si="64"/>
        <v>0.04</v>
      </c>
      <c r="K189" s="129">
        <f t="shared" si="64"/>
        <v>0.04</v>
      </c>
      <c r="L189" s="129">
        <f t="shared" si="64"/>
        <v>0.04</v>
      </c>
      <c r="M189" s="129">
        <f t="shared" si="64"/>
        <v>0.04</v>
      </c>
      <c r="N189" s="129">
        <f t="shared" si="64"/>
        <v>0.04</v>
      </c>
      <c r="O189" s="129">
        <f t="shared" si="64"/>
        <v>0.04</v>
      </c>
      <c r="P189" s="129">
        <f t="shared" si="64"/>
        <v>0.04</v>
      </c>
      <c r="Q189" s="129">
        <f t="shared" si="64"/>
        <v>0.04</v>
      </c>
      <c r="R189" s="129">
        <f t="shared" si="64"/>
        <v>0.04</v>
      </c>
      <c r="S189" s="129">
        <f t="shared" si="65"/>
        <v>0.04</v>
      </c>
      <c r="T189" s="129">
        <f t="shared" si="65"/>
        <v>0.04</v>
      </c>
      <c r="U189" s="129">
        <f t="shared" si="65"/>
        <v>0.04</v>
      </c>
      <c r="V189" s="129">
        <f t="shared" si="65"/>
        <v>0.04</v>
      </c>
      <c r="W189" s="129">
        <f t="shared" si="65"/>
        <v>0.04</v>
      </c>
      <c r="X189" s="129">
        <f t="shared" si="65"/>
        <v>0.04</v>
      </c>
      <c r="Y189" s="129">
        <f t="shared" si="65"/>
        <v>0.04</v>
      </c>
      <c r="Z189" s="129">
        <f t="shared" si="65"/>
        <v>0.04</v>
      </c>
      <c r="AA189" s="129">
        <f t="shared" si="65"/>
        <v>0.04</v>
      </c>
      <c r="AB189" s="129">
        <f t="shared" si="65"/>
        <v>0.04</v>
      </c>
      <c r="AC189" s="129">
        <f t="shared" si="65"/>
        <v>0.04</v>
      </c>
      <c r="AD189" s="129">
        <f t="shared" si="65"/>
        <v>0.04</v>
      </c>
      <c r="AE189" s="129">
        <f t="shared" si="65"/>
        <v>0.04</v>
      </c>
      <c r="AF189" s="129">
        <f t="shared" si="65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3"/>
        <v>2.3E-2</v>
      </c>
      <c r="C190" s="53">
        <v>2.3E-2</v>
      </c>
      <c r="D190" s="129">
        <f>C190</f>
        <v>2.3E-2</v>
      </c>
      <c r="E190" s="129">
        <f t="shared" si="64"/>
        <v>2.3E-2</v>
      </c>
      <c r="F190" s="129">
        <f t="shared" si="64"/>
        <v>2.3E-2</v>
      </c>
      <c r="G190" s="129">
        <f t="shared" si="64"/>
        <v>2.3E-2</v>
      </c>
      <c r="H190" s="129">
        <f t="shared" si="64"/>
        <v>2.3E-2</v>
      </c>
      <c r="I190" s="129">
        <f t="shared" si="64"/>
        <v>2.3E-2</v>
      </c>
      <c r="J190" s="129">
        <f t="shared" si="64"/>
        <v>2.3E-2</v>
      </c>
      <c r="K190" s="129">
        <f t="shared" si="64"/>
        <v>2.3E-2</v>
      </c>
      <c r="L190" s="129">
        <f t="shared" si="64"/>
        <v>2.3E-2</v>
      </c>
      <c r="M190" s="129">
        <f t="shared" si="64"/>
        <v>2.3E-2</v>
      </c>
      <c r="N190" s="129">
        <f t="shared" si="64"/>
        <v>2.3E-2</v>
      </c>
      <c r="O190" s="129">
        <f t="shared" si="64"/>
        <v>2.3E-2</v>
      </c>
      <c r="P190" s="129">
        <f t="shared" si="64"/>
        <v>2.3E-2</v>
      </c>
      <c r="Q190" s="129">
        <f t="shared" si="64"/>
        <v>2.3E-2</v>
      </c>
      <c r="R190" s="129">
        <f t="shared" si="64"/>
        <v>2.3E-2</v>
      </c>
      <c r="S190" s="129">
        <f t="shared" si="65"/>
        <v>2.3E-2</v>
      </c>
      <c r="T190" s="129">
        <f t="shared" si="65"/>
        <v>2.3E-2</v>
      </c>
      <c r="U190" s="129">
        <f t="shared" si="65"/>
        <v>2.3E-2</v>
      </c>
      <c r="V190" s="129">
        <f t="shared" si="65"/>
        <v>2.3E-2</v>
      </c>
      <c r="W190" s="129">
        <f t="shared" si="65"/>
        <v>2.3E-2</v>
      </c>
      <c r="X190" s="129">
        <f t="shared" si="65"/>
        <v>2.3E-2</v>
      </c>
      <c r="Y190" s="129">
        <f t="shared" si="65"/>
        <v>2.3E-2</v>
      </c>
      <c r="Z190" s="129">
        <f t="shared" si="65"/>
        <v>2.3E-2</v>
      </c>
      <c r="AA190" s="129">
        <f t="shared" si="65"/>
        <v>2.3E-2</v>
      </c>
      <c r="AB190" s="129">
        <f t="shared" si="65"/>
        <v>2.3E-2</v>
      </c>
      <c r="AC190" s="129">
        <f t="shared" si="65"/>
        <v>2.3E-2</v>
      </c>
      <c r="AD190" s="129">
        <f t="shared" si="65"/>
        <v>2.3E-2</v>
      </c>
      <c r="AE190" s="129">
        <f t="shared" si="65"/>
        <v>2.3E-2</v>
      </c>
      <c r="AF190" s="129">
        <f t="shared" si="65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6">SUM(C101:C190)</f>
        <v>194.70600000000002</v>
      </c>
      <c r="D191" s="134">
        <f t="shared" si="66"/>
        <v>194.70600000000002</v>
      </c>
      <c r="E191" s="134">
        <f t="shared" si="66"/>
        <v>194.70600000000002</v>
      </c>
      <c r="F191" s="134">
        <f t="shared" si="66"/>
        <v>194.70600000000002</v>
      </c>
      <c r="G191" s="134">
        <f t="shared" si="66"/>
        <v>194.70600000000002</v>
      </c>
      <c r="H191" s="134">
        <f t="shared" si="66"/>
        <v>194.70600000000002</v>
      </c>
      <c r="I191" s="134">
        <f t="shared" si="66"/>
        <v>194.70600000000002</v>
      </c>
      <c r="J191" s="134">
        <f t="shared" si="66"/>
        <v>192.10600000000005</v>
      </c>
      <c r="K191" s="134">
        <f t="shared" si="66"/>
        <v>192.10600000000005</v>
      </c>
      <c r="L191" s="134">
        <f t="shared" si="66"/>
        <v>192.10600000000005</v>
      </c>
      <c r="M191" s="134">
        <f t="shared" si="66"/>
        <v>192.10600000000005</v>
      </c>
      <c r="N191" s="134">
        <f t="shared" si="66"/>
        <v>192.10600000000005</v>
      </c>
      <c r="O191" s="134">
        <f t="shared" si="66"/>
        <v>192.10600000000005</v>
      </c>
      <c r="P191" s="134">
        <f t="shared" si="66"/>
        <v>192.10600000000005</v>
      </c>
      <c r="Q191" s="134">
        <f t="shared" si="66"/>
        <v>192.10600000000005</v>
      </c>
      <c r="R191" s="134">
        <f t="shared" si="66"/>
        <v>192.10600000000005</v>
      </c>
      <c r="S191" s="134">
        <f t="shared" si="66"/>
        <v>192.10600000000005</v>
      </c>
      <c r="T191" s="134">
        <f t="shared" si="66"/>
        <v>192.10600000000005</v>
      </c>
      <c r="U191" s="134">
        <f t="shared" si="66"/>
        <v>192.10600000000005</v>
      </c>
      <c r="V191" s="134">
        <f t="shared" si="66"/>
        <v>192.10600000000005</v>
      </c>
      <c r="W191" s="134">
        <f t="shared" si="66"/>
        <v>192.10600000000005</v>
      </c>
      <c r="X191" s="134">
        <f t="shared" si="66"/>
        <v>192.10600000000005</v>
      </c>
      <c r="Y191" s="134">
        <f t="shared" si="66"/>
        <v>192.10600000000005</v>
      </c>
      <c r="Z191" s="134">
        <f t="shared" si="66"/>
        <v>192.10600000000005</v>
      </c>
      <c r="AA191" s="134">
        <f t="shared" si="66"/>
        <v>192.10600000000005</v>
      </c>
      <c r="AB191" s="134">
        <f t="shared" si="66"/>
        <v>192.10600000000005</v>
      </c>
      <c r="AC191" s="134">
        <f t="shared" si="66"/>
        <v>192.10600000000005</v>
      </c>
      <c r="AD191" s="134">
        <f t="shared" si="66"/>
        <v>192.10600000000005</v>
      </c>
      <c r="AE191" s="134">
        <f t="shared" si="66"/>
        <v>192.10600000000005</v>
      </c>
      <c r="AF191" s="134">
        <f t="shared" si="66"/>
        <v>192.10600000000005</v>
      </c>
      <c r="AG191" s="135">
        <f t="shared" si="66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67">AF193</f>
        <v>0.3</v>
      </c>
      <c r="C193" s="136">
        <v>0.3</v>
      </c>
      <c r="D193" s="136">
        <f t="shared" ref="D193:S198" si="68">C193</f>
        <v>0.3</v>
      </c>
      <c r="E193" s="136">
        <f t="shared" si="68"/>
        <v>0.3</v>
      </c>
      <c r="F193" s="136">
        <f t="shared" si="68"/>
        <v>0.3</v>
      </c>
      <c r="G193" s="136">
        <f t="shared" si="68"/>
        <v>0.3</v>
      </c>
      <c r="H193" s="136">
        <f t="shared" si="68"/>
        <v>0.3</v>
      </c>
      <c r="I193" s="136">
        <f t="shared" si="68"/>
        <v>0.3</v>
      </c>
      <c r="J193" s="136">
        <f t="shared" si="68"/>
        <v>0.3</v>
      </c>
      <c r="K193" s="136">
        <f t="shared" si="68"/>
        <v>0.3</v>
      </c>
      <c r="L193" s="136">
        <f t="shared" si="68"/>
        <v>0.3</v>
      </c>
      <c r="M193" s="136">
        <f t="shared" si="68"/>
        <v>0.3</v>
      </c>
      <c r="N193" s="136">
        <f t="shared" si="68"/>
        <v>0.3</v>
      </c>
      <c r="O193" s="136">
        <f t="shared" si="68"/>
        <v>0.3</v>
      </c>
      <c r="P193" s="136">
        <f t="shared" si="68"/>
        <v>0.3</v>
      </c>
      <c r="Q193" s="136">
        <f t="shared" si="68"/>
        <v>0.3</v>
      </c>
      <c r="R193" s="136">
        <f t="shared" si="68"/>
        <v>0.3</v>
      </c>
      <c r="S193" s="136">
        <f t="shared" si="68"/>
        <v>0.3</v>
      </c>
      <c r="T193" s="136">
        <f t="shared" ref="T193:AF198" si="69">S193</f>
        <v>0.3</v>
      </c>
      <c r="U193" s="136">
        <f t="shared" si="69"/>
        <v>0.3</v>
      </c>
      <c r="V193" s="136">
        <f t="shared" si="69"/>
        <v>0.3</v>
      </c>
      <c r="W193" s="136">
        <f t="shared" si="69"/>
        <v>0.3</v>
      </c>
      <c r="X193" s="136">
        <f t="shared" si="69"/>
        <v>0.3</v>
      </c>
      <c r="Y193" s="136">
        <f t="shared" si="69"/>
        <v>0.3</v>
      </c>
      <c r="Z193" s="136">
        <f t="shared" si="69"/>
        <v>0.3</v>
      </c>
      <c r="AA193" s="136">
        <f t="shared" si="69"/>
        <v>0.3</v>
      </c>
      <c r="AB193" s="136">
        <f t="shared" si="69"/>
        <v>0.3</v>
      </c>
      <c r="AC193" s="136">
        <f t="shared" si="69"/>
        <v>0.3</v>
      </c>
      <c r="AD193" s="136">
        <f t="shared" si="69"/>
        <v>0.3</v>
      </c>
      <c r="AE193" s="136">
        <f t="shared" si="69"/>
        <v>0.3</v>
      </c>
      <c r="AF193" s="136">
        <f t="shared" si="69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67"/>
        <v>0.4</v>
      </c>
      <c r="C194" s="129">
        <v>0.4</v>
      </c>
      <c r="D194" s="129">
        <f t="shared" si="68"/>
        <v>0.4</v>
      </c>
      <c r="E194" s="129">
        <f t="shared" si="68"/>
        <v>0.4</v>
      </c>
      <c r="F194" s="129">
        <f t="shared" si="68"/>
        <v>0.4</v>
      </c>
      <c r="G194" s="129">
        <f t="shared" si="68"/>
        <v>0.4</v>
      </c>
      <c r="H194" s="129">
        <f t="shared" si="68"/>
        <v>0.4</v>
      </c>
      <c r="I194" s="129">
        <f t="shared" si="68"/>
        <v>0.4</v>
      </c>
      <c r="J194" s="129">
        <f t="shared" si="68"/>
        <v>0.4</v>
      </c>
      <c r="K194" s="129">
        <f t="shared" si="68"/>
        <v>0.4</v>
      </c>
      <c r="L194" s="129">
        <f t="shared" si="68"/>
        <v>0.4</v>
      </c>
      <c r="M194" s="129">
        <f t="shared" si="68"/>
        <v>0.4</v>
      </c>
      <c r="N194" s="129">
        <f t="shared" si="68"/>
        <v>0.4</v>
      </c>
      <c r="O194" s="129">
        <f t="shared" si="68"/>
        <v>0.4</v>
      </c>
      <c r="P194" s="129">
        <f t="shared" si="68"/>
        <v>0.4</v>
      </c>
      <c r="Q194" s="129">
        <f t="shared" si="68"/>
        <v>0.4</v>
      </c>
      <c r="R194" s="129">
        <f t="shared" si="68"/>
        <v>0.4</v>
      </c>
      <c r="S194" s="129">
        <f t="shared" si="68"/>
        <v>0.4</v>
      </c>
      <c r="T194" s="129">
        <f t="shared" si="69"/>
        <v>0.4</v>
      </c>
      <c r="U194" s="129">
        <f t="shared" si="69"/>
        <v>0.4</v>
      </c>
      <c r="V194" s="129">
        <f t="shared" si="69"/>
        <v>0.4</v>
      </c>
      <c r="W194" s="129">
        <f>V194</f>
        <v>0.4</v>
      </c>
      <c r="X194" s="129">
        <f>W194</f>
        <v>0.4</v>
      </c>
      <c r="Y194" s="129">
        <f t="shared" si="69"/>
        <v>0.4</v>
      </c>
      <c r="Z194" s="129">
        <f t="shared" si="69"/>
        <v>0.4</v>
      </c>
      <c r="AA194" s="129">
        <f t="shared" si="69"/>
        <v>0.4</v>
      </c>
      <c r="AB194" s="129">
        <f t="shared" si="69"/>
        <v>0.4</v>
      </c>
      <c r="AC194" s="129">
        <f t="shared" si="69"/>
        <v>0.4</v>
      </c>
      <c r="AD194" s="129">
        <f t="shared" si="69"/>
        <v>0.4</v>
      </c>
      <c r="AE194" s="129">
        <f t="shared" si="69"/>
        <v>0.4</v>
      </c>
      <c r="AF194" s="129">
        <f t="shared" si="69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67"/>
        <v>1.5</v>
      </c>
      <c r="C195" s="129">
        <v>1.5</v>
      </c>
      <c r="D195" s="129">
        <f t="shared" si="68"/>
        <v>1.5</v>
      </c>
      <c r="E195" s="129">
        <f t="shared" si="68"/>
        <v>1.5</v>
      </c>
      <c r="F195" s="129">
        <f t="shared" si="68"/>
        <v>1.5</v>
      </c>
      <c r="G195" s="129">
        <f t="shared" si="68"/>
        <v>1.5</v>
      </c>
      <c r="H195" s="129">
        <f t="shared" si="68"/>
        <v>1.5</v>
      </c>
      <c r="I195" s="129">
        <f t="shared" si="68"/>
        <v>1.5</v>
      </c>
      <c r="J195" s="129">
        <f t="shared" si="68"/>
        <v>1.5</v>
      </c>
      <c r="K195" s="129">
        <f t="shared" si="68"/>
        <v>1.5</v>
      </c>
      <c r="L195" s="129">
        <f t="shared" si="68"/>
        <v>1.5</v>
      </c>
      <c r="M195" s="129">
        <f t="shared" si="68"/>
        <v>1.5</v>
      </c>
      <c r="N195" s="129">
        <f t="shared" si="68"/>
        <v>1.5</v>
      </c>
      <c r="O195" s="129">
        <f t="shared" si="68"/>
        <v>1.5</v>
      </c>
      <c r="P195" s="129">
        <f t="shared" si="68"/>
        <v>1.5</v>
      </c>
      <c r="Q195" s="129">
        <f t="shared" si="68"/>
        <v>1.5</v>
      </c>
      <c r="R195" s="129">
        <f t="shared" si="68"/>
        <v>1.5</v>
      </c>
      <c r="S195" s="129">
        <f t="shared" si="68"/>
        <v>1.5</v>
      </c>
      <c r="T195" s="129">
        <f t="shared" si="69"/>
        <v>1.5</v>
      </c>
      <c r="U195" s="129">
        <f t="shared" si="69"/>
        <v>1.5</v>
      </c>
      <c r="V195" s="129">
        <f t="shared" si="69"/>
        <v>1.5</v>
      </c>
      <c r="W195" s="129">
        <f t="shared" si="69"/>
        <v>1.5</v>
      </c>
      <c r="X195" s="129">
        <f t="shared" si="69"/>
        <v>1.5</v>
      </c>
      <c r="Y195" s="129">
        <f t="shared" si="69"/>
        <v>1.5</v>
      </c>
      <c r="Z195" s="129">
        <f t="shared" si="69"/>
        <v>1.5</v>
      </c>
      <c r="AA195" s="129">
        <f t="shared" si="69"/>
        <v>1.5</v>
      </c>
      <c r="AB195" s="129">
        <f t="shared" si="69"/>
        <v>1.5</v>
      </c>
      <c r="AC195" s="129">
        <f t="shared" si="69"/>
        <v>1.5</v>
      </c>
      <c r="AD195" s="129">
        <f t="shared" si="69"/>
        <v>1.5</v>
      </c>
      <c r="AE195" s="129">
        <f t="shared" si="69"/>
        <v>1.5</v>
      </c>
      <c r="AF195" s="129">
        <f t="shared" si="69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67"/>
        <v>0.3</v>
      </c>
      <c r="C196" s="129">
        <v>0.3</v>
      </c>
      <c r="D196" s="129">
        <f t="shared" si="68"/>
        <v>0.3</v>
      </c>
      <c r="E196" s="129">
        <f t="shared" si="68"/>
        <v>0.3</v>
      </c>
      <c r="F196" s="129">
        <f t="shared" si="68"/>
        <v>0.3</v>
      </c>
      <c r="G196" s="129">
        <f t="shared" si="68"/>
        <v>0.3</v>
      </c>
      <c r="H196" s="129">
        <f t="shared" si="68"/>
        <v>0.3</v>
      </c>
      <c r="I196" s="129">
        <f t="shared" si="68"/>
        <v>0.3</v>
      </c>
      <c r="J196" s="129">
        <f t="shared" si="68"/>
        <v>0.3</v>
      </c>
      <c r="K196" s="129">
        <f t="shared" si="68"/>
        <v>0.3</v>
      </c>
      <c r="L196" s="129">
        <f t="shared" si="68"/>
        <v>0.3</v>
      </c>
      <c r="M196" s="129">
        <f t="shared" si="68"/>
        <v>0.3</v>
      </c>
      <c r="N196" s="129">
        <f t="shared" si="68"/>
        <v>0.3</v>
      </c>
      <c r="O196" s="129">
        <f t="shared" si="68"/>
        <v>0.3</v>
      </c>
      <c r="P196" s="129">
        <f t="shared" si="68"/>
        <v>0.3</v>
      </c>
      <c r="Q196" s="129">
        <f t="shared" si="68"/>
        <v>0.3</v>
      </c>
      <c r="R196" s="129">
        <f t="shared" si="68"/>
        <v>0.3</v>
      </c>
      <c r="S196" s="129">
        <f t="shared" si="68"/>
        <v>0.3</v>
      </c>
      <c r="T196" s="129">
        <f t="shared" si="69"/>
        <v>0.3</v>
      </c>
      <c r="U196" s="129">
        <f t="shared" si="69"/>
        <v>0.3</v>
      </c>
      <c r="V196" s="129">
        <f t="shared" si="69"/>
        <v>0.3</v>
      </c>
      <c r="W196" s="129">
        <f t="shared" si="69"/>
        <v>0.3</v>
      </c>
      <c r="X196" s="129">
        <f t="shared" si="69"/>
        <v>0.3</v>
      </c>
      <c r="Y196" s="129">
        <f t="shared" si="69"/>
        <v>0.3</v>
      </c>
      <c r="Z196" s="129">
        <f t="shared" si="69"/>
        <v>0.3</v>
      </c>
      <c r="AA196" s="129">
        <f t="shared" si="69"/>
        <v>0.3</v>
      </c>
      <c r="AB196" s="129">
        <f t="shared" si="69"/>
        <v>0.3</v>
      </c>
      <c r="AC196" s="129">
        <f t="shared" si="69"/>
        <v>0.3</v>
      </c>
      <c r="AD196" s="129">
        <f t="shared" si="69"/>
        <v>0.3</v>
      </c>
      <c r="AE196" s="129">
        <f t="shared" si="69"/>
        <v>0.3</v>
      </c>
      <c r="AF196" s="129">
        <f t="shared" si="69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67"/>
        <v>0.4</v>
      </c>
      <c r="C197" s="129">
        <v>0.4</v>
      </c>
      <c r="D197" s="129">
        <f t="shared" si="68"/>
        <v>0.4</v>
      </c>
      <c r="E197" s="129">
        <f t="shared" si="68"/>
        <v>0.4</v>
      </c>
      <c r="F197" s="129">
        <f t="shared" si="68"/>
        <v>0.4</v>
      </c>
      <c r="G197" s="129">
        <f t="shared" si="68"/>
        <v>0.4</v>
      </c>
      <c r="H197" s="129">
        <f t="shared" si="68"/>
        <v>0.4</v>
      </c>
      <c r="I197" s="129">
        <f t="shared" si="68"/>
        <v>0.4</v>
      </c>
      <c r="J197" s="129">
        <f t="shared" si="68"/>
        <v>0.4</v>
      </c>
      <c r="K197" s="129">
        <f t="shared" si="68"/>
        <v>0.4</v>
      </c>
      <c r="L197" s="129">
        <f t="shared" si="68"/>
        <v>0.4</v>
      </c>
      <c r="M197" s="129">
        <f t="shared" si="68"/>
        <v>0.4</v>
      </c>
      <c r="N197" s="129">
        <f t="shared" si="68"/>
        <v>0.4</v>
      </c>
      <c r="O197" s="129">
        <f t="shared" si="68"/>
        <v>0.4</v>
      </c>
      <c r="P197" s="129">
        <f t="shared" si="68"/>
        <v>0.4</v>
      </c>
      <c r="Q197" s="129">
        <f t="shared" si="68"/>
        <v>0.4</v>
      </c>
      <c r="R197" s="129">
        <f t="shared" si="68"/>
        <v>0.4</v>
      </c>
      <c r="S197" s="129">
        <f t="shared" si="68"/>
        <v>0.4</v>
      </c>
      <c r="T197" s="129">
        <f t="shared" si="69"/>
        <v>0.4</v>
      </c>
      <c r="U197" s="129">
        <f t="shared" si="69"/>
        <v>0.4</v>
      </c>
      <c r="V197" s="129">
        <f t="shared" si="69"/>
        <v>0.4</v>
      </c>
      <c r="W197" s="129">
        <f t="shared" si="69"/>
        <v>0.4</v>
      </c>
      <c r="X197" s="129">
        <f t="shared" si="69"/>
        <v>0.4</v>
      </c>
      <c r="Y197" s="129">
        <f t="shared" si="69"/>
        <v>0.4</v>
      </c>
      <c r="Z197" s="129">
        <f t="shared" si="69"/>
        <v>0.4</v>
      </c>
      <c r="AA197" s="129">
        <f t="shared" si="69"/>
        <v>0.4</v>
      </c>
      <c r="AB197" s="129">
        <f t="shared" si="69"/>
        <v>0.4</v>
      </c>
      <c r="AC197" s="129">
        <f t="shared" si="69"/>
        <v>0.4</v>
      </c>
      <c r="AD197" s="129">
        <f t="shared" si="69"/>
        <v>0.4</v>
      </c>
      <c r="AE197" s="129">
        <f t="shared" si="69"/>
        <v>0.4</v>
      </c>
      <c r="AF197" s="129">
        <f t="shared" si="69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67"/>
        <v>0.64</v>
      </c>
      <c r="C198" s="139">
        <v>0.64</v>
      </c>
      <c r="D198" s="139">
        <f t="shared" si="68"/>
        <v>0.64</v>
      </c>
      <c r="E198" s="139">
        <f t="shared" si="68"/>
        <v>0.64</v>
      </c>
      <c r="F198" s="139">
        <f t="shared" si="68"/>
        <v>0.64</v>
      </c>
      <c r="G198" s="139">
        <f t="shared" si="68"/>
        <v>0.64</v>
      </c>
      <c r="H198" s="139">
        <f t="shared" si="68"/>
        <v>0.64</v>
      </c>
      <c r="I198" s="139">
        <f t="shared" si="68"/>
        <v>0.64</v>
      </c>
      <c r="J198" s="139">
        <f t="shared" si="68"/>
        <v>0.64</v>
      </c>
      <c r="K198" s="139">
        <f t="shared" si="68"/>
        <v>0.64</v>
      </c>
      <c r="L198" s="139">
        <f t="shared" si="68"/>
        <v>0.64</v>
      </c>
      <c r="M198" s="139">
        <f t="shared" si="68"/>
        <v>0.64</v>
      </c>
      <c r="N198" s="139">
        <f t="shared" si="68"/>
        <v>0.64</v>
      </c>
      <c r="O198" s="139">
        <f t="shared" si="68"/>
        <v>0.64</v>
      </c>
      <c r="P198" s="139">
        <f t="shared" si="68"/>
        <v>0.64</v>
      </c>
      <c r="Q198" s="139">
        <f t="shared" si="68"/>
        <v>0.64</v>
      </c>
      <c r="R198" s="139">
        <f t="shared" si="68"/>
        <v>0.64</v>
      </c>
      <c r="S198" s="139">
        <f t="shared" si="68"/>
        <v>0.64</v>
      </c>
      <c r="T198" s="139">
        <f t="shared" si="69"/>
        <v>0.64</v>
      </c>
      <c r="U198" s="139">
        <f t="shared" si="69"/>
        <v>0.64</v>
      </c>
      <c r="V198" s="139">
        <f t="shared" si="69"/>
        <v>0.64</v>
      </c>
      <c r="W198" s="139">
        <f t="shared" si="69"/>
        <v>0.64</v>
      </c>
      <c r="X198" s="139">
        <f t="shared" si="69"/>
        <v>0.64</v>
      </c>
      <c r="Y198" s="139">
        <f t="shared" si="69"/>
        <v>0.64</v>
      </c>
      <c r="Z198" s="139">
        <f t="shared" si="69"/>
        <v>0.64</v>
      </c>
      <c r="AA198" s="139">
        <f t="shared" si="69"/>
        <v>0.64</v>
      </c>
      <c r="AB198" s="139">
        <f t="shared" si="69"/>
        <v>0.64</v>
      </c>
      <c r="AC198" s="139">
        <f t="shared" si="69"/>
        <v>0.64</v>
      </c>
      <c r="AD198" s="139">
        <f t="shared" si="69"/>
        <v>0.64</v>
      </c>
      <c r="AE198" s="139">
        <f t="shared" si="69"/>
        <v>0.64</v>
      </c>
      <c r="AF198" s="139">
        <f t="shared" si="69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0">SUM(D193:D198)</f>
        <v>3.54</v>
      </c>
      <c r="E199" s="142">
        <f t="shared" si="70"/>
        <v>3.54</v>
      </c>
      <c r="F199" s="142">
        <f t="shared" si="70"/>
        <v>3.54</v>
      </c>
      <c r="G199" s="142">
        <f t="shared" si="70"/>
        <v>3.54</v>
      </c>
      <c r="H199" s="142">
        <f t="shared" si="70"/>
        <v>3.54</v>
      </c>
      <c r="I199" s="142">
        <f t="shared" si="70"/>
        <v>3.54</v>
      </c>
      <c r="J199" s="142">
        <f t="shared" si="70"/>
        <v>3.54</v>
      </c>
      <c r="K199" s="142">
        <f t="shared" si="70"/>
        <v>3.54</v>
      </c>
      <c r="L199" s="142">
        <f t="shared" si="70"/>
        <v>3.54</v>
      </c>
      <c r="M199" s="142">
        <f>SUM(M193:M198)</f>
        <v>3.54</v>
      </c>
      <c r="N199" s="142">
        <f t="shared" ref="N199:S199" si="71">SUM(N193:N198)</f>
        <v>3.54</v>
      </c>
      <c r="O199" s="142">
        <f t="shared" si="71"/>
        <v>3.54</v>
      </c>
      <c r="P199" s="142">
        <f t="shared" si="71"/>
        <v>3.54</v>
      </c>
      <c r="Q199" s="142">
        <f t="shared" si="71"/>
        <v>3.54</v>
      </c>
      <c r="R199" s="142">
        <f t="shared" si="71"/>
        <v>3.54</v>
      </c>
      <c r="S199" s="142">
        <f t="shared" si="71"/>
        <v>3.54</v>
      </c>
      <c r="T199" s="142">
        <f>SUM(T193:T198)</f>
        <v>3.54</v>
      </c>
      <c r="U199" s="142">
        <f t="shared" ref="U199:AG199" si="72">SUM(U193:U198)</f>
        <v>3.54</v>
      </c>
      <c r="V199" s="142">
        <f t="shared" si="72"/>
        <v>3.54</v>
      </c>
      <c r="W199" s="142">
        <f t="shared" si="72"/>
        <v>3.54</v>
      </c>
      <c r="X199" s="142">
        <f t="shared" si="72"/>
        <v>3.54</v>
      </c>
      <c r="Y199" s="142">
        <f t="shared" si="72"/>
        <v>3.54</v>
      </c>
      <c r="Z199" s="142">
        <f t="shared" si="72"/>
        <v>3.54</v>
      </c>
      <c r="AA199" s="142">
        <f t="shared" si="72"/>
        <v>3.54</v>
      </c>
      <c r="AB199" s="142">
        <f t="shared" si="72"/>
        <v>3.54</v>
      </c>
      <c r="AC199" s="142">
        <f t="shared" si="72"/>
        <v>3.54</v>
      </c>
      <c r="AD199" s="142">
        <f t="shared" si="72"/>
        <v>3.54</v>
      </c>
      <c r="AE199" s="142">
        <f t="shared" si="72"/>
        <v>3.54</v>
      </c>
      <c r="AF199" s="142">
        <f t="shared" si="72"/>
        <v>3.54</v>
      </c>
      <c r="AG199" s="143">
        <f t="shared" si="72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1463.3400000000001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2078/08/1)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3">B75</f>
        <v>887.04</v>
      </c>
      <c r="U213" s="167">
        <f t="shared" si="73"/>
        <v>870.74</v>
      </c>
      <c r="V213" s="167">
        <f t="shared" si="73"/>
        <v>834.93999999999994</v>
      </c>
      <c r="W213" s="167">
        <f t="shared" si="73"/>
        <v>838.54</v>
      </c>
      <c r="X213" s="167">
        <f t="shared" si="73"/>
        <v>847.24</v>
      </c>
      <c r="Y213" s="167">
        <f t="shared" si="73"/>
        <v>908.24</v>
      </c>
      <c r="Z213" s="167">
        <f t="shared" si="73"/>
        <v>969.43999999999994</v>
      </c>
      <c r="AA213" s="167">
        <f t="shared" si="73"/>
        <v>1138.1399999999999</v>
      </c>
      <c r="AB213" s="167">
        <f t="shared" si="73"/>
        <v>1202.1399999999999</v>
      </c>
      <c r="AC213" s="167">
        <f t="shared" si="73"/>
        <v>1338.3400000000001</v>
      </c>
      <c r="AD213" s="167">
        <f t="shared" si="73"/>
        <v>1426.54</v>
      </c>
      <c r="AE213" s="167">
        <f t="shared" si="73"/>
        <v>1463.3400000000001</v>
      </c>
      <c r="AF213" s="167">
        <f t="shared" si="73"/>
        <v>1353.3400000000001</v>
      </c>
      <c r="AG213" s="167">
        <f t="shared" si="73"/>
        <v>1333.8400000000001</v>
      </c>
      <c r="AH213" s="167">
        <f t="shared" si="73"/>
        <v>1324.6399999999999</v>
      </c>
      <c r="AI213" s="167">
        <f t="shared" si="73"/>
        <v>1210.8399999999999</v>
      </c>
      <c r="AJ213" s="167">
        <f t="shared" si="73"/>
        <v>1170.44</v>
      </c>
      <c r="AK213" s="167">
        <f t="shared" si="73"/>
        <v>3.54</v>
      </c>
      <c r="AL213" s="167">
        <f t="shared" si="73"/>
        <v>1160.54</v>
      </c>
      <c r="AM213" s="167">
        <f t="shared" si="73"/>
        <v>1224.9399999999998</v>
      </c>
      <c r="AN213" s="167">
        <f t="shared" si="73"/>
        <v>1271.6400000000001</v>
      </c>
      <c r="AO213" s="167">
        <f t="shared" si="73"/>
        <v>1448.8400000000001</v>
      </c>
      <c r="AP213" s="167">
        <f t="shared" si="73"/>
        <v>1543.24</v>
      </c>
      <c r="AQ213" s="167">
        <f t="shared" si="73"/>
        <v>1489.24</v>
      </c>
      <c r="AR213" s="167">
        <f t="shared" si="73"/>
        <v>1384.1399999999999</v>
      </c>
      <c r="AS213" s="167">
        <f t="shared" si="73"/>
        <v>1372.24</v>
      </c>
      <c r="AT213" s="167">
        <f t="shared" si="73"/>
        <v>1342.24</v>
      </c>
      <c r="AU213" s="167">
        <f t="shared" si="73"/>
        <v>1246.24</v>
      </c>
      <c r="AV213" s="167">
        <f t="shared" si="73"/>
        <v>1240.4399999999998</v>
      </c>
      <c r="AW213" s="167">
        <f t="shared" si="73"/>
        <v>1040.3399999999999</v>
      </c>
      <c r="AX213" s="167">
        <f t="shared" si="73"/>
        <v>924.54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4">C198</f>
        <v>0.64</v>
      </c>
      <c r="C234" s="170">
        <f t="shared" si="74"/>
        <v>0.64</v>
      </c>
      <c r="D234" s="170">
        <f t="shared" si="74"/>
        <v>0.64</v>
      </c>
      <c r="E234" s="170">
        <f t="shared" si="74"/>
        <v>0.64</v>
      </c>
      <c r="F234" s="170">
        <f t="shared" si="74"/>
        <v>0.64</v>
      </c>
      <c r="G234" s="170">
        <f t="shared" si="74"/>
        <v>0.64</v>
      </c>
      <c r="H234" s="170">
        <f t="shared" si="74"/>
        <v>0.64</v>
      </c>
      <c r="I234" s="170">
        <f t="shared" si="74"/>
        <v>0.64</v>
      </c>
      <c r="J234" s="170">
        <f t="shared" si="74"/>
        <v>0.64</v>
      </c>
      <c r="K234" s="170">
        <f t="shared" si="74"/>
        <v>0.64</v>
      </c>
      <c r="L234" s="170">
        <f t="shared" si="74"/>
        <v>0.64</v>
      </c>
      <c r="M234" s="170">
        <f t="shared" si="74"/>
        <v>0.64</v>
      </c>
      <c r="N234" s="170">
        <f t="shared" si="74"/>
        <v>0.64</v>
      </c>
      <c r="O234" s="170">
        <f t="shared" si="74"/>
        <v>0.64</v>
      </c>
      <c r="P234" s="170">
        <f t="shared" si="74"/>
        <v>0.64</v>
      </c>
      <c r="Q234" s="170">
        <f t="shared" si="74"/>
        <v>0.64</v>
      </c>
      <c r="R234" s="170">
        <f t="shared" si="74"/>
        <v>0.64</v>
      </c>
      <c r="S234" s="170">
        <f t="shared" si="74"/>
        <v>0.64</v>
      </c>
      <c r="T234" s="170">
        <f t="shared" si="74"/>
        <v>0.64</v>
      </c>
      <c r="U234" s="170">
        <f t="shared" si="74"/>
        <v>0.64</v>
      </c>
      <c r="V234" s="170">
        <f t="shared" si="74"/>
        <v>0.64</v>
      </c>
      <c r="W234" s="170">
        <f t="shared" si="74"/>
        <v>0.64</v>
      </c>
      <c r="X234" s="170">
        <f t="shared" si="74"/>
        <v>0.64</v>
      </c>
      <c r="Y234" s="170">
        <f t="shared" si="74"/>
        <v>0.64</v>
      </c>
      <c r="Z234" s="170">
        <f t="shared" si="74"/>
        <v>0.64</v>
      </c>
      <c r="AA234" s="170">
        <f t="shared" si="74"/>
        <v>0.64</v>
      </c>
      <c r="AB234" s="170">
        <f t="shared" si="74"/>
        <v>0.64</v>
      </c>
      <c r="AC234" s="170">
        <f t="shared" si="74"/>
        <v>0.64</v>
      </c>
      <c r="AD234" s="170">
        <f t="shared" si="74"/>
        <v>0.64</v>
      </c>
      <c r="AE234" s="170">
        <f t="shared" si="74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5">IF(C202&lt;100,"",C202-520)</f>
        <v/>
      </c>
      <c r="D235" s="115" t="str">
        <f t="shared" si="75"/>
        <v/>
      </c>
      <c r="E235" s="115" t="str">
        <f t="shared" si="75"/>
        <v/>
      </c>
      <c r="F235" s="115" t="str">
        <f t="shared" si="75"/>
        <v/>
      </c>
      <c r="G235" s="115" t="str">
        <f t="shared" si="75"/>
        <v/>
      </c>
      <c r="H235" s="115" t="str">
        <f t="shared" si="75"/>
        <v/>
      </c>
      <c r="I235" s="115" t="str">
        <f t="shared" si="75"/>
        <v/>
      </c>
      <c r="J235" s="115" t="str">
        <f t="shared" si="75"/>
        <v/>
      </c>
      <c r="K235" s="115" t="str">
        <f t="shared" si="75"/>
        <v/>
      </c>
      <c r="L235" s="115" t="str">
        <f t="shared" si="75"/>
        <v/>
      </c>
      <c r="M235" s="115" t="str">
        <f t="shared" si="75"/>
        <v/>
      </c>
      <c r="N235" s="115" t="str">
        <f t="shared" si="75"/>
        <v/>
      </c>
      <c r="O235" s="115" t="str">
        <f t="shared" si="75"/>
        <v/>
      </c>
      <c r="P235" s="115" t="str">
        <f t="shared" si="75"/>
        <v/>
      </c>
      <c r="Q235" s="115" t="str">
        <f t="shared" si="75"/>
        <v/>
      </c>
      <c r="R235" s="115" t="str">
        <f t="shared" si="75"/>
        <v/>
      </c>
      <c r="S235" s="115" t="str">
        <f t="shared" si="75"/>
        <v/>
      </c>
      <c r="T235" s="115" t="str">
        <f t="shared" si="75"/>
        <v/>
      </c>
      <c r="U235" s="115" t="str">
        <f t="shared" si="75"/>
        <v/>
      </c>
      <c r="V235" s="115" t="str">
        <f t="shared" si="75"/>
        <v/>
      </c>
      <c r="W235" s="115" t="str">
        <f t="shared" si="75"/>
        <v/>
      </c>
      <c r="X235" s="115" t="str">
        <f t="shared" si="75"/>
        <v/>
      </c>
      <c r="Y235" s="115" t="str">
        <f t="shared" si="75"/>
        <v/>
      </c>
      <c r="Z235" s="115" t="str">
        <f t="shared" si="75"/>
        <v/>
      </c>
      <c r="AA235" s="115" t="str">
        <f t="shared" si="75"/>
        <v/>
      </c>
      <c r="AB235" s="115" t="str">
        <f t="shared" si="75"/>
        <v/>
      </c>
      <c r="AC235" s="115" t="str">
        <f t="shared" si="75"/>
        <v/>
      </c>
      <c r="AD235" s="115" t="str">
        <f t="shared" si="75"/>
        <v/>
      </c>
      <c r="AE235" s="115" t="str">
        <f t="shared" si="75"/>
        <v/>
      </c>
      <c r="AF235" s="115" t="str">
        <f t="shared" si="75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6">IF(B203&lt;100,"",B203-620)</f>
        <v/>
      </c>
      <c r="C236" s="115" t="str">
        <f t="shared" si="76"/>
        <v/>
      </c>
      <c r="D236" s="115" t="str">
        <f t="shared" si="76"/>
        <v/>
      </c>
      <c r="E236" s="115" t="str">
        <f t="shared" si="76"/>
        <v/>
      </c>
      <c r="F236" s="115" t="str">
        <f t="shared" si="76"/>
        <v/>
      </c>
      <c r="G236" s="115" t="str">
        <f t="shared" si="76"/>
        <v/>
      </c>
      <c r="H236" s="115" t="str">
        <f t="shared" si="76"/>
        <v/>
      </c>
      <c r="I236" s="115" t="str">
        <f t="shared" si="76"/>
        <v/>
      </c>
      <c r="J236" s="115" t="str">
        <f t="shared" si="76"/>
        <v/>
      </c>
      <c r="K236" s="115" t="str">
        <f t="shared" si="76"/>
        <v/>
      </c>
      <c r="L236" s="115" t="str">
        <f t="shared" si="76"/>
        <v/>
      </c>
      <c r="M236" s="115" t="str">
        <f t="shared" si="76"/>
        <v/>
      </c>
      <c r="N236" s="115" t="str">
        <f t="shared" si="76"/>
        <v/>
      </c>
      <c r="O236" s="115" t="str">
        <f t="shared" si="76"/>
        <v/>
      </c>
      <c r="P236" s="115" t="str">
        <f t="shared" si="76"/>
        <v/>
      </c>
      <c r="Q236" s="115" t="str">
        <f t="shared" si="76"/>
        <v/>
      </c>
      <c r="R236" s="115" t="str">
        <f t="shared" si="76"/>
        <v/>
      </c>
      <c r="S236" s="115" t="str">
        <f t="shared" si="76"/>
        <v/>
      </c>
      <c r="T236" s="115" t="str">
        <f t="shared" si="76"/>
        <v/>
      </c>
      <c r="U236" s="115" t="str">
        <f t="shared" si="76"/>
        <v/>
      </c>
      <c r="V236" s="115" t="str">
        <f t="shared" si="76"/>
        <v/>
      </c>
      <c r="W236" s="115" t="str">
        <f t="shared" si="76"/>
        <v/>
      </c>
      <c r="X236" s="115" t="str">
        <f t="shared" si="76"/>
        <v/>
      </c>
      <c r="Y236" s="115" t="str">
        <f t="shared" si="76"/>
        <v/>
      </c>
      <c r="Z236" s="115" t="str">
        <f t="shared" si="76"/>
        <v/>
      </c>
      <c r="AA236" s="115" t="str">
        <f t="shared" si="76"/>
        <v/>
      </c>
      <c r="AB236" s="115" t="str">
        <f t="shared" si="76"/>
        <v/>
      </c>
      <c r="AC236" s="115" t="str">
        <f t="shared" si="76"/>
        <v/>
      </c>
      <c r="AD236" s="115" t="str">
        <f t="shared" si="76"/>
        <v/>
      </c>
      <c r="AE236" s="115" t="str">
        <f t="shared" si="76"/>
        <v/>
      </c>
      <c r="AF236" s="115" t="str">
        <f t="shared" si="76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77">IF(B204&lt;100,"",B204-330)</f>
        <v/>
      </c>
      <c r="C237" s="115" t="str">
        <f t="shared" si="77"/>
        <v/>
      </c>
      <c r="D237" s="115" t="str">
        <f t="shared" si="77"/>
        <v/>
      </c>
      <c r="E237" s="115" t="str">
        <f t="shared" si="77"/>
        <v/>
      </c>
      <c r="F237" s="115" t="str">
        <f t="shared" si="77"/>
        <v/>
      </c>
      <c r="G237" s="115" t="str">
        <f t="shared" si="77"/>
        <v/>
      </c>
      <c r="H237" s="115" t="str">
        <f t="shared" si="77"/>
        <v/>
      </c>
      <c r="I237" s="115" t="str">
        <f t="shared" si="77"/>
        <v/>
      </c>
      <c r="J237" s="115" t="str">
        <f t="shared" si="77"/>
        <v/>
      </c>
      <c r="K237" s="115" t="str">
        <f t="shared" si="77"/>
        <v/>
      </c>
      <c r="L237" s="115" t="str">
        <f t="shared" si="77"/>
        <v/>
      </c>
      <c r="M237" s="115" t="str">
        <f t="shared" si="77"/>
        <v/>
      </c>
      <c r="N237" s="115" t="str">
        <f t="shared" si="77"/>
        <v/>
      </c>
      <c r="O237" s="115" t="str">
        <f t="shared" si="77"/>
        <v/>
      </c>
      <c r="P237" s="115" t="str">
        <f t="shared" si="77"/>
        <v/>
      </c>
      <c r="Q237" s="115" t="str">
        <f t="shared" si="77"/>
        <v/>
      </c>
      <c r="R237" s="115" t="str">
        <f t="shared" si="77"/>
        <v/>
      </c>
      <c r="S237" s="115" t="str">
        <f t="shared" si="77"/>
        <v/>
      </c>
      <c r="T237" s="115" t="str">
        <f t="shared" si="77"/>
        <v/>
      </c>
      <c r="U237" s="115" t="str">
        <f t="shared" si="77"/>
        <v/>
      </c>
      <c r="V237" s="115" t="str">
        <f t="shared" si="77"/>
        <v/>
      </c>
      <c r="W237" s="115" t="str">
        <f t="shared" si="77"/>
        <v/>
      </c>
      <c r="X237" s="115" t="str">
        <f t="shared" si="77"/>
        <v/>
      </c>
      <c r="Y237" s="115" t="str">
        <f t="shared" si="77"/>
        <v/>
      </c>
      <c r="Z237" s="115" t="str">
        <f t="shared" si="77"/>
        <v/>
      </c>
      <c r="AA237" s="115" t="str">
        <f t="shared" si="77"/>
        <v/>
      </c>
      <c r="AB237" s="115" t="str">
        <f t="shared" si="77"/>
        <v/>
      </c>
      <c r="AC237" s="115" t="str">
        <f t="shared" si="77"/>
        <v/>
      </c>
      <c r="AD237" s="115" t="str">
        <f t="shared" si="77"/>
        <v/>
      </c>
      <c r="AE237" s="115" t="str">
        <f t="shared" si="77"/>
        <v/>
      </c>
      <c r="AF237" s="115" t="str">
        <f t="shared" si="77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78">IF(C205&lt;100,"",C205-1500)</f>
        <v/>
      </c>
      <c r="D238" s="115" t="str">
        <f t="shared" si="78"/>
        <v/>
      </c>
      <c r="E238" s="115" t="str">
        <f t="shared" si="78"/>
        <v/>
      </c>
      <c r="F238" s="115" t="str">
        <f t="shared" si="78"/>
        <v/>
      </c>
      <c r="G238" s="115" t="str">
        <f t="shared" si="78"/>
        <v/>
      </c>
      <c r="H238" s="115" t="str">
        <f t="shared" si="78"/>
        <v/>
      </c>
      <c r="I238" s="115" t="str">
        <f t="shared" si="78"/>
        <v/>
      </c>
      <c r="J238" s="115" t="str">
        <f t="shared" si="78"/>
        <v/>
      </c>
      <c r="K238" s="115" t="str">
        <f t="shared" si="78"/>
        <v/>
      </c>
      <c r="L238" s="115" t="str">
        <f t="shared" si="78"/>
        <v/>
      </c>
      <c r="M238" s="115" t="str">
        <f t="shared" si="78"/>
        <v/>
      </c>
      <c r="N238" s="115" t="str">
        <f t="shared" si="78"/>
        <v/>
      </c>
      <c r="O238" s="115" t="str">
        <f t="shared" si="78"/>
        <v/>
      </c>
      <c r="P238" s="115" t="str">
        <f t="shared" si="78"/>
        <v/>
      </c>
      <c r="Q238" s="115" t="str">
        <f t="shared" si="78"/>
        <v/>
      </c>
      <c r="R238" s="115" t="str">
        <f t="shared" si="78"/>
        <v/>
      </c>
      <c r="S238" s="115" t="str">
        <f t="shared" si="78"/>
        <v/>
      </c>
      <c r="T238" s="115" t="str">
        <f t="shared" si="78"/>
        <v/>
      </c>
      <c r="U238" s="115" t="str">
        <f t="shared" si="78"/>
        <v/>
      </c>
      <c r="V238" s="115" t="str">
        <f t="shared" si="78"/>
        <v/>
      </c>
      <c r="W238" s="115" t="str">
        <f t="shared" si="78"/>
        <v/>
      </c>
      <c r="X238" s="115" t="str">
        <f t="shared" si="78"/>
        <v/>
      </c>
      <c r="Y238" s="115" t="str">
        <f t="shared" si="78"/>
        <v/>
      </c>
      <c r="Z238" s="115" t="str">
        <f t="shared" si="78"/>
        <v/>
      </c>
      <c r="AA238" s="115" t="str">
        <f t="shared" si="78"/>
        <v/>
      </c>
      <c r="AB238" s="115" t="str">
        <f t="shared" si="78"/>
        <v/>
      </c>
      <c r="AC238" s="115" t="str">
        <f t="shared" si="78"/>
        <v/>
      </c>
      <c r="AD238" s="115" t="str">
        <f t="shared" si="78"/>
        <v/>
      </c>
      <c r="AE238" s="115" t="str">
        <f t="shared" si="78"/>
        <v/>
      </c>
      <c r="AF238" s="115" t="str">
        <f t="shared" si="7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M58:M59 AB81:AF81 C81:R81 C56:AF56 C82:AF83 D193:AF199 B193:B199 AB84:AF91 C68:AF80 B9:AF10 B191:AF191 AG73 AB94:AF99 U212:AF212 L60:M61 L57:L59 C57:K61 C63:K67 M62:M67 O16:O20 M12:P14 M16:N32 M36:N37 M39:O42 M53:AF55 S58:W59 N58:N67 R39:R42 N45:R48 U40:Z42 X85:AA91 Z40:AE43 M11:AE11 S36:AF36 S18:AF30 AF43 AF57:AF67">
    <cfRule type="expression" dxfId="9259" priority="379">
      <formula>B$9&gt;=20/24</formula>
    </cfRule>
    <cfRule type="expression" dxfId="9258" priority="380">
      <formula>AND(B$9&gt;=14/24,B$9&lt;20/24)</formula>
    </cfRule>
    <cfRule type="expression" dxfId="9257" priority="381">
      <formula>AND(B$9&gt;=8/24,B$9&lt;14/24)</formula>
    </cfRule>
    <cfRule type="expression" dxfId="9256" priority="382">
      <formula>B$9&lt;8/24</formula>
    </cfRule>
  </conditionalFormatting>
  <conditionalFormatting sqref="AL4:AL6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M57:N57">
    <cfRule type="expression" dxfId="9255" priority="374">
      <formula>M$9&gt;=20/24</formula>
    </cfRule>
    <cfRule type="expression" dxfId="9254" priority="375">
      <formula>AND(M$9&gt;=14/24,M$9&lt;20/24)</formula>
    </cfRule>
    <cfRule type="expression" dxfId="9253" priority="376">
      <formula>AND(M$9&gt;=8/24,M$9&lt;14/24)</formula>
    </cfRule>
    <cfRule type="expression" dxfId="9252" priority="377">
      <formula>M$9&lt;8/24</formula>
    </cfRule>
  </conditionalFormatting>
  <conditionalFormatting sqref="M43:R43">
    <cfRule type="expression" dxfId="9251" priority="370">
      <formula>M$9&gt;=20/24</formula>
    </cfRule>
    <cfRule type="expression" dxfId="9250" priority="371">
      <formula>AND(M$9&gt;=14/24,M$9&lt;20/24)</formula>
    </cfRule>
    <cfRule type="expression" dxfId="9249" priority="372">
      <formula>AND(M$9&gt;=8/24,M$9&lt;14/24)</formula>
    </cfRule>
    <cfRule type="expression" dxfId="9248" priority="373">
      <formula>M$9&lt;8/24</formula>
    </cfRule>
  </conditionalFormatting>
  <conditionalFormatting sqref="S39:AE39">
    <cfRule type="expression" dxfId="9247" priority="362">
      <formula>S$9&gt;=20/24</formula>
    </cfRule>
    <cfRule type="expression" dxfId="9246" priority="363">
      <formula>AND(S$9&gt;=14/24,S$9&lt;20/24)</formula>
    </cfRule>
    <cfRule type="expression" dxfId="9245" priority="364">
      <formula>AND(S$9&gt;=8/24,S$9&lt;14/24)</formula>
    </cfRule>
    <cfRule type="expression" dxfId="9244" priority="365">
      <formula>S$9&lt;8/24</formula>
    </cfRule>
  </conditionalFormatting>
  <conditionalFormatting sqref="S57:AE57">
    <cfRule type="expression" dxfId="9243" priority="358">
      <formula>S$9&gt;=20/24</formula>
    </cfRule>
    <cfRule type="expression" dxfId="9242" priority="359">
      <formula>AND(S$9&gt;=14/24,S$9&lt;20/24)</formula>
    </cfRule>
    <cfRule type="expression" dxfId="9241" priority="360">
      <formula>AND(S$9&gt;=8/24,S$9&lt;14/24)</formula>
    </cfRule>
    <cfRule type="expression" dxfId="9240" priority="361">
      <formula>S$9&lt;8/24</formula>
    </cfRule>
  </conditionalFormatting>
  <conditionalFormatting sqref="S81:AA81">
    <cfRule type="expression" dxfId="9239" priority="354">
      <formula>S$9&gt;=20/24</formula>
    </cfRule>
    <cfRule type="expression" dxfId="9238" priority="355">
      <formula>AND(S$9&gt;=14/24,S$9&lt;20/24)</formula>
    </cfRule>
    <cfRule type="expression" dxfId="9237" priority="356">
      <formula>AND(S$9&gt;=8/24,S$9&lt;14/24)</formula>
    </cfRule>
    <cfRule type="expression" dxfId="9236" priority="357">
      <formula>S$9&lt;8/24</formula>
    </cfRule>
  </conditionalFormatting>
  <conditionalFormatting sqref="U84:AA84">
    <cfRule type="expression" dxfId="9235" priority="350">
      <formula>U$9&gt;=20/24</formula>
    </cfRule>
    <cfRule type="expression" dxfId="9234" priority="351">
      <formula>AND(U$9&gt;=14/24,U$9&lt;20/24)</formula>
    </cfRule>
    <cfRule type="expression" dxfId="9233" priority="352">
      <formula>AND(U$9&gt;=8/24,U$9&lt;14/24)</formula>
    </cfRule>
    <cfRule type="expression" dxfId="9232" priority="353">
      <formula>U$9&lt;8/24</formula>
    </cfRule>
  </conditionalFormatting>
  <conditionalFormatting sqref="M35:N35">
    <cfRule type="expression" dxfId="9231" priority="346">
      <formula>M$9&gt;=20/24</formula>
    </cfRule>
    <cfRule type="expression" dxfId="9230" priority="347">
      <formula>AND(M$9&gt;=14/24,M$9&lt;20/24)</formula>
    </cfRule>
    <cfRule type="expression" dxfId="9229" priority="348">
      <formula>AND(M$9&gt;=8/24,M$9&lt;14/24)</formula>
    </cfRule>
    <cfRule type="expression" dxfId="9228" priority="349">
      <formula>M$9&lt;8/24</formula>
    </cfRule>
  </conditionalFormatting>
  <conditionalFormatting sqref="M49:T49">
    <cfRule type="expression" dxfId="9227" priority="342">
      <formula>M$9&gt;=20/24</formula>
    </cfRule>
    <cfRule type="expression" dxfId="9226" priority="343">
      <formula>AND(M$9&gt;=14/24,M$9&lt;20/24)</formula>
    </cfRule>
    <cfRule type="expression" dxfId="9225" priority="344">
      <formula>AND(M$9&gt;=8/24,M$9&lt;14/24)</formula>
    </cfRule>
    <cfRule type="expression" dxfId="9224" priority="345">
      <formula>M$9&lt;8/24</formula>
    </cfRule>
  </conditionalFormatting>
  <conditionalFormatting sqref="M50:R50">
    <cfRule type="expression" dxfId="9223" priority="338">
      <formula>M$9&gt;=20/24</formula>
    </cfRule>
    <cfRule type="expression" dxfId="9222" priority="339">
      <formula>AND(M$9&gt;=14/24,M$9&lt;20/24)</formula>
    </cfRule>
    <cfRule type="expression" dxfId="9221" priority="340">
      <formula>AND(M$9&gt;=8/24,M$9&lt;14/24)</formula>
    </cfRule>
    <cfRule type="expression" dxfId="9220" priority="341">
      <formula>M$9&lt;8/24</formula>
    </cfRule>
  </conditionalFormatting>
  <conditionalFormatting sqref="M45:R48">
    <cfRule type="expression" dxfId="9219" priority="334">
      <formula>M$9&gt;=20/24</formula>
    </cfRule>
    <cfRule type="expression" dxfId="9218" priority="335">
      <formula>AND(M$9&gt;=14/24,M$9&lt;20/24)</formula>
    </cfRule>
    <cfRule type="expression" dxfId="9217" priority="336">
      <formula>AND(M$9&gt;=8/24,M$9&lt;14/24)</formula>
    </cfRule>
    <cfRule type="expression" dxfId="9216" priority="337">
      <formula>M$9&lt;8/24</formula>
    </cfRule>
  </conditionalFormatting>
  <conditionalFormatting sqref="S37:AF37">
    <cfRule type="expression" dxfId="9215" priority="330">
      <formula>S$9&gt;=20/24</formula>
    </cfRule>
    <cfRule type="expression" dxfId="9214" priority="331">
      <formula>AND(S$9&gt;=14/24,S$9&lt;20/24)</formula>
    </cfRule>
    <cfRule type="expression" dxfId="9213" priority="332">
      <formula>AND(S$9&gt;=8/24,S$9&lt;14/24)</formula>
    </cfRule>
    <cfRule type="expression" dxfId="9212" priority="333">
      <formula>S$9&lt;8/24</formula>
    </cfRule>
  </conditionalFormatting>
  <conditionalFormatting sqref="S31:AF32 S35:AF35">
    <cfRule type="expression" dxfId="9211" priority="326">
      <formula>S$9&gt;=20/24</formula>
    </cfRule>
    <cfRule type="expression" dxfId="9210" priority="327">
      <formula>AND(S$9&gt;=14/24,S$9&lt;20/24)</formula>
    </cfRule>
    <cfRule type="expression" dxfId="9209" priority="328">
      <formula>AND(S$9&gt;=8/24,S$9&lt;14/24)</formula>
    </cfRule>
    <cfRule type="expression" dxfId="9208" priority="329">
      <formula>S$9&lt;8/24</formula>
    </cfRule>
  </conditionalFormatting>
  <conditionalFormatting sqref="S42:T43 U43:AA43 S45:AF48">
    <cfRule type="expression" dxfId="9207" priority="322">
      <formula>S$9&gt;=20/24</formula>
    </cfRule>
    <cfRule type="expression" dxfId="9206" priority="323">
      <formula>AND(S$9&gt;=14/24,S$9&lt;20/24)</formula>
    </cfRule>
    <cfRule type="expression" dxfId="9205" priority="324">
      <formula>AND(S$9&gt;=8/24,S$9&lt;14/24)</formula>
    </cfRule>
    <cfRule type="expression" dxfId="9204" priority="325">
      <formula>S$9&lt;8/24</formula>
    </cfRule>
  </conditionalFormatting>
  <conditionalFormatting sqref="S49:AF49">
    <cfRule type="expression" dxfId="9203" priority="318">
      <formula>S$9&gt;=20/24</formula>
    </cfRule>
    <cfRule type="expression" dxfId="9202" priority="319">
      <formula>AND(S$9&gt;=14/24,S$9&lt;20/24)</formula>
    </cfRule>
    <cfRule type="expression" dxfId="9201" priority="320">
      <formula>AND(S$9&gt;=8/24,S$9&lt;14/24)</formula>
    </cfRule>
    <cfRule type="expression" dxfId="9200" priority="321">
      <formula>S$9&lt;8/24</formula>
    </cfRule>
  </conditionalFormatting>
  <conditionalFormatting sqref="S50:AF50">
    <cfRule type="expression" dxfId="9199" priority="314">
      <formula>S$9&gt;=20/24</formula>
    </cfRule>
    <cfRule type="expression" dxfId="9198" priority="315">
      <formula>AND(S$9&gt;=14/24,S$9&lt;20/24)</formula>
    </cfRule>
    <cfRule type="expression" dxfId="9197" priority="316">
      <formula>AND(S$9&gt;=8/24,S$9&lt;14/24)</formula>
    </cfRule>
    <cfRule type="expression" dxfId="9196" priority="317">
      <formula>S$9&lt;8/24</formula>
    </cfRule>
  </conditionalFormatting>
  <conditionalFormatting sqref="S60:T67 X60:AE67">
    <cfRule type="expression" dxfId="9195" priority="310">
      <formula>S$9&gt;=20/24</formula>
    </cfRule>
    <cfRule type="expression" dxfId="9194" priority="311">
      <formula>AND(S$9&gt;=14/24,S$9&lt;20/24)</formula>
    </cfRule>
    <cfRule type="expression" dxfId="9193" priority="312">
      <formula>AND(S$9&gt;=8/24,S$9&lt;14/24)</formula>
    </cfRule>
    <cfRule type="expression" dxfId="9192" priority="313">
      <formula>S$9&lt;8/24</formula>
    </cfRule>
  </conditionalFormatting>
  <conditionalFormatting sqref="C62:K62 L62:L67">
    <cfRule type="expression" dxfId="9191" priority="306">
      <formula>C$9&gt;=20/24</formula>
    </cfRule>
    <cfRule type="expression" dxfId="9190" priority="307">
      <formula>AND(C$9&gt;=14/24,C$9&lt;20/24)</formula>
    </cfRule>
    <cfRule type="expression" dxfId="9189" priority="308">
      <formula>AND(C$9&gt;=8/24,C$9&lt;14/24)</formula>
    </cfRule>
    <cfRule type="expression" dxfId="9188" priority="309">
      <formula>C$9&lt;8/24</formula>
    </cfRule>
  </conditionalFormatting>
  <conditionalFormatting sqref="U94:AA97">
    <cfRule type="expression" dxfId="9187" priority="302">
      <formula>U$9&gt;=20/24</formula>
    </cfRule>
    <cfRule type="expression" dxfId="9186" priority="303">
      <formula>AND(U$9&gt;=14/24,U$9&lt;20/24)</formula>
    </cfRule>
    <cfRule type="expression" dxfId="9185" priority="304">
      <formula>AND(U$9&gt;=8/24,U$9&lt;14/24)</formula>
    </cfRule>
    <cfRule type="expression" dxfId="9184" priority="305">
      <formula>U$9&lt;8/24</formula>
    </cfRule>
  </conditionalFormatting>
  <conditionalFormatting sqref="AG51 C38:AF38 C39:K44 O16:O20 M12:P14 M16:N32 M34:N37 C51:AF56 E11:AF11 S18:AF32 S34:AF37 L39:AF50">
    <cfRule type="expression" dxfId="9183" priority="301">
      <formula>C11&gt;$AG11</formula>
    </cfRule>
  </conditionalFormatting>
  <conditionalFormatting sqref="A100:A156 A84:A97 A11:A14 A16:A32 A45:A72 A80:A82 A74:A78 A35:A43 A169:A199">
    <cfRule type="expression" dxfId="9182" priority="300">
      <formula>$AH11=0</formula>
    </cfRule>
  </conditionalFormatting>
  <conditionalFormatting sqref="U98:AA98">
    <cfRule type="expression" dxfId="9181" priority="296">
      <formula>U$9&gt;=20/24</formula>
    </cfRule>
    <cfRule type="expression" dxfId="9180" priority="297">
      <formula>AND(U$9&gt;=14/24,U$9&lt;20/24)</formula>
    </cfRule>
    <cfRule type="expression" dxfId="9179" priority="298">
      <formula>AND(U$9&gt;=8/24,U$9&lt;14/24)</formula>
    </cfRule>
    <cfRule type="expression" dxfId="9178" priority="299">
      <formula>U$9&lt;8/24</formula>
    </cfRule>
  </conditionalFormatting>
  <conditionalFormatting sqref="A98">
    <cfRule type="expression" dxfId="9177" priority="295">
      <formula>$AH98=0</formula>
    </cfRule>
  </conditionalFormatting>
  <conditionalFormatting sqref="G94:L94">
    <cfRule type="expression" dxfId="9176" priority="193">
      <formula>G$9&gt;=20/24</formula>
    </cfRule>
    <cfRule type="expression" dxfId="9175" priority="194">
      <formula>AND(G$9&gt;=14/24,G$9&lt;20/24)</formula>
    </cfRule>
    <cfRule type="expression" dxfId="9174" priority="195">
      <formula>AND(G$9&gt;=8/24,G$9&lt;14/24)</formula>
    </cfRule>
    <cfRule type="expression" dxfId="9173" priority="196">
      <formula>G$9&lt;8/24</formula>
    </cfRule>
  </conditionalFormatting>
  <conditionalFormatting sqref="U94:W94">
    <cfRule type="expression" dxfId="9172" priority="189">
      <formula>U$9&gt;=20/24</formula>
    </cfRule>
    <cfRule type="expression" dxfId="9171" priority="190">
      <formula>AND(U$9&gt;=14/24,U$9&lt;20/24)</formula>
    </cfRule>
    <cfRule type="expression" dxfId="9170" priority="191">
      <formula>AND(U$9&gt;=8/24,U$9&lt;14/24)</formula>
    </cfRule>
    <cfRule type="expression" dxfId="9169" priority="192">
      <formula>U$9&lt;8/24</formula>
    </cfRule>
  </conditionalFormatting>
  <conditionalFormatting sqref="O94:T94">
    <cfRule type="expression" dxfId="9168" priority="185">
      <formula>O$9&gt;=20/24</formula>
    </cfRule>
    <cfRule type="expression" dxfId="9167" priority="186">
      <formula>AND(O$9&gt;=14/24,O$9&lt;20/24)</formula>
    </cfRule>
    <cfRule type="expression" dxfId="9166" priority="187">
      <formula>AND(O$9&gt;=8/24,O$9&lt;14/24)</formula>
    </cfRule>
    <cfRule type="expression" dxfId="9165" priority="188">
      <formula>O$9&lt;8/24</formula>
    </cfRule>
  </conditionalFormatting>
  <conditionalFormatting sqref="AL32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M34:N34">
    <cfRule type="expression" dxfId="9164" priority="274">
      <formula>M$9&gt;=20/24</formula>
    </cfRule>
    <cfRule type="expression" dxfId="9163" priority="275">
      <formula>AND(M$9&gt;=14/24,M$9&lt;20/24)</formula>
    </cfRule>
    <cfRule type="expression" dxfId="9162" priority="276">
      <formula>AND(M$9&gt;=8/24,M$9&lt;14/24)</formula>
    </cfRule>
    <cfRule type="expression" dxfId="9161" priority="277">
      <formula>M$9&lt;8/24</formula>
    </cfRule>
  </conditionalFormatting>
  <conditionalFormatting sqref="S34:AF34">
    <cfRule type="expression" dxfId="9160" priority="270">
      <formula>S$9&gt;=20/24</formula>
    </cfRule>
    <cfRule type="expression" dxfId="9159" priority="271">
      <formula>AND(S$9&gt;=14/24,S$9&lt;20/24)</formula>
    </cfRule>
    <cfRule type="expression" dxfId="9158" priority="272">
      <formula>AND(S$9&gt;=8/24,S$9&lt;14/24)</formula>
    </cfRule>
    <cfRule type="expression" dxfId="9157" priority="273">
      <formula>S$9&lt;8/24</formula>
    </cfRule>
  </conditionalFormatting>
  <conditionalFormatting sqref="A34">
    <cfRule type="expression" dxfId="9156" priority="269">
      <formula>$AH34=0</formula>
    </cfRule>
  </conditionalFormatting>
  <conditionalFormatting sqref="A83">
    <cfRule type="expression" dxfId="9155" priority="268">
      <formula>$AH83=0</formula>
    </cfRule>
  </conditionalFormatting>
  <conditionalFormatting sqref="M15:P15">
    <cfRule type="expression" dxfId="9154" priority="260">
      <formula>M$9&gt;=20/24</formula>
    </cfRule>
    <cfRule type="expression" dxfId="9153" priority="261">
      <formula>AND(M$9&gt;=14/24,M$9&lt;20/24)</formula>
    </cfRule>
    <cfRule type="expression" dxfId="9152" priority="262">
      <formula>AND(M$9&gt;=8/24,M$9&lt;14/24)</formula>
    </cfRule>
    <cfRule type="expression" dxfId="9151" priority="263">
      <formula>M$9&lt;8/24</formula>
    </cfRule>
  </conditionalFormatting>
  <conditionalFormatting sqref="M15:P15">
    <cfRule type="expression" dxfId="9150" priority="259">
      <formula>M15&gt;$AG15</formula>
    </cfRule>
  </conditionalFormatting>
  <conditionalFormatting sqref="A15">
    <cfRule type="expression" dxfId="9149" priority="258">
      <formula>$AH15=0</formula>
    </cfRule>
  </conditionalFormatting>
  <conditionalFormatting sqref="A163:A168">
    <cfRule type="expression" dxfId="9148" priority="257">
      <formula>$AH163=0</formula>
    </cfRule>
  </conditionalFormatting>
  <conditionalFormatting sqref="A157:A162">
    <cfRule type="expression" dxfId="9147" priority="256">
      <formula>$AH157=0</formula>
    </cfRule>
  </conditionalFormatting>
  <conditionalFormatting sqref="Z44:AF44">
    <cfRule type="expression" dxfId="9146" priority="252">
      <formula>Z$9&gt;=20/24</formula>
    </cfRule>
    <cfRule type="expression" dxfId="9145" priority="253">
      <formula>AND(Z$9&gt;=14/24,Z$9&lt;20/24)</formula>
    </cfRule>
    <cfRule type="expression" dxfId="9144" priority="254">
      <formula>AND(Z$9&gt;=8/24,Z$9&lt;14/24)</formula>
    </cfRule>
    <cfRule type="expression" dxfId="9143" priority="255">
      <formula>Z$9&lt;8/24</formula>
    </cfRule>
  </conditionalFormatting>
  <conditionalFormatting sqref="M44:R44">
    <cfRule type="expression" dxfId="9142" priority="248">
      <formula>M$9&gt;=20/24</formula>
    </cfRule>
    <cfRule type="expression" dxfId="9141" priority="249">
      <formula>AND(M$9&gt;=14/24,M$9&lt;20/24)</formula>
    </cfRule>
    <cfRule type="expression" dxfId="9140" priority="250">
      <formula>AND(M$9&gt;=8/24,M$9&lt;14/24)</formula>
    </cfRule>
    <cfRule type="expression" dxfId="9139" priority="251">
      <formula>M$9&lt;8/24</formula>
    </cfRule>
  </conditionalFormatting>
  <conditionalFormatting sqref="S44:AA44">
    <cfRule type="expression" dxfId="9138" priority="244">
      <formula>S$9&gt;=20/24</formula>
    </cfRule>
    <cfRule type="expression" dxfId="9137" priority="245">
      <formula>AND(S$9&gt;=14/24,S$9&lt;20/24)</formula>
    </cfRule>
    <cfRule type="expression" dxfId="9136" priority="246">
      <formula>AND(S$9&gt;=8/24,S$9&lt;14/24)</formula>
    </cfRule>
    <cfRule type="expression" dxfId="9135" priority="247">
      <formula>S$9&lt;8/24</formula>
    </cfRule>
  </conditionalFormatting>
  <conditionalFormatting sqref="A44">
    <cfRule type="expression" dxfId="9134" priority="243">
      <formula>$AH44=0</formula>
    </cfRule>
  </conditionalFormatting>
  <conditionalFormatting sqref="A79">
    <cfRule type="expression" dxfId="9133" priority="242">
      <formula>$AH79=0</formula>
    </cfRule>
  </conditionalFormatting>
  <conditionalFormatting sqref="A73">
    <cfRule type="expression" dxfId="9132" priority="241">
      <formula>$AH73=0</formula>
    </cfRule>
  </conditionalFormatting>
  <conditionalFormatting sqref="AL34:AL35 AL7:AL31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9131" priority="237">
      <formula>U$9&gt;=20/24</formula>
    </cfRule>
    <cfRule type="expression" dxfId="9130" priority="238">
      <formula>AND(U$9&gt;=14/24,U$9&lt;20/24)</formula>
    </cfRule>
    <cfRule type="expression" dxfId="9129" priority="239">
      <formula>AND(U$9&gt;=8/24,U$9&lt;14/24)</formula>
    </cfRule>
    <cfRule type="expression" dxfId="9128" priority="240">
      <formula>U$9&lt;8/24</formula>
    </cfRule>
  </conditionalFormatting>
  <conditionalFormatting sqref="U85:W91">
    <cfRule type="expression" dxfId="9127" priority="233">
      <formula>U$9&gt;=20/24</formula>
    </cfRule>
    <cfRule type="expression" dxfId="9126" priority="234">
      <formula>AND(U$9&gt;=14/24,U$9&lt;20/24)</formula>
    </cfRule>
    <cfRule type="expression" dxfId="9125" priority="235">
      <formula>AND(U$9&gt;=8/24,U$9&lt;14/24)</formula>
    </cfRule>
    <cfRule type="expression" dxfId="9124" priority="236">
      <formula>U$9&lt;8/24</formula>
    </cfRule>
  </conditionalFormatting>
  <conditionalFormatting sqref="S85:T91 C84:R91">
    <cfRule type="expression" dxfId="9123" priority="229">
      <formula>C$9&gt;=20/24</formula>
    </cfRule>
    <cfRule type="expression" dxfId="9122" priority="230">
      <formula>AND(C$9&gt;=14/24,C$9&lt;20/24)</formula>
    </cfRule>
    <cfRule type="expression" dxfId="9121" priority="231">
      <formula>AND(C$9&gt;=8/24,C$9&lt;14/24)</formula>
    </cfRule>
    <cfRule type="expression" dxfId="9120" priority="232">
      <formula>C$9&lt;8/24</formula>
    </cfRule>
  </conditionalFormatting>
  <conditionalFormatting sqref="S84:T84">
    <cfRule type="expression" dxfId="9119" priority="225">
      <formula>S$9&gt;=20/24</formula>
    </cfRule>
    <cfRule type="expression" dxfId="9118" priority="226">
      <formula>AND(S$9&gt;=14/24,S$9&lt;20/24)</formula>
    </cfRule>
    <cfRule type="expression" dxfId="9117" priority="227">
      <formula>AND(S$9&gt;=8/24,S$9&lt;14/24)</formula>
    </cfRule>
    <cfRule type="expression" dxfId="9116" priority="228">
      <formula>S$9&lt;8/24</formula>
    </cfRule>
  </conditionalFormatting>
  <conditionalFormatting sqref="C94:F94 C95:N97">
    <cfRule type="expression" dxfId="9115" priority="221">
      <formula>C$9&gt;=20/24</formula>
    </cfRule>
    <cfRule type="expression" dxfId="9114" priority="222">
      <formula>AND(C$9&gt;=14/24,C$9&lt;20/24)</formula>
    </cfRule>
    <cfRule type="expression" dxfId="9113" priority="223">
      <formula>AND(C$9&gt;=8/24,C$9&lt;14/24)</formula>
    </cfRule>
    <cfRule type="expression" dxfId="9112" priority="224">
      <formula>C$9&lt;8/24</formula>
    </cfRule>
  </conditionalFormatting>
  <conditionalFormatting sqref="O94:R97">
    <cfRule type="expression" dxfId="9111" priority="217">
      <formula>O$9&gt;=20/24</formula>
    </cfRule>
    <cfRule type="expression" dxfId="9110" priority="218">
      <formula>AND(O$9&gt;=14/24,O$9&lt;20/24)</formula>
    </cfRule>
    <cfRule type="expression" dxfId="9109" priority="219">
      <formula>AND(O$9&gt;=8/24,O$9&lt;14/24)</formula>
    </cfRule>
    <cfRule type="expression" dxfId="9108" priority="220">
      <formula>O$9&lt;8/24</formula>
    </cfRule>
  </conditionalFormatting>
  <conditionalFormatting sqref="S94:T97">
    <cfRule type="expression" dxfId="9107" priority="213">
      <formula>S$9&gt;=20/24</formula>
    </cfRule>
    <cfRule type="expression" dxfId="9106" priority="214">
      <formula>AND(S$9&gt;=14/24,S$9&lt;20/24)</formula>
    </cfRule>
    <cfRule type="expression" dxfId="9105" priority="215">
      <formula>AND(S$9&gt;=8/24,S$9&lt;14/24)</formula>
    </cfRule>
    <cfRule type="expression" dxfId="9104" priority="216">
      <formula>S$9&lt;8/24</formula>
    </cfRule>
  </conditionalFormatting>
  <conditionalFormatting sqref="C98:N98">
    <cfRule type="expression" dxfId="9103" priority="209">
      <formula>C$9&gt;=20/24</formula>
    </cfRule>
    <cfRule type="expression" dxfId="9102" priority="210">
      <formula>AND(C$9&gt;=14/24,C$9&lt;20/24)</formula>
    </cfRule>
    <cfRule type="expression" dxfId="9101" priority="211">
      <formula>AND(C$9&gt;=8/24,C$9&lt;14/24)</formula>
    </cfRule>
    <cfRule type="expression" dxfId="9100" priority="212">
      <formula>C$9&lt;8/24</formula>
    </cfRule>
  </conditionalFormatting>
  <conditionalFormatting sqref="O98:R98">
    <cfRule type="expression" dxfId="9099" priority="205">
      <formula>O$9&gt;=20/24</formula>
    </cfRule>
    <cfRule type="expression" dxfId="9098" priority="206">
      <formula>AND(O$9&gt;=14/24,O$9&lt;20/24)</formula>
    </cfRule>
    <cfRule type="expression" dxfId="9097" priority="207">
      <formula>AND(O$9&gt;=8/24,O$9&lt;14/24)</formula>
    </cfRule>
    <cfRule type="expression" dxfId="9096" priority="208">
      <formula>O$9&lt;8/24</formula>
    </cfRule>
  </conditionalFormatting>
  <conditionalFormatting sqref="S98:T98">
    <cfRule type="expression" dxfId="9095" priority="201">
      <formula>S$9&gt;=20/24</formula>
    </cfRule>
    <cfRule type="expression" dxfId="9094" priority="202">
      <formula>AND(S$9&gt;=14/24,S$9&lt;20/24)</formula>
    </cfRule>
    <cfRule type="expression" dxfId="9093" priority="203">
      <formula>AND(S$9&gt;=8/24,S$9&lt;14/24)</formula>
    </cfRule>
    <cfRule type="expression" dxfId="9092" priority="204">
      <formula>S$9&lt;8/24</formula>
    </cfRule>
  </conditionalFormatting>
  <conditionalFormatting sqref="M94:N94">
    <cfRule type="expression" dxfId="9091" priority="197">
      <formula>M$9&gt;=20/24</formula>
    </cfRule>
    <cfRule type="expression" dxfId="9090" priority="198">
      <formula>AND(M$9&gt;=14/24,M$9&lt;20/24)</formula>
    </cfRule>
    <cfRule type="expression" dxfId="9089" priority="199">
      <formula>AND(M$9&gt;=8/24,M$9&lt;14/24)</formula>
    </cfRule>
    <cfRule type="expression" dxfId="9088" priority="200">
      <formula>M$9&lt;8/24</formula>
    </cfRule>
  </conditionalFormatting>
  <conditionalFormatting sqref="U99:AA99">
    <cfRule type="expression" dxfId="9087" priority="181">
      <formula>U$9&gt;=20/24</formula>
    </cfRule>
    <cfRule type="expression" dxfId="9086" priority="182">
      <formula>AND(U$9&gt;=14/24,U$9&lt;20/24)</formula>
    </cfRule>
    <cfRule type="expression" dxfId="9085" priority="183">
      <formula>AND(U$9&gt;=8/24,U$9&lt;14/24)</formula>
    </cfRule>
    <cfRule type="expression" dxfId="9084" priority="184">
      <formula>U$9&lt;8/24</formula>
    </cfRule>
  </conditionalFormatting>
  <conditionalFormatting sqref="A99">
    <cfRule type="expression" dxfId="9083" priority="180">
      <formula>$AH99=0</formula>
    </cfRule>
  </conditionalFormatting>
  <conditionalFormatting sqref="C99:N99">
    <cfRule type="expression" dxfId="9082" priority="176">
      <formula>C$9&gt;=20/24</formula>
    </cfRule>
    <cfRule type="expression" dxfId="9081" priority="177">
      <formula>AND(C$9&gt;=14/24,C$9&lt;20/24)</formula>
    </cfRule>
    <cfRule type="expression" dxfId="9080" priority="178">
      <formula>AND(C$9&gt;=8/24,C$9&lt;14/24)</formula>
    </cfRule>
    <cfRule type="expression" dxfId="9079" priority="179">
      <formula>C$9&lt;8/24</formula>
    </cfRule>
  </conditionalFormatting>
  <conditionalFormatting sqref="O99:R99">
    <cfRule type="expression" dxfId="9078" priority="172">
      <formula>O$9&gt;=20/24</formula>
    </cfRule>
    <cfRule type="expression" dxfId="9077" priority="173">
      <formula>AND(O$9&gt;=14/24,O$9&lt;20/24)</formula>
    </cfRule>
    <cfRule type="expression" dxfId="9076" priority="174">
      <formula>AND(O$9&gt;=8/24,O$9&lt;14/24)</formula>
    </cfRule>
    <cfRule type="expression" dxfId="9075" priority="175">
      <formula>O$9&lt;8/24</formula>
    </cfRule>
  </conditionalFormatting>
  <conditionalFormatting sqref="S99:T99">
    <cfRule type="expression" dxfId="9074" priority="168">
      <formula>S$9&gt;=20/24</formula>
    </cfRule>
    <cfRule type="expression" dxfId="9073" priority="169">
      <formula>AND(S$9&gt;=14/24,S$9&lt;20/24)</formula>
    </cfRule>
    <cfRule type="expression" dxfId="9072" priority="170">
      <formula>AND(S$9&gt;=8/24,S$9&lt;14/24)</formula>
    </cfRule>
    <cfRule type="expression" dxfId="9071" priority="171">
      <formula>S$9&lt;8/24</formula>
    </cfRule>
  </conditionalFormatting>
  <conditionalFormatting sqref="S12:AF16">
    <cfRule type="expression" dxfId="9070" priority="164">
      <formula>S$9&gt;=20/24</formula>
    </cfRule>
    <cfRule type="expression" dxfId="9069" priority="165">
      <formula>AND(S$9&gt;=14/24,S$9&lt;20/24)</formula>
    </cfRule>
    <cfRule type="expression" dxfId="9068" priority="166">
      <formula>AND(S$9&gt;=8/24,S$9&lt;14/24)</formula>
    </cfRule>
    <cfRule type="expression" dxfId="9067" priority="167">
      <formula>S$9&lt;8/24</formula>
    </cfRule>
  </conditionalFormatting>
  <conditionalFormatting sqref="S17:AF17">
    <cfRule type="expression" dxfId="9066" priority="160">
      <formula>S$9&gt;=20/24</formula>
    </cfRule>
    <cfRule type="expression" dxfId="9065" priority="161">
      <formula>AND(S$9&gt;=14/24,S$9&lt;20/24)</formula>
    </cfRule>
    <cfRule type="expression" dxfId="9064" priority="162">
      <formula>AND(S$9&gt;=8/24,S$9&lt;14/24)</formula>
    </cfRule>
    <cfRule type="expression" dxfId="9063" priority="163">
      <formula>S$9&lt;8/24</formula>
    </cfRule>
  </conditionalFormatting>
  <conditionalFormatting sqref="S12:AF13">
    <cfRule type="expression" dxfId="9062" priority="156">
      <formula>S$9&gt;=20/24</formula>
    </cfRule>
    <cfRule type="expression" dxfId="9061" priority="157">
      <formula>AND(S$9&gt;=14/24,S$9&lt;20/24)</formula>
    </cfRule>
    <cfRule type="expression" dxfId="9060" priority="158">
      <formula>AND(S$9&gt;=8/24,S$9&lt;14/24)</formula>
    </cfRule>
    <cfRule type="expression" dxfId="9059" priority="159">
      <formula>S$9&lt;8/24</formula>
    </cfRule>
  </conditionalFormatting>
  <conditionalFormatting sqref="AB58:AE59">
    <cfRule type="expression" dxfId="9058" priority="152">
      <formula>AB$9&gt;=20/24</formula>
    </cfRule>
    <cfRule type="expression" dxfId="9057" priority="153">
      <formula>AND(AB$9&gt;=14/24,AB$9&lt;20/24)</formula>
    </cfRule>
    <cfRule type="expression" dxfId="9056" priority="154">
      <formula>AND(AB$9&gt;=8/24,AB$9&lt;14/24)</formula>
    </cfRule>
    <cfRule type="expression" dxfId="9055" priority="155">
      <formula>AB$9&lt;8/24</formula>
    </cfRule>
  </conditionalFormatting>
  <conditionalFormatting sqref="AL3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054" priority="386">
      <formula>C$9&gt;=20/24</formula>
    </cfRule>
    <cfRule type="expression" dxfId="9053" priority="387">
      <formula>AND(C$9&gt;=14/24,C$9&lt;20/24)</formula>
    </cfRule>
    <cfRule type="expression" dxfId="9052" priority="388">
      <formula>AND(C$9&gt;=8/24,C$9&lt;14/24)</formula>
    </cfRule>
    <cfRule type="expression" dxfId="9051" priority="389">
      <formula>C$9&lt;8/24</formula>
    </cfRule>
  </conditionalFormatting>
  <conditionalFormatting sqref="A200">
    <cfRule type="expression" dxfId="9050" priority="390">
      <formula>$AH200=0</formula>
    </cfRule>
  </conditionalFormatting>
  <conditionalFormatting sqref="AG212">
    <cfRule type="expression" dxfId="9049" priority="391">
      <formula>B$9&gt;=20/24</formula>
    </cfRule>
    <cfRule type="expression" dxfId="9048" priority="392">
      <formula>AND(B$9&gt;=14/24,B$9&lt;20/24)</formula>
    </cfRule>
    <cfRule type="expression" dxfId="9047" priority="393">
      <formula>AND(B$9&gt;=8/24,B$9&lt;14/24)</formula>
    </cfRule>
    <cfRule type="expression" dxfId="9046" priority="394">
      <formula>B$9&lt;8/24</formula>
    </cfRule>
  </conditionalFormatting>
  <conditionalFormatting sqref="S8">
    <cfRule type="expression" dxfId="9045" priority="141">
      <formula>U$9&gt;=20/24</formula>
    </cfRule>
    <cfRule type="expression" dxfId="9044" priority="142">
      <formula>AND(U$9&gt;=14/24,U$9&lt;20/24)</formula>
    </cfRule>
    <cfRule type="expression" dxfId="9043" priority="143">
      <formula>AND(U$9&gt;=8/24,U$9&lt;14/24)</formula>
    </cfRule>
    <cfRule type="expression" dxfId="9042" priority="144">
      <formula>U$9&lt;8/24</formula>
    </cfRule>
  </conditionalFormatting>
  <conditionalFormatting sqref="AB8">
    <cfRule type="expression" dxfId="9041" priority="137">
      <formula>AD$9&gt;=20/24</formula>
    </cfRule>
    <cfRule type="expression" dxfId="9040" priority="138">
      <formula>AND(AD$9&gt;=14/24,AD$9&lt;20/24)</formula>
    </cfRule>
    <cfRule type="expression" dxfId="9039" priority="139">
      <formula>AND(AD$9&gt;=8/24,AD$9&lt;14/24)</formula>
    </cfRule>
    <cfRule type="expression" dxfId="9038" priority="140">
      <formula>AD$9&lt;8/24</formula>
    </cfRule>
  </conditionalFormatting>
  <conditionalFormatting sqref="AH212:AX212">
    <cfRule type="expression" dxfId="9037" priority="395">
      <formula>AG$9&gt;=20/24</formula>
    </cfRule>
    <cfRule type="expression" dxfId="9036" priority="396">
      <formula>AND(AG$9&gt;=14/24,AG$9&lt;20/24)</formula>
    </cfRule>
    <cfRule type="expression" dxfId="9035" priority="397">
      <formula>AND(AG$9&gt;=8/24,AG$9&lt;14/24)</formula>
    </cfRule>
    <cfRule type="expression" dxfId="9034" priority="398">
      <formula>AG$9&lt;8/24</formula>
    </cfRule>
  </conditionalFormatting>
  <conditionalFormatting sqref="T212">
    <cfRule type="expression" dxfId="9033" priority="399">
      <formula>AX$9&gt;=20/24</formula>
    </cfRule>
    <cfRule type="expression" dxfId="9032" priority="400">
      <formula>AND(AX$9&gt;=14/24,AX$9&lt;20/24)</formula>
    </cfRule>
    <cfRule type="expression" dxfId="9031" priority="401">
      <formula>AND(AX$9&gt;=8/24,AX$9&lt;14/24)</formula>
    </cfRule>
    <cfRule type="expression" dxfId="9030" priority="402">
      <formula>AX$9&lt;8/24</formula>
    </cfRule>
  </conditionalFormatting>
  <conditionalFormatting sqref="B94:B99 B53:B91 B16:L26 B28:L31 B36:L36 B12:L14">
    <cfRule type="expression" dxfId="9029" priority="133">
      <formula>B$9&gt;=20/24</formula>
    </cfRule>
    <cfRule type="expression" dxfId="9028" priority="134">
      <formula>AND(B$9&gt;=14/24,B$9&lt;20/24)</formula>
    </cfRule>
    <cfRule type="expression" dxfId="9027" priority="135">
      <formula>AND(B$9&gt;=8/24,B$9&lt;14/24)</formula>
    </cfRule>
    <cfRule type="expression" dxfId="9026" priority="136">
      <formula>B$9&lt;8/24</formula>
    </cfRule>
  </conditionalFormatting>
  <conditionalFormatting sqref="B32:L32">
    <cfRule type="expression" dxfId="9025" priority="129">
      <formula>B$9&gt;=20/24</formula>
    </cfRule>
    <cfRule type="expression" dxfId="9024" priority="130">
      <formula>AND(B$9&gt;=14/24,B$9&lt;20/24)</formula>
    </cfRule>
    <cfRule type="expression" dxfId="9023" priority="131">
      <formula>AND(B$9&gt;=8/24,B$9&lt;14/24)</formula>
    </cfRule>
    <cfRule type="expression" dxfId="9022" priority="132">
      <formula>B$9&lt;8/24</formula>
    </cfRule>
  </conditionalFormatting>
  <conditionalFormatting sqref="B35:L35">
    <cfRule type="expression" dxfId="9021" priority="125">
      <formula>B$9&gt;=20/24</formula>
    </cfRule>
    <cfRule type="expression" dxfId="9020" priority="126">
      <formula>AND(B$9&gt;=14/24,B$9&lt;20/24)</formula>
    </cfRule>
    <cfRule type="expression" dxfId="9019" priority="127">
      <formula>AND(B$9&gt;=8/24,B$9&lt;14/24)</formula>
    </cfRule>
    <cfRule type="expression" dxfId="9018" priority="128">
      <formula>B$9&lt;8/24</formula>
    </cfRule>
  </conditionalFormatting>
  <conditionalFormatting sqref="B45:K48">
    <cfRule type="expression" dxfId="9017" priority="121">
      <formula>B$9&gt;=20/24</formula>
    </cfRule>
    <cfRule type="expression" dxfId="9016" priority="122">
      <formula>AND(B$9&gt;=14/24,B$9&lt;20/24)</formula>
    </cfRule>
    <cfRule type="expression" dxfId="9015" priority="123">
      <formula>AND(B$9&gt;=8/24,B$9&lt;14/24)</formula>
    </cfRule>
    <cfRule type="expression" dxfId="9014" priority="124">
      <formula>B$9&lt;8/24</formula>
    </cfRule>
  </conditionalFormatting>
  <conditionalFormatting sqref="B49:K49">
    <cfRule type="expression" dxfId="9013" priority="117">
      <formula>B$9&gt;=20/24</formula>
    </cfRule>
    <cfRule type="expression" dxfId="9012" priority="118">
      <formula>AND(B$9&gt;=14/24,B$9&lt;20/24)</formula>
    </cfRule>
    <cfRule type="expression" dxfId="9011" priority="119">
      <formula>AND(B$9&gt;=8/24,B$9&lt;14/24)</formula>
    </cfRule>
    <cfRule type="expression" dxfId="9010" priority="120">
      <formula>B$9&lt;8/24</formula>
    </cfRule>
  </conditionalFormatting>
  <conditionalFormatting sqref="B50:K50">
    <cfRule type="expression" dxfId="9009" priority="113">
      <formula>B$9&gt;=20/24</formula>
    </cfRule>
    <cfRule type="expression" dxfId="9008" priority="114">
      <formula>AND(B$9&gt;=14/24,B$9&lt;20/24)</formula>
    </cfRule>
    <cfRule type="expression" dxfId="9007" priority="115">
      <formula>AND(B$9&gt;=8/24,B$9&lt;14/24)</formula>
    </cfRule>
    <cfRule type="expression" dxfId="9006" priority="116">
      <formula>B$9&lt;8/24</formula>
    </cfRule>
  </conditionalFormatting>
  <conditionalFormatting sqref="B34:B56 B11:D32 C45:K50 C34:L37 E12:L32">
    <cfRule type="expression" dxfId="9005" priority="112">
      <formula>B11&gt;$AG11</formula>
    </cfRule>
  </conditionalFormatting>
  <conditionalFormatting sqref="B34:L34">
    <cfRule type="expression" dxfId="9004" priority="108">
      <formula>B$9&gt;=20/24</formula>
    </cfRule>
    <cfRule type="expression" dxfId="9003" priority="109">
      <formula>AND(B$9&gt;=14/24,B$9&lt;20/24)</formula>
    </cfRule>
    <cfRule type="expression" dxfId="9002" priority="110">
      <formula>AND(B$9&gt;=8/24,B$9&lt;14/24)</formula>
    </cfRule>
    <cfRule type="expression" dxfId="9001" priority="111">
      <formula>B$9&lt;8/24</formula>
    </cfRule>
  </conditionalFormatting>
  <conditionalFormatting sqref="B15:L15">
    <cfRule type="expression" dxfId="9000" priority="104">
      <formula>B$9&gt;=20/24</formula>
    </cfRule>
    <cfRule type="expression" dxfId="8999" priority="105">
      <formula>AND(B$9&gt;=14/24,B$9&lt;20/24)</formula>
    </cfRule>
    <cfRule type="expression" dxfId="8998" priority="106">
      <formula>AND(B$9&gt;=8/24,B$9&lt;14/24)</formula>
    </cfRule>
    <cfRule type="expression" dxfId="8997" priority="107">
      <formula>B$9&lt;8/24</formula>
    </cfRule>
  </conditionalFormatting>
  <conditionalFormatting sqref="O21:O32 O36:O37">
    <cfRule type="expression" dxfId="8996" priority="95">
      <formula>O$9&gt;=20/24</formula>
    </cfRule>
    <cfRule type="expression" dxfId="8995" priority="96">
      <formula>AND(O$9&gt;=14/24,O$9&lt;20/24)</formula>
    </cfRule>
    <cfRule type="expression" dxfId="8994" priority="97">
      <formula>AND(O$9&gt;=8/24,O$9&lt;14/24)</formula>
    </cfRule>
    <cfRule type="expression" dxfId="8993" priority="98">
      <formula>O$9&lt;8/24</formula>
    </cfRule>
  </conditionalFormatting>
  <conditionalFormatting sqref="O35">
    <cfRule type="expression" dxfId="8992" priority="91">
      <formula>O$9&gt;=20/24</formula>
    </cfRule>
    <cfRule type="expression" dxfId="8991" priority="92">
      <formula>AND(O$9&gt;=14/24,O$9&lt;20/24)</formula>
    </cfRule>
    <cfRule type="expression" dxfId="8990" priority="93">
      <formula>AND(O$9&gt;=8/24,O$9&lt;14/24)</formula>
    </cfRule>
    <cfRule type="expression" dxfId="8989" priority="94">
      <formula>O$9&lt;8/24</formula>
    </cfRule>
  </conditionalFormatting>
  <conditionalFormatting sqref="O21:O32 O34:O37">
    <cfRule type="expression" dxfId="8988" priority="90">
      <formula>O21&gt;$AG21</formula>
    </cfRule>
  </conditionalFormatting>
  <conditionalFormatting sqref="O34">
    <cfRule type="expression" dxfId="8987" priority="86">
      <formula>O$9&gt;=20/24</formula>
    </cfRule>
    <cfRule type="expression" dxfId="8986" priority="87">
      <formula>AND(O$9&gt;=14/24,O$9&lt;20/24)</formula>
    </cfRule>
    <cfRule type="expression" dxfId="8985" priority="88">
      <formula>AND(O$9&gt;=8/24,O$9&lt;14/24)</formula>
    </cfRule>
    <cfRule type="expression" dxfId="8984" priority="89">
      <formula>O$9&lt;8/24</formula>
    </cfRule>
  </conditionalFormatting>
  <conditionalFormatting sqref="O58:O67">
    <cfRule type="expression" dxfId="8983" priority="77">
      <formula>O$9&gt;=20/24</formula>
    </cfRule>
    <cfRule type="expression" dxfId="8982" priority="78">
      <formula>AND(O$9&gt;=14/24,O$9&lt;20/24)</formula>
    </cfRule>
    <cfRule type="expression" dxfId="8981" priority="79">
      <formula>AND(O$9&gt;=8/24,O$9&lt;14/24)</formula>
    </cfRule>
    <cfRule type="expression" dxfId="8980" priority="80">
      <formula>O$9&lt;8/24</formula>
    </cfRule>
  </conditionalFormatting>
  <conditionalFormatting sqref="O57">
    <cfRule type="expression" dxfId="8979" priority="73">
      <formula>O$9&gt;=20/24</formula>
    </cfRule>
    <cfRule type="expression" dxfId="8978" priority="74">
      <formula>AND(O$9&gt;=14/24,O$9&lt;20/24)</formula>
    </cfRule>
    <cfRule type="expression" dxfId="8977" priority="75">
      <formula>AND(O$9&gt;=8/24,O$9&lt;14/24)</formula>
    </cfRule>
    <cfRule type="expression" dxfId="8976" priority="76">
      <formula>O$9&lt;8/24</formula>
    </cfRule>
  </conditionalFormatting>
  <conditionalFormatting sqref="P16:P20">
    <cfRule type="expression" dxfId="8975" priority="69">
      <formula>P$9&gt;=20/24</formula>
    </cfRule>
    <cfRule type="expression" dxfId="8974" priority="70">
      <formula>AND(P$9&gt;=14/24,P$9&lt;20/24)</formula>
    </cfRule>
    <cfRule type="expression" dxfId="8973" priority="71">
      <formula>AND(P$9&gt;=8/24,P$9&lt;14/24)</formula>
    </cfRule>
    <cfRule type="expression" dxfId="8972" priority="72">
      <formula>P$9&lt;8/24</formula>
    </cfRule>
  </conditionalFormatting>
  <conditionalFormatting sqref="P16:P20">
    <cfRule type="expression" dxfId="8971" priority="68">
      <formula>P16&gt;$AG16</formula>
    </cfRule>
  </conditionalFormatting>
  <conditionalFormatting sqref="P21:P32 P36:P37">
    <cfRule type="expression" dxfId="8970" priority="64">
      <formula>P$9&gt;=20/24</formula>
    </cfRule>
    <cfRule type="expression" dxfId="8969" priority="65">
      <formula>AND(P$9&gt;=14/24,P$9&lt;20/24)</formula>
    </cfRule>
    <cfRule type="expression" dxfId="8968" priority="66">
      <formula>AND(P$9&gt;=8/24,P$9&lt;14/24)</formula>
    </cfRule>
    <cfRule type="expression" dxfId="8967" priority="67">
      <formula>P$9&lt;8/24</formula>
    </cfRule>
  </conditionalFormatting>
  <conditionalFormatting sqref="P35">
    <cfRule type="expression" dxfId="8966" priority="60">
      <formula>P$9&gt;=20/24</formula>
    </cfRule>
    <cfRule type="expression" dxfId="8965" priority="61">
      <formula>AND(P$9&gt;=14/24,P$9&lt;20/24)</formula>
    </cfRule>
    <cfRule type="expression" dxfId="8964" priority="62">
      <formula>AND(P$9&gt;=8/24,P$9&lt;14/24)</formula>
    </cfRule>
    <cfRule type="expression" dxfId="8963" priority="63">
      <formula>P$9&lt;8/24</formula>
    </cfRule>
  </conditionalFormatting>
  <conditionalFormatting sqref="P21:P32 P34:P37">
    <cfRule type="expression" dxfId="8962" priority="59">
      <formula>P21&gt;$AG21</formula>
    </cfRule>
  </conditionalFormatting>
  <conditionalFormatting sqref="P34">
    <cfRule type="expression" dxfId="8961" priority="55">
      <formula>P$9&gt;=20/24</formula>
    </cfRule>
    <cfRule type="expression" dxfId="8960" priority="56">
      <formula>AND(P$9&gt;=14/24,P$9&lt;20/24)</formula>
    </cfRule>
    <cfRule type="expression" dxfId="8959" priority="57">
      <formula>AND(P$9&gt;=8/24,P$9&lt;14/24)</formula>
    </cfRule>
    <cfRule type="expression" dxfId="8958" priority="58">
      <formula>P$9&lt;8/24</formula>
    </cfRule>
  </conditionalFormatting>
  <conditionalFormatting sqref="P58:P67">
    <cfRule type="expression" dxfId="8957" priority="46">
      <formula>P$9&gt;=20/24</formula>
    </cfRule>
    <cfRule type="expression" dxfId="8956" priority="47">
      <formula>AND(P$9&gt;=14/24,P$9&lt;20/24)</formula>
    </cfRule>
    <cfRule type="expression" dxfId="8955" priority="48">
      <formula>AND(P$9&gt;=8/24,P$9&lt;14/24)</formula>
    </cfRule>
    <cfRule type="expression" dxfId="8954" priority="49">
      <formula>P$9&lt;8/24</formula>
    </cfRule>
  </conditionalFormatting>
  <conditionalFormatting sqref="P57">
    <cfRule type="expression" dxfId="8953" priority="42">
      <formula>P$9&gt;=20/24</formula>
    </cfRule>
    <cfRule type="expression" dxfId="8952" priority="43">
      <formula>AND(P$9&gt;=14/24,P$9&lt;20/24)</formula>
    </cfRule>
    <cfRule type="expression" dxfId="8951" priority="44">
      <formula>AND(P$9&gt;=8/24,P$9&lt;14/24)</formula>
    </cfRule>
    <cfRule type="expression" dxfId="8950" priority="45">
      <formula>P$9&lt;8/24</formula>
    </cfRule>
  </conditionalFormatting>
  <conditionalFormatting sqref="Q12:R14">
    <cfRule type="expression" dxfId="8949" priority="38">
      <formula>Q$9&gt;=20/24</formula>
    </cfRule>
    <cfRule type="expression" dxfId="8948" priority="39">
      <formula>AND(Q$9&gt;=14/24,Q$9&lt;20/24)</formula>
    </cfRule>
    <cfRule type="expression" dxfId="8947" priority="40">
      <formula>AND(Q$9&gt;=8/24,Q$9&lt;14/24)</formula>
    </cfRule>
    <cfRule type="expression" dxfId="8946" priority="41">
      <formula>Q$9&lt;8/24</formula>
    </cfRule>
  </conditionalFormatting>
  <conditionalFormatting sqref="Q12:R14">
    <cfRule type="expression" dxfId="8945" priority="37">
      <formula>Q12&gt;$AG12</formula>
    </cfRule>
  </conditionalFormatting>
  <conditionalFormatting sqref="Q15:R15">
    <cfRule type="expression" dxfId="8944" priority="33">
      <formula>Q$9&gt;=20/24</formula>
    </cfRule>
    <cfRule type="expression" dxfId="8943" priority="34">
      <formula>AND(Q$9&gt;=14/24,Q$9&lt;20/24)</formula>
    </cfRule>
    <cfRule type="expression" dxfId="8942" priority="35">
      <formula>AND(Q$9&gt;=8/24,Q$9&lt;14/24)</formula>
    </cfRule>
    <cfRule type="expression" dxfId="8941" priority="36">
      <formula>Q$9&lt;8/24</formula>
    </cfRule>
  </conditionalFormatting>
  <conditionalFormatting sqref="Q15:R15">
    <cfRule type="expression" dxfId="8940" priority="32">
      <formula>Q15&gt;$AG15</formula>
    </cfRule>
  </conditionalFormatting>
  <conditionalFormatting sqref="Q16:R20">
    <cfRule type="expression" dxfId="8939" priority="28">
      <formula>Q$9&gt;=20/24</formula>
    </cfRule>
    <cfRule type="expression" dxfId="8938" priority="29">
      <formula>AND(Q$9&gt;=14/24,Q$9&lt;20/24)</formula>
    </cfRule>
    <cfRule type="expression" dxfId="8937" priority="30">
      <formula>AND(Q$9&gt;=8/24,Q$9&lt;14/24)</formula>
    </cfRule>
    <cfRule type="expression" dxfId="8936" priority="31">
      <formula>Q$9&lt;8/24</formula>
    </cfRule>
  </conditionalFormatting>
  <conditionalFormatting sqref="Q16:R20">
    <cfRule type="expression" dxfId="8935" priority="27">
      <formula>Q16&gt;$AG16</formula>
    </cfRule>
  </conditionalFormatting>
  <conditionalFormatting sqref="Q21:R32 Q36:R37">
    <cfRule type="expression" dxfId="8934" priority="23">
      <formula>Q$9&gt;=20/24</formula>
    </cfRule>
    <cfRule type="expression" dxfId="8933" priority="24">
      <formula>AND(Q$9&gt;=14/24,Q$9&lt;20/24)</formula>
    </cfRule>
    <cfRule type="expression" dxfId="8932" priority="25">
      <formula>AND(Q$9&gt;=8/24,Q$9&lt;14/24)</formula>
    </cfRule>
    <cfRule type="expression" dxfId="8931" priority="26">
      <formula>Q$9&lt;8/24</formula>
    </cfRule>
  </conditionalFormatting>
  <conditionalFormatting sqref="Q35:R35">
    <cfRule type="expression" dxfId="8930" priority="19">
      <formula>Q$9&gt;=20/24</formula>
    </cfRule>
    <cfRule type="expression" dxfId="8929" priority="20">
      <formula>AND(Q$9&gt;=14/24,Q$9&lt;20/24)</formula>
    </cfRule>
    <cfRule type="expression" dxfId="8928" priority="21">
      <formula>AND(Q$9&gt;=8/24,Q$9&lt;14/24)</formula>
    </cfRule>
    <cfRule type="expression" dxfId="8927" priority="22">
      <formula>Q$9&lt;8/24</formula>
    </cfRule>
  </conditionalFormatting>
  <conditionalFormatting sqref="Q21:R32 Q34:R37">
    <cfRule type="expression" dxfId="8926" priority="18">
      <formula>Q21&gt;$AG21</formula>
    </cfRule>
  </conditionalFormatting>
  <conditionalFormatting sqref="Q34:R34">
    <cfRule type="expression" dxfId="8925" priority="14">
      <formula>Q$9&gt;=20/24</formula>
    </cfRule>
    <cfRule type="expression" dxfId="8924" priority="15">
      <formula>AND(Q$9&gt;=14/24,Q$9&lt;20/24)</formula>
    </cfRule>
    <cfRule type="expression" dxfId="8923" priority="16">
      <formula>AND(Q$9&gt;=8/24,Q$9&lt;14/24)</formula>
    </cfRule>
    <cfRule type="expression" dxfId="8922" priority="17">
      <formula>Q$9&lt;8/24</formula>
    </cfRule>
  </conditionalFormatting>
  <conditionalFormatting sqref="Q58:R67">
    <cfRule type="expression" dxfId="8921" priority="5">
      <formula>Q$9&gt;=20/24</formula>
    </cfRule>
    <cfRule type="expression" dxfId="8920" priority="6">
      <formula>AND(Q$9&gt;=14/24,Q$9&lt;20/24)</formula>
    </cfRule>
    <cfRule type="expression" dxfId="8919" priority="7">
      <formula>AND(Q$9&gt;=8/24,Q$9&lt;14/24)</formula>
    </cfRule>
    <cfRule type="expression" dxfId="8918" priority="8">
      <formula>Q$9&lt;8/24</formula>
    </cfRule>
  </conditionalFormatting>
  <conditionalFormatting sqref="Q57:R57">
    <cfRule type="expression" dxfId="8917" priority="1">
      <formula>Q$9&gt;=20/24</formula>
    </cfRule>
    <cfRule type="expression" dxfId="8916" priority="2">
      <formula>AND(Q$9&gt;=14/24,Q$9&lt;20/24)</formula>
    </cfRule>
    <cfRule type="expression" dxfId="8915" priority="3">
      <formula>AND(Q$9&gt;=8/24,Q$9&lt;14/24)</formula>
    </cfRule>
    <cfRule type="expression" dxfId="8914" priority="4">
      <formula>Q$9&lt;8/24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8" id="{0B3BB0B0-4CD1-4DC8-B579-F97FD2E19102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9" id="{34B7A5C9-C2BB-40C9-896C-9766B60D94F2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0" id="{597DD8D0-A19B-4D3B-98DE-CCB5B9D6B5A5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1" id="{ABD9167D-2B9C-4700-907E-C4E3AEF3936D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M33:N33 R33:AF33</xm:sqref>
        </x14:conditionalFormatting>
        <x14:conditionalFormatting xmlns:xm="http://schemas.microsoft.com/office/excel/2006/main">
          <x14:cfRule type="expression" priority="147" id="{945CB502-389B-4DD4-A5AD-9B49A62CCEAE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M33:N33 R33:AF33</xm:sqref>
        </x14:conditionalFormatting>
        <x14:conditionalFormatting xmlns:xm="http://schemas.microsoft.com/office/excel/2006/main">
          <x14:cfRule type="expression" priority="146" id="{5EA76AD6-E162-4783-BF85-57E531E5D28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100" id="{53694AD8-EDC9-4CF7-8740-954E34D7E29A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1" id="{E1AC5F9A-F582-4A0B-A620-51F18DD7ADA4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2" id="{A94335DD-1936-4A25-882A-63BD691D005F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3" id="{ED8F8CC2-0CA6-4A56-87C6-BE9B41297B68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99" id="{6CC46523-7671-4774-93F1-909BA79B3A32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82" id="{00372E65-288D-4D18-866C-88AC3F17243D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3" id="{8B82915F-9A38-4F80-8DE7-35C4873C9BB1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4" id="{CB89D0F2-7654-43A4-A9CC-5798BB32450F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5" id="{07B96FB8-A98B-4555-862F-0C0E18399B90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O33</xm:sqref>
        </x14:conditionalFormatting>
        <x14:conditionalFormatting xmlns:xm="http://schemas.microsoft.com/office/excel/2006/main">
          <x14:cfRule type="expression" priority="81" id="{7BDDC602-3012-4000-8DFD-67E038746814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O33</xm:sqref>
        </x14:conditionalFormatting>
        <x14:conditionalFormatting xmlns:xm="http://schemas.microsoft.com/office/excel/2006/main">
          <x14:cfRule type="expression" priority="51" id="{206F7391-4933-432D-8CE2-23C72BA5149B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2" id="{703A7752-1C26-4D8C-8E42-D22751C46695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3" id="{48AA3EB4-3D7D-4EEF-9CBA-3319515A2812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4" id="{4A6B665F-64B2-4255-8906-AF57E054853F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P33</xm:sqref>
        </x14:conditionalFormatting>
        <x14:conditionalFormatting xmlns:xm="http://schemas.microsoft.com/office/excel/2006/main">
          <x14:cfRule type="expression" priority="50" id="{66C49058-5E3B-47FD-A171-852CA4FD2C7A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P33</xm:sqref>
        </x14:conditionalFormatting>
        <x14:conditionalFormatting xmlns:xm="http://schemas.microsoft.com/office/excel/2006/main">
          <x14:cfRule type="expression" priority="10" id="{3D098E41-4455-4928-93C8-CDF46D9A0A30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10EF5ECD-FBD7-4BC4-B717-51B05B2F5900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13364B75-E01C-41E9-914F-2A27582A7AB6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5A5C60E5-26AE-43C6-8D11-AA01B8A9CEC2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Q33</xm:sqref>
        </x14:conditionalFormatting>
        <x14:conditionalFormatting xmlns:xm="http://schemas.microsoft.com/office/excel/2006/main">
          <x14:cfRule type="expression" priority="9" id="{DEBB2478-3641-4BED-8D85-8F9E5092ABA0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Q33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11" sqref="D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2078/08/2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80</v>
      </c>
      <c r="C5" s="32">
        <f t="shared" si="0"/>
        <v>40</v>
      </c>
      <c r="D5" s="32">
        <f t="shared" si="0"/>
        <v>45</v>
      </c>
      <c r="E5" s="32">
        <f t="shared" si="0"/>
        <v>60</v>
      </c>
      <c r="F5" s="32">
        <f t="shared" si="0"/>
        <v>110</v>
      </c>
      <c r="G5" s="32">
        <f t="shared" si="0"/>
        <v>196</v>
      </c>
      <c r="H5" s="32">
        <f t="shared" si="0"/>
        <v>160</v>
      </c>
      <c r="I5" s="32">
        <f t="shared" si="0"/>
        <v>230</v>
      </c>
      <c r="J5" s="32">
        <f t="shared" si="0"/>
        <v>98</v>
      </c>
      <c r="K5" s="32">
        <f t="shared" si="0"/>
        <v>109</v>
      </c>
      <c r="L5" s="32">
        <f t="shared" si="0"/>
        <v>105.9</v>
      </c>
      <c r="M5" s="32">
        <f t="shared" si="0"/>
        <v>10</v>
      </c>
      <c r="N5" s="32">
        <f t="shared" si="0"/>
        <v>-23.9</v>
      </c>
      <c r="O5" s="32">
        <f t="shared" si="0"/>
        <v>290</v>
      </c>
      <c r="P5" s="32">
        <f t="shared" si="0"/>
        <v>300</v>
      </c>
      <c r="Q5" s="32">
        <f t="shared" si="0"/>
        <v>324</v>
      </c>
      <c r="R5" s="32">
        <f t="shared" si="0"/>
        <v>326</v>
      </c>
      <c r="S5" s="32">
        <f t="shared" si="0"/>
        <v>355</v>
      </c>
      <c r="T5" s="32">
        <f t="shared" si="0"/>
        <v>316.2</v>
      </c>
      <c r="U5" s="32">
        <f t="shared" si="0"/>
        <v>338</v>
      </c>
      <c r="V5" s="32">
        <f t="shared" si="0"/>
        <v>59.4</v>
      </c>
      <c r="W5" s="32">
        <f t="shared" si="0"/>
        <v>139</v>
      </c>
      <c r="X5" s="32">
        <f t="shared" si="0"/>
        <v>118.60000000000001</v>
      </c>
      <c r="Y5" s="32">
        <f t="shared" si="0"/>
        <v>75.3</v>
      </c>
      <c r="Z5" s="32">
        <f t="shared" si="0"/>
        <v>67</v>
      </c>
      <c r="AA5" s="32">
        <f t="shared" si="0"/>
        <v>87</v>
      </c>
      <c r="AB5" s="32">
        <f t="shared" si="0"/>
        <v>100</v>
      </c>
      <c r="AC5" s="32">
        <f t="shared" si="0"/>
        <v>179</v>
      </c>
      <c r="AD5" s="32">
        <f t="shared" si="0"/>
        <v>87.4</v>
      </c>
      <c r="AE5" s="32">
        <f t="shared" si="0"/>
        <v>76</v>
      </c>
      <c r="AF5" s="32">
        <f>B68</f>
        <v>138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1462MW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Load=880</v>
      </c>
      <c r="B7" s="37">
        <f>B75</f>
        <v>917.54</v>
      </c>
      <c r="C7" s="37">
        <f t="shared" ref="C7:AF7" si="1">C75</f>
        <v>882.1400000000001</v>
      </c>
      <c r="D7" s="37">
        <f t="shared" si="1"/>
        <v>885.1400000000001</v>
      </c>
      <c r="E7" s="37">
        <f t="shared" si="1"/>
        <v>880.1400000000001</v>
      </c>
      <c r="F7" s="37">
        <f t="shared" si="1"/>
        <v>897.1400000000001</v>
      </c>
      <c r="G7" s="37">
        <f t="shared" si="1"/>
        <v>961.54000000000008</v>
      </c>
      <c r="H7" s="37">
        <f t="shared" si="1"/>
        <v>1034.8400000000001</v>
      </c>
      <c r="I7" s="37">
        <f t="shared" si="1"/>
        <v>1110.3399999999999</v>
      </c>
      <c r="J7" s="37">
        <f t="shared" si="1"/>
        <v>1258.8399999999999</v>
      </c>
      <c r="K7" s="37">
        <f t="shared" si="1"/>
        <v>1392.24</v>
      </c>
      <c r="L7" s="37">
        <f t="shared" si="1"/>
        <v>1461.94</v>
      </c>
      <c r="M7" s="37">
        <f t="shared" si="1"/>
        <v>1456.14</v>
      </c>
      <c r="N7" s="37">
        <f t="shared" si="1"/>
        <v>1364.44</v>
      </c>
      <c r="O7" s="37">
        <f t="shared" si="1"/>
        <v>1364.64</v>
      </c>
      <c r="P7" s="37">
        <f t="shared" si="1"/>
        <v>1298.2399999999998</v>
      </c>
      <c r="Q7" s="37">
        <f t="shared" si="1"/>
        <v>1244.94</v>
      </c>
      <c r="R7" s="37">
        <f t="shared" si="1"/>
        <v>1218.6400000000001</v>
      </c>
      <c r="S7" s="37">
        <f t="shared" si="1"/>
        <v>1159.74</v>
      </c>
      <c r="T7" s="37">
        <f t="shared" si="1"/>
        <v>1206.94</v>
      </c>
      <c r="U7" s="37">
        <f t="shared" si="1"/>
        <v>1257.04</v>
      </c>
      <c r="V7" s="37">
        <f t="shared" si="1"/>
        <v>1326.9399999999998</v>
      </c>
      <c r="W7" s="37">
        <f t="shared" si="1"/>
        <v>1443.94</v>
      </c>
      <c r="X7" s="37">
        <f t="shared" si="1"/>
        <v>1545.54</v>
      </c>
      <c r="Y7" s="37">
        <f t="shared" si="1"/>
        <v>1490.44</v>
      </c>
      <c r="Z7" s="37">
        <f t="shared" si="1"/>
        <v>1422.74</v>
      </c>
      <c r="AA7" s="37">
        <f t="shared" si="1"/>
        <v>1370.74</v>
      </c>
      <c r="AB7" s="37">
        <f t="shared" si="1"/>
        <v>1309.1400000000001</v>
      </c>
      <c r="AC7" s="37">
        <f t="shared" si="1"/>
        <v>1252.04</v>
      </c>
      <c r="AD7" s="37">
        <f t="shared" si="1"/>
        <v>1201.04</v>
      </c>
      <c r="AE7" s="37">
        <f t="shared" si="1"/>
        <v>1025.1399999999999</v>
      </c>
      <c r="AF7" s="37">
        <f t="shared" si="1"/>
        <v>945.24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50</v>
      </c>
      <c r="D11" s="49">
        <v>50</v>
      </c>
      <c r="E11" s="49">
        <v>40</v>
      </c>
      <c r="F11" s="49">
        <v>40</v>
      </c>
      <c r="G11" s="49">
        <v>40</v>
      </c>
      <c r="H11" s="49">
        <v>60</v>
      </c>
      <c r="I11" s="49">
        <v>120</v>
      </c>
      <c r="J11" s="49">
        <v>120</v>
      </c>
      <c r="K11" s="49">
        <v>300</v>
      </c>
      <c r="L11" s="49">
        <v>340</v>
      </c>
      <c r="M11" s="50">
        <v>360</v>
      </c>
      <c r="N11" s="50">
        <v>356</v>
      </c>
      <c r="O11" s="50">
        <v>395</v>
      </c>
      <c r="P11" s="50">
        <v>100</v>
      </c>
      <c r="Q11" s="50">
        <v>45</v>
      </c>
      <c r="R11" s="50">
        <v>37</v>
      </c>
      <c r="S11" s="50">
        <v>20</v>
      </c>
      <c r="T11" s="50">
        <v>20</v>
      </c>
      <c r="U11" s="50">
        <v>50</v>
      </c>
      <c r="V11" s="50">
        <v>55</v>
      </c>
      <c r="W11" s="50">
        <v>380</v>
      </c>
      <c r="X11" s="50">
        <v>400</v>
      </c>
      <c r="Y11" s="50">
        <v>375</v>
      </c>
      <c r="Z11" s="50">
        <v>350</v>
      </c>
      <c r="AA11" s="50">
        <v>330</v>
      </c>
      <c r="AB11" s="50">
        <v>270</v>
      </c>
      <c r="AC11" s="50">
        <v>235</v>
      </c>
      <c r="AD11" s="50">
        <v>140</v>
      </c>
      <c r="AE11" s="50">
        <v>100</v>
      </c>
      <c r="AF11" s="49">
        <v>30</v>
      </c>
      <c r="AG11" s="53">
        <v>456</v>
      </c>
      <c r="AH11" s="54">
        <f>MAX(B11:AF11)</f>
        <v>400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55</v>
      </c>
      <c r="C12" s="58">
        <v>55</v>
      </c>
      <c r="D12" s="58">
        <v>55</v>
      </c>
      <c r="E12" s="58">
        <v>55</v>
      </c>
      <c r="F12" s="58">
        <v>55</v>
      </c>
      <c r="G12" s="58">
        <v>55</v>
      </c>
      <c r="H12" s="58">
        <v>55</v>
      </c>
      <c r="I12" s="58">
        <v>55</v>
      </c>
      <c r="J12" s="58">
        <v>55</v>
      </c>
      <c r="K12" s="58">
        <v>55</v>
      </c>
      <c r="L12" s="58">
        <v>55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49">
        <v>50</v>
      </c>
      <c r="T12" s="49">
        <v>50</v>
      </c>
      <c r="U12" s="49">
        <v>50</v>
      </c>
      <c r="V12" s="49">
        <v>50</v>
      </c>
      <c r="W12" s="58">
        <v>50</v>
      </c>
      <c r="X12" s="58">
        <v>50</v>
      </c>
      <c r="Y12" s="58">
        <v>50</v>
      </c>
      <c r="Z12" s="58">
        <v>50</v>
      </c>
      <c r="AA12" s="58">
        <v>50</v>
      </c>
      <c r="AB12" s="58">
        <v>50</v>
      </c>
      <c r="AC12" s="58">
        <v>50</v>
      </c>
      <c r="AD12" s="58">
        <v>50</v>
      </c>
      <c r="AE12" s="58">
        <v>50</v>
      </c>
      <c r="AF12" s="58">
        <v>50</v>
      </c>
      <c r="AG12" s="59">
        <v>60</v>
      </c>
      <c r="AH12" s="54">
        <f t="shared" ref="AH12:AH75" si="2">MAX(B12:AF12)</f>
        <v>55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28.2</v>
      </c>
      <c r="C13" s="58">
        <v>28.2</v>
      </c>
      <c r="D13" s="58">
        <v>28.2</v>
      </c>
      <c r="E13" s="58">
        <v>28.2</v>
      </c>
      <c r="F13" s="58">
        <v>28.2</v>
      </c>
      <c r="G13" s="58">
        <v>28.2</v>
      </c>
      <c r="H13" s="58">
        <v>28.2</v>
      </c>
      <c r="I13" s="58">
        <v>28.2</v>
      </c>
      <c r="J13" s="58">
        <v>28.2</v>
      </c>
      <c r="K13" s="58">
        <v>28.2</v>
      </c>
      <c r="L13" s="58">
        <v>28.2</v>
      </c>
      <c r="M13" s="49">
        <v>26</v>
      </c>
      <c r="N13" s="49">
        <v>26</v>
      </c>
      <c r="O13" s="49">
        <v>26</v>
      </c>
      <c r="P13" s="49">
        <v>26</v>
      </c>
      <c r="Q13" s="49">
        <v>26</v>
      </c>
      <c r="R13" s="49">
        <v>26</v>
      </c>
      <c r="S13" s="49">
        <v>26</v>
      </c>
      <c r="T13" s="49">
        <v>0</v>
      </c>
      <c r="U13" s="49">
        <v>26</v>
      </c>
      <c r="V13" s="49">
        <v>26</v>
      </c>
      <c r="W13" s="49">
        <v>26</v>
      </c>
      <c r="X13" s="58">
        <v>26</v>
      </c>
      <c r="Y13" s="58">
        <v>26</v>
      </c>
      <c r="Z13" s="58">
        <v>26</v>
      </c>
      <c r="AA13" s="58">
        <v>26</v>
      </c>
      <c r="AB13" s="58">
        <v>26</v>
      </c>
      <c r="AC13" s="58">
        <v>26</v>
      </c>
      <c r="AD13" s="58">
        <v>26</v>
      </c>
      <c r="AE13" s="58">
        <v>26</v>
      </c>
      <c r="AF13" s="58">
        <v>26</v>
      </c>
      <c r="AG13" s="59">
        <v>52.4</v>
      </c>
      <c r="AH13" s="54">
        <f t="shared" si="2"/>
        <v>28.2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50</v>
      </c>
      <c r="C14" s="60">
        <v>50</v>
      </c>
      <c r="D14" s="60">
        <v>50</v>
      </c>
      <c r="E14" s="60">
        <v>50</v>
      </c>
      <c r="F14" s="60">
        <v>50</v>
      </c>
      <c r="G14" s="60">
        <v>50</v>
      </c>
      <c r="H14" s="60">
        <v>50</v>
      </c>
      <c r="I14" s="60">
        <v>50</v>
      </c>
      <c r="J14" s="60">
        <v>50</v>
      </c>
      <c r="K14" s="60">
        <v>50</v>
      </c>
      <c r="L14" s="60">
        <v>50</v>
      </c>
      <c r="M14" s="50">
        <v>50</v>
      </c>
      <c r="N14" s="50">
        <v>50</v>
      </c>
      <c r="O14" s="50">
        <v>50</v>
      </c>
      <c r="P14" s="50">
        <v>50</v>
      </c>
      <c r="Q14" s="50">
        <v>50</v>
      </c>
      <c r="R14" s="50">
        <v>50</v>
      </c>
      <c r="S14" s="50">
        <v>50</v>
      </c>
      <c r="T14" s="50">
        <v>50</v>
      </c>
      <c r="U14" s="50">
        <v>50</v>
      </c>
      <c r="V14" s="50">
        <v>50</v>
      </c>
      <c r="W14" s="50">
        <v>50</v>
      </c>
      <c r="X14" s="60">
        <v>51</v>
      </c>
      <c r="Y14" s="60">
        <v>51</v>
      </c>
      <c r="Z14" s="60">
        <v>51</v>
      </c>
      <c r="AA14" s="60">
        <v>51</v>
      </c>
      <c r="AB14" s="60">
        <v>51</v>
      </c>
      <c r="AC14" s="60">
        <v>51</v>
      </c>
      <c r="AD14" s="60">
        <v>51</v>
      </c>
      <c r="AE14" s="60">
        <v>51</v>
      </c>
      <c r="AF14" s="60">
        <v>51</v>
      </c>
      <c r="AG14" s="59">
        <v>50</v>
      </c>
      <c r="AH14" s="54">
        <f t="shared" si="2"/>
        <v>51</v>
      </c>
      <c r="AI14" s="55">
        <f t="shared" si="3"/>
        <v>50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27.2</v>
      </c>
      <c r="C15" s="60">
        <v>26.9</v>
      </c>
      <c r="D15" s="60">
        <v>26.9</v>
      </c>
      <c r="E15" s="60">
        <v>26.9</v>
      </c>
      <c r="F15" s="60">
        <v>26.9</v>
      </c>
      <c r="G15" s="60">
        <v>26.9</v>
      </c>
      <c r="H15" s="60">
        <v>26.9</v>
      </c>
      <c r="I15" s="60">
        <v>26.9</v>
      </c>
      <c r="J15" s="60">
        <v>26.9</v>
      </c>
      <c r="K15" s="60">
        <v>26.9</v>
      </c>
      <c r="L15" s="60">
        <v>26.9</v>
      </c>
      <c r="M15" s="50">
        <v>24.5</v>
      </c>
      <c r="N15" s="50">
        <v>24.5</v>
      </c>
      <c r="O15" s="50">
        <v>24.5</v>
      </c>
      <c r="P15" s="50">
        <v>24.5</v>
      </c>
      <c r="Q15" s="50">
        <v>24.6</v>
      </c>
      <c r="R15" s="50">
        <v>24.6</v>
      </c>
      <c r="S15" s="50">
        <v>24.6</v>
      </c>
      <c r="T15" s="50">
        <v>26.4</v>
      </c>
      <c r="U15" s="50">
        <v>27.2</v>
      </c>
      <c r="V15" s="50">
        <v>27.2</v>
      </c>
      <c r="W15" s="50">
        <v>27.2</v>
      </c>
      <c r="X15" s="60">
        <v>28.5</v>
      </c>
      <c r="Y15" s="60">
        <v>26.8</v>
      </c>
      <c r="Z15" s="60">
        <v>26.8</v>
      </c>
      <c r="AA15" s="60">
        <v>26.8</v>
      </c>
      <c r="AB15" s="60">
        <v>26.8</v>
      </c>
      <c r="AC15" s="60">
        <v>26.8</v>
      </c>
      <c r="AD15" s="60">
        <v>26.8</v>
      </c>
      <c r="AE15" s="60">
        <v>26.8</v>
      </c>
      <c r="AF15" s="60">
        <v>26.8</v>
      </c>
      <c r="AG15" s="62">
        <v>45</v>
      </c>
      <c r="AH15" s="54">
        <f t="shared" si="2"/>
        <v>28.5</v>
      </c>
      <c r="AI15" s="55">
        <f t="shared" si="3"/>
        <v>24.5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14</v>
      </c>
      <c r="C16" s="63">
        <v>14</v>
      </c>
      <c r="D16" s="63">
        <v>14</v>
      </c>
      <c r="E16" s="63">
        <v>14</v>
      </c>
      <c r="F16" s="63">
        <v>14</v>
      </c>
      <c r="G16" s="63">
        <v>14</v>
      </c>
      <c r="H16" s="63">
        <v>14</v>
      </c>
      <c r="I16" s="63">
        <v>14</v>
      </c>
      <c r="J16" s="63">
        <v>14</v>
      </c>
      <c r="K16" s="63">
        <v>14</v>
      </c>
      <c r="L16" s="63">
        <v>14</v>
      </c>
      <c r="M16" s="63">
        <v>14</v>
      </c>
      <c r="N16" s="63">
        <v>14</v>
      </c>
      <c r="O16" s="63">
        <v>14</v>
      </c>
      <c r="P16" s="63">
        <v>14</v>
      </c>
      <c r="Q16" s="63">
        <v>14</v>
      </c>
      <c r="R16" s="63">
        <v>14</v>
      </c>
      <c r="S16" s="63">
        <v>14</v>
      </c>
      <c r="T16" s="63">
        <v>14</v>
      </c>
      <c r="U16" s="63">
        <v>14</v>
      </c>
      <c r="V16" s="63">
        <v>14</v>
      </c>
      <c r="W16" s="63">
        <v>14</v>
      </c>
      <c r="X16" s="63">
        <v>14</v>
      </c>
      <c r="Y16" s="63">
        <v>14</v>
      </c>
      <c r="Z16" s="63">
        <v>14</v>
      </c>
      <c r="AA16" s="63">
        <v>14</v>
      </c>
      <c r="AB16" s="63">
        <v>14</v>
      </c>
      <c r="AC16" s="63">
        <v>14</v>
      </c>
      <c r="AD16" s="63">
        <v>14</v>
      </c>
      <c r="AE16" s="63">
        <v>14</v>
      </c>
      <c r="AF16" s="63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0</v>
      </c>
      <c r="C17" s="60">
        <v>0</v>
      </c>
      <c r="D17" s="60">
        <v>0</v>
      </c>
      <c r="E17" s="60">
        <v>0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12.7</v>
      </c>
      <c r="C19" s="50">
        <v>12.7</v>
      </c>
      <c r="D19" s="50">
        <v>12.7</v>
      </c>
      <c r="E19" s="50">
        <v>12.7</v>
      </c>
      <c r="F19" s="50">
        <v>12.7</v>
      </c>
      <c r="G19" s="50">
        <v>12.7</v>
      </c>
      <c r="H19" s="50">
        <v>12.7</v>
      </c>
      <c r="I19" s="50">
        <v>12.7</v>
      </c>
      <c r="J19" s="50">
        <v>12.7</v>
      </c>
      <c r="K19" s="50">
        <v>12.7</v>
      </c>
      <c r="L19" s="50">
        <v>12.7</v>
      </c>
      <c r="M19" s="50">
        <v>12.7</v>
      </c>
      <c r="N19" s="50">
        <v>12.7</v>
      </c>
      <c r="O19" s="50">
        <v>12.7</v>
      </c>
      <c r="P19" s="50">
        <v>12.7</v>
      </c>
      <c r="Q19" s="50">
        <v>12.7</v>
      </c>
      <c r="R19" s="50">
        <v>12.7</v>
      </c>
      <c r="S19" s="50">
        <v>12.7</v>
      </c>
      <c r="T19" s="50">
        <v>12.7</v>
      </c>
      <c r="U19" s="50">
        <v>12.7</v>
      </c>
      <c r="V19" s="50">
        <v>12.7</v>
      </c>
      <c r="W19" s="50">
        <v>12.7</v>
      </c>
      <c r="X19" s="50">
        <v>12.8</v>
      </c>
      <c r="Y19" s="50">
        <v>12.8</v>
      </c>
      <c r="Z19" s="50">
        <v>12.8</v>
      </c>
      <c r="AA19" s="50">
        <v>12.8</v>
      </c>
      <c r="AB19" s="50">
        <v>12.8</v>
      </c>
      <c r="AC19" s="50">
        <v>12.8</v>
      </c>
      <c r="AD19" s="50">
        <v>12.8</v>
      </c>
      <c r="AE19" s="50">
        <v>12.8</v>
      </c>
      <c r="AF19" s="50">
        <v>12.8</v>
      </c>
      <c r="AG19" s="59">
        <v>30</v>
      </c>
      <c r="AH19" s="54">
        <f t="shared" si="2"/>
        <v>12.8</v>
      </c>
      <c r="AI19" s="55">
        <f t="shared" si="3"/>
        <v>12.7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17.5</v>
      </c>
      <c r="C22" s="50">
        <v>17.5</v>
      </c>
      <c r="D22" s="50">
        <v>17.5</v>
      </c>
      <c r="E22" s="50">
        <v>17.5</v>
      </c>
      <c r="F22" s="50">
        <v>17.5</v>
      </c>
      <c r="G22" s="50">
        <v>17.5</v>
      </c>
      <c r="H22" s="50">
        <v>17.5</v>
      </c>
      <c r="I22" s="50">
        <v>17.5</v>
      </c>
      <c r="J22" s="50">
        <v>17.5</v>
      </c>
      <c r="K22" s="50">
        <v>17.5</v>
      </c>
      <c r="L22" s="50">
        <v>17.5</v>
      </c>
      <c r="M22" s="50">
        <v>17.5</v>
      </c>
      <c r="N22" s="50">
        <v>14.5</v>
      </c>
      <c r="O22" s="50">
        <v>14.5</v>
      </c>
      <c r="P22" s="50">
        <v>14.5</v>
      </c>
      <c r="Q22" s="50">
        <v>14.5</v>
      </c>
      <c r="R22" s="50">
        <v>14.5</v>
      </c>
      <c r="S22" s="50">
        <v>14.5</v>
      </c>
      <c r="T22" s="50">
        <v>14.5</v>
      </c>
      <c r="U22" s="50">
        <v>14.5</v>
      </c>
      <c r="V22" s="50">
        <v>14.5</v>
      </c>
      <c r="W22" s="50">
        <v>14.5</v>
      </c>
      <c r="X22" s="50">
        <v>20</v>
      </c>
      <c r="Y22" s="50">
        <v>20</v>
      </c>
      <c r="Z22" s="50">
        <v>20</v>
      </c>
      <c r="AA22" s="50">
        <v>20</v>
      </c>
      <c r="AB22" s="50">
        <v>20</v>
      </c>
      <c r="AC22" s="50">
        <v>20</v>
      </c>
      <c r="AD22" s="50">
        <v>20</v>
      </c>
      <c r="AE22" s="50">
        <v>20</v>
      </c>
      <c r="AF22" s="50">
        <v>20</v>
      </c>
      <c r="AG22" s="59">
        <v>25</v>
      </c>
      <c r="AH22" s="54">
        <f t="shared" si="2"/>
        <v>20</v>
      </c>
      <c r="AI22" s="55">
        <f t="shared" si="3"/>
        <v>14.5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11</v>
      </c>
      <c r="C24" s="50">
        <v>11</v>
      </c>
      <c r="D24" s="50">
        <v>11</v>
      </c>
      <c r="E24" s="50">
        <v>11</v>
      </c>
      <c r="F24" s="50">
        <v>11</v>
      </c>
      <c r="G24" s="50">
        <v>11</v>
      </c>
      <c r="H24" s="50">
        <v>11</v>
      </c>
      <c r="I24" s="50">
        <v>11</v>
      </c>
      <c r="J24" s="50">
        <v>11</v>
      </c>
      <c r="K24" s="50">
        <v>11</v>
      </c>
      <c r="L24" s="50">
        <v>11</v>
      </c>
      <c r="M24" s="50">
        <v>11</v>
      </c>
      <c r="N24" s="50">
        <v>11</v>
      </c>
      <c r="O24" s="50">
        <v>11</v>
      </c>
      <c r="P24" s="50">
        <v>11</v>
      </c>
      <c r="Q24" s="50">
        <v>11</v>
      </c>
      <c r="R24" s="50">
        <v>11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13</v>
      </c>
      <c r="Y24" s="50">
        <v>13</v>
      </c>
      <c r="Z24" s="50">
        <v>13</v>
      </c>
      <c r="AA24" s="50">
        <v>13</v>
      </c>
      <c r="AB24" s="50">
        <v>13</v>
      </c>
      <c r="AC24" s="50">
        <v>13</v>
      </c>
      <c r="AD24" s="50">
        <v>13</v>
      </c>
      <c r="AE24" s="50">
        <v>13</v>
      </c>
      <c r="AF24" s="50">
        <v>13</v>
      </c>
      <c r="AG24" s="59">
        <v>25</v>
      </c>
      <c r="AH24" s="54">
        <f t="shared" si="2"/>
        <v>13</v>
      </c>
      <c r="AI24" s="55">
        <f t="shared" si="3"/>
        <v>11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0">
        <v>11</v>
      </c>
      <c r="N26" s="50">
        <v>11</v>
      </c>
      <c r="O26" s="50">
        <v>11</v>
      </c>
      <c r="P26" s="50">
        <v>11</v>
      </c>
      <c r="Q26" s="50">
        <v>11</v>
      </c>
      <c r="R26" s="50">
        <v>11</v>
      </c>
      <c r="S26" s="50">
        <v>11</v>
      </c>
      <c r="T26" s="50">
        <v>11</v>
      </c>
      <c r="U26" s="50">
        <v>11</v>
      </c>
      <c r="V26" s="50">
        <v>11</v>
      </c>
      <c r="W26" s="50">
        <v>11</v>
      </c>
      <c r="X26" s="50">
        <v>11</v>
      </c>
      <c r="Y26" s="50">
        <v>11</v>
      </c>
      <c r="Z26" s="50">
        <v>11</v>
      </c>
      <c r="AA26" s="50">
        <v>11</v>
      </c>
      <c r="AB26" s="50">
        <v>11</v>
      </c>
      <c r="AC26" s="50">
        <v>11</v>
      </c>
      <c r="AD26" s="50">
        <v>11</v>
      </c>
      <c r="AE26" s="50">
        <v>11</v>
      </c>
      <c r="AF26" s="50">
        <v>11</v>
      </c>
      <c r="AG26" s="59">
        <v>20</v>
      </c>
      <c r="AH26" s="54">
        <f t="shared" si="2"/>
        <v>11</v>
      </c>
      <c r="AI26" s="55">
        <f t="shared" si="3"/>
        <v>11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5.5</v>
      </c>
      <c r="Y29" s="50">
        <v>5.5</v>
      </c>
      <c r="Z29" s="50">
        <v>5.5</v>
      </c>
      <c r="AA29" s="50">
        <v>5.5</v>
      </c>
      <c r="AB29" s="50">
        <v>5.5</v>
      </c>
      <c r="AC29" s="50">
        <v>5.5</v>
      </c>
      <c r="AD29" s="50">
        <v>5.5</v>
      </c>
      <c r="AE29" s="50">
        <v>5.5</v>
      </c>
      <c r="AF29" s="50">
        <v>5.5</v>
      </c>
      <c r="AG29" s="59">
        <v>22.1</v>
      </c>
      <c r="AH29" s="54">
        <f t="shared" si="2"/>
        <v>6</v>
      </c>
      <c r="AI29" s="55">
        <f t="shared" si="3"/>
        <v>5.5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4</v>
      </c>
      <c r="C33" s="50">
        <v>4</v>
      </c>
      <c r="D33" s="50">
        <v>4</v>
      </c>
      <c r="E33" s="50">
        <v>4</v>
      </c>
      <c r="F33" s="50">
        <v>4</v>
      </c>
      <c r="G33" s="50">
        <v>4</v>
      </c>
      <c r="H33" s="50">
        <v>4</v>
      </c>
      <c r="I33" s="50">
        <v>4</v>
      </c>
      <c r="J33" s="50">
        <v>4</v>
      </c>
      <c r="K33" s="50">
        <v>4</v>
      </c>
      <c r="L33" s="50">
        <v>4</v>
      </c>
      <c r="M33" s="50">
        <v>4</v>
      </c>
      <c r="N33" s="50">
        <v>4</v>
      </c>
      <c r="O33" s="50">
        <v>4</v>
      </c>
      <c r="P33" s="50">
        <v>4</v>
      </c>
      <c r="Q33" s="50">
        <v>4</v>
      </c>
      <c r="R33" s="50">
        <v>4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4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67">
        <v>20</v>
      </c>
      <c r="AH34" s="54">
        <f t="shared" si="2"/>
        <v>6.2</v>
      </c>
      <c r="AI34" s="55">
        <f t="shared" si="3"/>
        <v>6.2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170</v>
      </c>
      <c r="C36" s="61">
        <v>170</v>
      </c>
      <c r="D36" s="61">
        <v>170</v>
      </c>
      <c r="E36" s="61">
        <v>170</v>
      </c>
      <c r="F36" s="61">
        <v>170</v>
      </c>
      <c r="G36" s="61">
        <v>170</v>
      </c>
      <c r="H36" s="61">
        <v>170</v>
      </c>
      <c r="I36" s="61">
        <v>170</v>
      </c>
      <c r="J36" s="61">
        <v>170</v>
      </c>
      <c r="K36" s="61">
        <v>170</v>
      </c>
      <c r="L36" s="61">
        <v>170</v>
      </c>
      <c r="M36" s="61">
        <v>170</v>
      </c>
      <c r="N36" s="61">
        <v>170</v>
      </c>
      <c r="O36" s="61">
        <v>170</v>
      </c>
      <c r="P36" s="61">
        <v>170</v>
      </c>
      <c r="Q36" s="61">
        <v>170</v>
      </c>
      <c r="R36" s="61">
        <v>170</v>
      </c>
      <c r="S36" s="61">
        <v>170</v>
      </c>
      <c r="T36" s="61">
        <v>170</v>
      </c>
      <c r="U36" s="61">
        <v>170</v>
      </c>
      <c r="V36" s="61">
        <v>170</v>
      </c>
      <c r="W36" s="61">
        <v>170</v>
      </c>
      <c r="X36" s="61">
        <v>170</v>
      </c>
      <c r="Y36" s="61">
        <v>170</v>
      </c>
      <c r="Z36" s="61">
        <v>170</v>
      </c>
      <c r="AA36" s="61">
        <v>170</v>
      </c>
      <c r="AB36" s="61">
        <v>170</v>
      </c>
      <c r="AC36" s="61">
        <v>170</v>
      </c>
      <c r="AD36" s="61">
        <v>170</v>
      </c>
      <c r="AE36" s="61">
        <v>170</v>
      </c>
      <c r="AF36" s="61">
        <v>170</v>
      </c>
      <c r="AG36" s="67">
        <v>85</v>
      </c>
      <c r="AH36" s="54">
        <f t="shared" si="2"/>
        <v>170</v>
      </c>
      <c r="AI36" s="55">
        <f t="shared" si="3"/>
        <v>170</v>
      </c>
      <c r="AK36" s="56"/>
    </row>
    <row r="37" spans="1:88" ht="15.75" thickBot="1" x14ac:dyDescent="0.3">
      <c r="A37" s="69" t="s">
        <v>45</v>
      </c>
      <c r="B37" s="70">
        <f>18.8+35.6</f>
        <v>54.400000000000006</v>
      </c>
      <c r="C37" s="70">
        <f>18.3+39</f>
        <v>57.3</v>
      </c>
      <c r="D37" s="70">
        <v>57.7</v>
      </c>
      <c r="E37" s="70">
        <v>57.7</v>
      </c>
      <c r="F37" s="70">
        <v>57.7</v>
      </c>
      <c r="G37" s="70">
        <v>57.7</v>
      </c>
      <c r="H37" s="70">
        <f>39.7+26.7</f>
        <v>66.400000000000006</v>
      </c>
      <c r="I37" s="70">
        <f>39.7+26.7</f>
        <v>66.400000000000006</v>
      </c>
      <c r="J37" s="70">
        <f>37.6+27.6</f>
        <v>65.2</v>
      </c>
      <c r="K37" s="61">
        <f>38+28</f>
        <v>66</v>
      </c>
      <c r="L37" s="61">
        <f>37.7+27.8</f>
        <v>65.5</v>
      </c>
      <c r="M37" s="70">
        <f>27.8+37.8</f>
        <v>65.599999999999994</v>
      </c>
      <c r="N37" s="70">
        <v>67</v>
      </c>
      <c r="O37" s="70">
        <f>18.1+38.1</f>
        <v>56.2</v>
      </c>
      <c r="P37" s="70">
        <f>18.3+39.7</f>
        <v>58</v>
      </c>
      <c r="Q37" s="70">
        <f>18.3+39.7</f>
        <v>58</v>
      </c>
      <c r="R37" s="70">
        <f>17.8+40</f>
        <v>57.8</v>
      </c>
      <c r="S37" s="70">
        <f>17.8+41.9</f>
        <v>59.7</v>
      </c>
      <c r="T37" s="70">
        <f>17.8+41.9</f>
        <v>59.7</v>
      </c>
      <c r="U37" s="70">
        <f>17.6+39.5</f>
        <v>57.1</v>
      </c>
      <c r="V37" s="70">
        <f>17.6+38.4</f>
        <v>56</v>
      </c>
      <c r="W37" s="70">
        <f>16.8+36.7</f>
        <v>53.5</v>
      </c>
      <c r="X37" s="70">
        <v>55</v>
      </c>
      <c r="Y37" s="70">
        <v>55</v>
      </c>
      <c r="Z37" s="70">
        <v>57</v>
      </c>
      <c r="AA37" s="70">
        <v>58</v>
      </c>
      <c r="AB37" s="70">
        <f>28.6+36.4</f>
        <v>65</v>
      </c>
      <c r="AC37" s="70">
        <f>28.8+36.8</f>
        <v>65.599999999999994</v>
      </c>
      <c r="AD37" s="70">
        <f>29.2+37.5</f>
        <v>66.7</v>
      </c>
      <c r="AE37" s="70">
        <f>29.2+37.5</f>
        <v>66.7</v>
      </c>
      <c r="AF37" s="70">
        <f>31+40</f>
        <v>71</v>
      </c>
      <c r="AG37" s="67">
        <v>240</v>
      </c>
      <c r="AH37" s="54">
        <f t="shared" si="2"/>
        <v>71</v>
      </c>
      <c r="AI37" s="55">
        <f t="shared" si="3"/>
        <v>53.5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497.49999999999994</v>
      </c>
      <c r="C38" s="72">
        <f t="shared" ref="C38:AF38" si="5">SUM(C11:C36)</f>
        <v>537.20000000000005</v>
      </c>
      <c r="D38" s="72">
        <f t="shared" si="5"/>
        <v>537.20000000000005</v>
      </c>
      <c r="E38" s="72">
        <f t="shared" si="5"/>
        <v>527.20000000000005</v>
      </c>
      <c r="F38" s="72">
        <f t="shared" si="5"/>
        <v>538.20000000000005</v>
      </c>
      <c r="G38" s="72">
        <f t="shared" si="5"/>
        <v>538.20000000000005</v>
      </c>
      <c r="H38" s="72">
        <f t="shared" si="5"/>
        <v>558.20000000000005</v>
      </c>
      <c r="I38" s="72">
        <f t="shared" si="5"/>
        <v>618.19999999999993</v>
      </c>
      <c r="J38" s="72">
        <f t="shared" si="5"/>
        <v>618.19999999999993</v>
      </c>
      <c r="K38" s="72">
        <f t="shared" si="5"/>
        <v>798.2</v>
      </c>
      <c r="L38" s="72">
        <f t="shared" si="5"/>
        <v>838.2</v>
      </c>
      <c r="M38" s="72">
        <f t="shared" si="5"/>
        <v>848.60000000000014</v>
      </c>
      <c r="N38" s="72">
        <f t="shared" si="5"/>
        <v>841.60000000000014</v>
      </c>
      <c r="O38" s="72">
        <f t="shared" si="5"/>
        <v>880.60000000000014</v>
      </c>
      <c r="P38" s="72">
        <f t="shared" si="5"/>
        <v>585.59999999999991</v>
      </c>
      <c r="Q38" s="72">
        <f t="shared" si="5"/>
        <v>530.70000000000005</v>
      </c>
      <c r="R38" s="72">
        <f t="shared" si="5"/>
        <v>522.70000000000005</v>
      </c>
      <c r="S38" s="72">
        <f t="shared" si="5"/>
        <v>506.7</v>
      </c>
      <c r="T38" s="72">
        <f t="shared" si="5"/>
        <v>482.49999999999994</v>
      </c>
      <c r="U38" s="72">
        <f t="shared" si="5"/>
        <v>539.29999999999995</v>
      </c>
      <c r="V38" s="72">
        <f t="shared" si="5"/>
        <v>544.29999999999995</v>
      </c>
      <c r="W38" s="72">
        <f t="shared" si="5"/>
        <v>869.30000000000018</v>
      </c>
      <c r="X38" s="72">
        <f t="shared" si="5"/>
        <v>898.7</v>
      </c>
      <c r="Y38" s="72">
        <f t="shared" si="5"/>
        <v>872</v>
      </c>
      <c r="Z38" s="72">
        <f t="shared" si="5"/>
        <v>847</v>
      </c>
      <c r="AA38" s="72">
        <f t="shared" si="5"/>
        <v>827</v>
      </c>
      <c r="AB38" s="72">
        <f t="shared" si="5"/>
        <v>767</v>
      </c>
      <c r="AC38" s="72">
        <f t="shared" si="5"/>
        <v>732</v>
      </c>
      <c r="AD38" s="72">
        <f t="shared" si="5"/>
        <v>637</v>
      </c>
      <c r="AE38" s="72">
        <f t="shared" si="5"/>
        <v>597</v>
      </c>
      <c r="AF38" s="72">
        <f t="shared" si="5"/>
        <v>527</v>
      </c>
      <c r="AG38" s="67">
        <f>SUM(AG11:AG37)</f>
        <v>1492.8299999999997</v>
      </c>
      <c r="AH38" s="54">
        <f t="shared" si="2"/>
        <v>898.7</v>
      </c>
      <c r="AI38" s="55">
        <f t="shared" si="3"/>
        <v>482.49999999999994</v>
      </c>
      <c r="AK38" s="56"/>
    </row>
    <row r="39" spans="1:88" x14ac:dyDescent="0.25">
      <c r="A39" s="57" t="s">
        <v>47</v>
      </c>
      <c r="B39" s="49">
        <v>71.5</v>
      </c>
      <c r="C39" s="49">
        <v>61.1</v>
      </c>
      <c r="D39" s="49">
        <v>61.1</v>
      </c>
      <c r="E39" s="49">
        <v>61.1</v>
      </c>
      <c r="F39" s="49">
        <v>61.1</v>
      </c>
      <c r="G39" s="49">
        <v>71</v>
      </c>
      <c r="H39" s="49">
        <v>63</v>
      </c>
      <c r="I39" s="49">
        <v>92</v>
      </c>
      <c r="J39" s="49">
        <v>143</v>
      </c>
      <c r="K39" s="61">
        <v>146</v>
      </c>
      <c r="L39" s="61">
        <v>146</v>
      </c>
      <c r="M39" s="61">
        <v>145.5</v>
      </c>
      <c r="N39" s="50">
        <v>145.69999999999999</v>
      </c>
      <c r="O39" s="50">
        <v>140</v>
      </c>
      <c r="P39" s="50">
        <v>131</v>
      </c>
      <c r="Q39" s="50">
        <v>135</v>
      </c>
      <c r="R39" s="50">
        <v>96.8</v>
      </c>
      <c r="S39" s="50">
        <v>91.2</v>
      </c>
      <c r="T39" s="50">
        <v>95.6</v>
      </c>
      <c r="U39" s="50">
        <v>118.4</v>
      </c>
      <c r="V39" s="50">
        <v>137</v>
      </c>
      <c r="W39" s="50">
        <v>145</v>
      </c>
      <c r="X39" s="50">
        <v>144.6</v>
      </c>
      <c r="Y39" s="50">
        <v>144.6</v>
      </c>
      <c r="Z39" s="50">
        <v>144</v>
      </c>
      <c r="AA39" s="50">
        <v>136</v>
      </c>
      <c r="AB39" s="50">
        <v>134.6</v>
      </c>
      <c r="AC39" s="50">
        <v>112</v>
      </c>
      <c r="AD39" s="50">
        <v>101.6</v>
      </c>
      <c r="AE39" s="50">
        <v>101.5</v>
      </c>
      <c r="AF39" s="50">
        <v>101.7</v>
      </c>
      <c r="AG39" s="62">
        <v>144</v>
      </c>
      <c r="AH39" s="54">
        <f t="shared" si="2"/>
        <v>146</v>
      </c>
      <c r="AI39" s="55">
        <f t="shared" si="3"/>
        <v>61.1</v>
      </c>
      <c r="AK39" s="56"/>
    </row>
    <row r="40" spans="1:88" x14ac:dyDescent="0.25">
      <c r="A40" s="66" t="s">
        <v>48</v>
      </c>
      <c r="B40" s="61">
        <v>23.3</v>
      </c>
      <c r="C40" s="61">
        <v>22.5</v>
      </c>
      <c r="D40" s="61">
        <v>22.5</v>
      </c>
      <c r="E40" s="61">
        <v>22.5</v>
      </c>
      <c r="F40" s="61">
        <v>22.5</v>
      </c>
      <c r="G40" s="61">
        <v>22.5</v>
      </c>
      <c r="H40" s="61">
        <v>22.5</v>
      </c>
      <c r="I40" s="61">
        <v>30</v>
      </c>
      <c r="J40" s="61">
        <v>60</v>
      </c>
      <c r="K40" s="61">
        <v>72</v>
      </c>
      <c r="L40" s="61">
        <v>72</v>
      </c>
      <c r="M40" s="61">
        <v>72</v>
      </c>
      <c r="N40" s="73">
        <v>72.3</v>
      </c>
      <c r="O40" s="73">
        <v>72.599999999999994</v>
      </c>
      <c r="P40" s="73">
        <v>59.2</v>
      </c>
      <c r="Q40" s="73">
        <v>62.6</v>
      </c>
      <c r="R40" s="73">
        <v>49.4</v>
      </c>
      <c r="S40" s="73">
        <v>34.700000000000003</v>
      </c>
      <c r="T40" s="73">
        <v>35.1</v>
      </c>
      <c r="U40" s="73">
        <v>34.1</v>
      </c>
      <c r="V40" s="73">
        <v>69.400000000000006</v>
      </c>
      <c r="W40" s="73">
        <v>70</v>
      </c>
      <c r="X40" s="73">
        <v>69.8</v>
      </c>
      <c r="Y40" s="73">
        <v>69.8</v>
      </c>
      <c r="Z40" s="73">
        <v>70</v>
      </c>
      <c r="AA40" s="73">
        <v>69</v>
      </c>
      <c r="AB40" s="73">
        <v>69.5</v>
      </c>
      <c r="AC40" s="73">
        <v>70.099999999999994</v>
      </c>
      <c r="AD40" s="73">
        <v>70.8</v>
      </c>
      <c r="AE40" s="73">
        <v>35</v>
      </c>
      <c r="AF40" s="73">
        <v>34.700000000000003</v>
      </c>
      <c r="AG40" s="67">
        <v>70</v>
      </c>
      <c r="AH40" s="54">
        <f t="shared" si="2"/>
        <v>72.599999999999994</v>
      </c>
      <c r="AI40" s="55">
        <f t="shared" si="3"/>
        <v>22.5</v>
      </c>
      <c r="AK40" s="56"/>
    </row>
    <row r="41" spans="1:88" x14ac:dyDescent="0.25">
      <c r="A41" s="66" t="s">
        <v>49</v>
      </c>
      <c r="B41" s="61">
        <v>55.1</v>
      </c>
      <c r="C41" s="61">
        <v>54.7</v>
      </c>
      <c r="D41" s="61">
        <v>54.7</v>
      </c>
      <c r="E41" s="61">
        <v>54.7</v>
      </c>
      <c r="F41" s="61">
        <v>54.7</v>
      </c>
      <c r="G41" s="61">
        <v>54.7</v>
      </c>
      <c r="H41" s="61">
        <v>45</v>
      </c>
      <c r="I41" s="61">
        <v>66</v>
      </c>
      <c r="J41" s="61">
        <v>63.5</v>
      </c>
      <c r="K41" s="61">
        <v>67.599999999999994</v>
      </c>
      <c r="L41" s="61">
        <v>67.599999999999994</v>
      </c>
      <c r="M41" s="73">
        <v>67.599999999999994</v>
      </c>
      <c r="N41" s="73">
        <v>66.5</v>
      </c>
      <c r="O41" s="73">
        <v>60.9</v>
      </c>
      <c r="P41" s="73">
        <v>66.2</v>
      </c>
      <c r="Q41" s="73">
        <v>36</v>
      </c>
      <c r="R41" s="73">
        <v>43.3</v>
      </c>
      <c r="S41" s="73">
        <v>45.6</v>
      </c>
      <c r="T41" s="73">
        <v>46</v>
      </c>
      <c r="U41" s="73">
        <v>41.8</v>
      </c>
      <c r="V41" s="73">
        <v>45.8</v>
      </c>
      <c r="W41" s="73">
        <v>67.7</v>
      </c>
      <c r="X41" s="73">
        <v>68.7</v>
      </c>
      <c r="Y41" s="73">
        <v>68.099999999999994</v>
      </c>
      <c r="Z41" s="73">
        <v>68</v>
      </c>
      <c r="AA41" s="73">
        <v>67</v>
      </c>
      <c r="AB41" s="73">
        <v>67.5</v>
      </c>
      <c r="AC41" s="73">
        <v>67.5</v>
      </c>
      <c r="AD41" s="73">
        <v>67.2</v>
      </c>
      <c r="AE41" s="73">
        <v>65.5</v>
      </c>
      <c r="AF41" s="73">
        <v>67.099999999999994</v>
      </c>
      <c r="AG41" s="67">
        <v>69</v>
      </c>
      <c r="AH41" s="54">
        <f t="shared" si="2"/>
        <v>68.7</v>
      </c>
      <c r="AI41" s="55">
        <f t="shared" si="3"/>
        <v>36</v>
      </c>
      <c r="AK41" s="56"/>
    </row>
    <row r="42" spans="1:88" x14ac:dyDescent="0.25">
      <c r="A42" s="66" t="s">
        <v>50</v>
      </c>
      <c r="B42" s="61">
        <v>60.4</v>
      </c>
      <c r="C42" s="61">
        <v>60.4</v>
      </c>
      <c r="D42" s="61">
        <v>60.4</v>
      </c>
      <c r="E42" s="61">
        <v>60.4</v>
      </c>
      <c r="F42" s="61">
        <v>60.4</v>
      </c>
      <c r="G42" s="61">
        <v>60.4</v>
      </c>
      <c r="H42" s="61">
        <v>60.4</v>
      </c>
      <c r="I42" s="61">
        <v>60.4</v>
      </c>
      <c r="J42" s="61">
        <v>60.4</v>
      </c>
      <c r="K42" s="61">
        <v>60.4</v>
      </c>
      <c r="L42" s="61">
        <v>60.4</v>
      </c>
      <c r="M42" s="61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67">
        <v>60</v>
      </c>
      <c r="AH42" s="54">
        <f t="shared" si="2"/>
        <v>60.4</v>
      </c>
      <c r="AI42" s="55">
        <f t="shared" si="3"/>
        <v>60.4</v>
      </c>
      <c r="AK42" s="56"/>
    </row>
    <row r="43" spans="1:88" x14ac:dyDescent="0.25">
      <c r="A43" s="66" t="s">
        <v>51</v>
      </c>
      <c r="B43" s="73">
        <v>10.6</v>
      </c>
      <c r="C43" s="73">
        <v>10.5</v>
      </c>
      <c r="D43" s="73">
        <v>10.5</v>
      </c>
      <c r="E43" s="73">
        <v>10.5</v>
      </c>
      <c r="F43" s="73">
        <v>10.5</v>
      </c>
      <c r="G43" s="73">
        <v>15</v>
      </c>
      <c r="H43" s="73">
        <v>10</v>
      </c>
      <c r="I43" s="73">
        <v>10</v>
      </c>
      <c r="J43" s="73">
        <v>28</v>
      </c>
      <c r="K43" s="73">
        <v>28</v>
      </c>
      <c r="L43" s="73">
        <v>28</v>
      </c>
      <c r="M43" s="73">
        <v>27.8</v>
      </c>
      <c r="N43" s="50">
        <v>27.2</v>
      </c>
      <c r="O43" s="50">
        <v>27.2</v>
      </c>
      <c r="P43" s="50">
        <v>15.1</v>
      </c>
      <c r="Q43" s="50">
        <v>15.1</v>
      </c>
      <c r="R43" s="50">
        <v>15.1</v>
      </c>
      <c r="S43" s="50">
        <v>15.1</v>
      </c>
      <c r="T43" s="50">
        <v>10</v>
      </c>
      <c r="U43" s="50">
        <v>10.3</v>
      </c>
      <c r="V43" s="50">
        <v>10.4</v>
      </c>
      <c r="W43" s="50">
        <v>27.5</v>
      </c>
      <c r="X43" s="50">
        <v>27.5</v>
      </c>
      <c r="Y43" s="50">
        <v>27.2</v>
      </c>
      <c r="Z43" s="50">
        <v>27.2</v>
      </c>
      <c r="AA43" s="50">
        <v>22</v>
      </c>
      <c r="AB43" s="50">
        <v>22</v>
      </c>
      <c r="AC43" s="50">
        <v>22</v>
      </c>
      <c r="AD43" s="50">
        <v>22</v>
      </c>
      <c r="AE43" s="50">
        <v>22</v>
      </c>
      <c r="AF43" s="50">
        <v>22</v>
      </c>
      <c r="AG43" s="67">
        <v>30</v>
      </c>
      <c r="AH43" s="54">
        <f t="shared" si="2"/>
        <v>28</v>
      </c>
      <c r="AI43" s="55">
        <f t="shared" si="3"/>
        <v>10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12</v>
      </c>
      <c r="C47" s="50">
        <v>12</v>
      </c>
      <c r="D47" s="50">
        <v>12</v>
      </c>
      <c r="E47" s="50">
        <v>12</v>
      </c>
      <c r="F47" s="50">
        <v>12</v>
      </c>
      <c r="G47" s="50">
        <v>12</v>
      </c>
      <c r="H47" s="50">
        <v>12</v>
      </c>
      <c r="I47" s="50">
        <v>12</v>
      </c>
      <c r="J47" s="50">
        <v>12</v>
      </c>
      <c r="K47" s="50">
        <v>12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7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7</v>
      </c>
      <c r="C48" s="50">
        <v>7</v>
      </c>
      <c r="D48" s="50">
        <v>7</v>
      </c>
      <c r="E48" s="50">
        <v>7</v>
      </c>
      <c r="F48" s="50">
        <v>7</v>
      </c>
      <c r="G48" s="50">
        <v>7</v>
      </c>
      <c r="H48" s="50">
        <v>7</v>
      </c>
      <c r="I48" s="50">
        <v>7</v>
      </c>
      <c r="J48" s="50">
        <v>7</v>
      </c>
      <c r="K48" s="50">
        <v>7</v>
      </c>
      <c r="L48" s="50">
        <v>7</v>
      </c>
      <c r="M48" s="50">
        <v>7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50">
        <v>7</v>
      </c>
      <c r="AG48" s="67">
        <v>14</v>
      </c>
      <c r="AH48" s="54">
        <f t="shared" si="2"/>
        <v>7</v>
      </c>
      <c r="AI48" s="55">
        <f t="shared" si="3"/>
        <v>7</v>
      </c>
      <c r="AK48" s="56"/>
    </row>
    <row r="49" spans="1:37" x14ac:dyDescent="0.25">
      <c r="A49" s="66" t="s">
        <v>57</v>
      </c>
      <c r="B49" s="50">
        <v>9</v>
      </c>
      <c r="C49" s="50">
        <v>9</v>
      </c>
      <c r="D49" s="50">
        <v>9</v>
      </c>
      <c r="E49" s="50">
        <v>9</v>
      </c>
      <c r="F49" s="50">
        <v>9</v>
      </c>
      <c r="G49" s="50">
        <v>9</v>
      </c>
      <c r="H49" s="50">
        <v>9</v>
      </c>
      <c r="I49" s="50">
        <v>9</v>
      </c>
      <c r="J49" s="50">
        <v>9</v>
      </c>
      <c r="K49" s="50">
        <v>9</v>
      </c>
      <c r="L49" s="50">
        <v>9</v>
      </c>
      <c r="M49" s="50">
        <v>9</v>
      </c>
      <c r="N49" s="50">
        <v>9</v>
      </c>
      <c r="O49" s="50">
        <v>9</v>
      </c>
      <c r="P49" s="50">
        <v>9</v>
      </c>
      <c r="Q49" s="50">
        <v>9</v>
      </c>
      <c r="R49" s="50">
        <v>9</v>
      </c>
      <c r="S49" s="50">
        <v>9</v>
      </c>
      <c r="T49" s="50">
        <v>9</v>
      </c>
      <c r="U49" s="50">
        <v>9</v>
      </c>
      <c r="V49" s="50">
        <v>9</v>
      </c>
      <c r="W49" s="50">
        <v>9</v>
      </c>
      <c r="X49" s="50">
        <v>9.6</v>
      </c>
      <c r="Y49" s="50">
        <v>9.6</v>
      </c>
      <c r="Z49" s="50">
        <v>9.6</v>
      </c>
      <c r="AA49" s="50">
        <v>9.6</v>
      </c>
      <c r="AB49" s="50">
        <v>9.6</v>
      </c>
      <c r="AC49" s="50">
        <v>9.6</v>
      </c>
      <c r="AD49" s="50">
        <v>9.6</v>
      </c>
      <c r="AE49" s="50">
        <v>9.6</v>
      </c>
      <c r="AF49" s="50">
        <v>9.6</v>
      </c>
      <c r="AG49" s="67">
        <v>10.050000000000001</v>
      </c>
      <c r="AH49" s="54">
        <f t="shared" si="2"/>
        <v>9.6</v>
      </c>
      <c r="AI49" s="55">
        <f t="shared" si="3"/>
        <v>9</v>
      </c>
      <c r="AK49" s="56"/>
    </row>
    <row r="50" spans="1:37" x14ac:dyDescent="0.25">
      <c r="A50" s="66" t="s">
        <v>58</v>
      </c>
      <c r="B50" s="50">
        <v>6.2</v>
      </c>
      <c r="C50" s="50">
        <v>6.2</v>
      </c>
      <c r="D50" s="50">
        <v>6.2</v>
      </c>
      <c r="E50" s="50">
        <v>6.2</v>
      </c>
      <c r="F50" s="50">
        <v>6.2</v>
      </c>
      <c r="G50" s="50">
        <v>6.2</v>
      </c>
      <c r="H50" s="50">
        <v>6.2</v>
      </c>
      <c r="I50" s="50">
        <v>6.2</v>
      </c>
      <c r="J50" s="50">
        <v>6.2</v>
      </c>
      <c r="K50" s="50">
        <v>6.2</v>
      </c>
      <c r="L50" s="50">
        <v>6.2</v>
      </c>
      <c r="M50" s="50">
        <v>6.2</v>
      </c>
      <c r="N50" s="50">
        <v>6.2</v>
      </c>
      <c r="O50" s="50">
        <v>6.2</v>
      </c>
      <c r="P50" s="50">
        <v>6.2</v>
      </c>
      <c r="Q50" s="50">
        <v>6.2</v>
      </c>
      <c r="R50" s="50">
        <v>6.2</v>
      </c>
      <c r="S50" s="50">
        <v>6.2</v>
      </c>
      <c r="T50" s="50">
        <v>6.2</v>
      </c>
      <c r="U50" s="50">
        <v>6.2</v>
      </c>
      <c r="V50" s="50">
        <v>6.2</v>
      </c>
      <c r="W50" s="50">
        <v>6.2</v>
      </c>
      <c r="X50" s="50">
        <v>6.2</v>
      </c>
      <c r="Y50" s="50">
        <v>6.2</v>
      </c>
      <c r="Z50" s="50">
        <v>6.2</v>
      </c>
      <c r="AA50" s="50">
        <v>6.2</v>
      </c>
      <c r="AB50" s="50">
        <v>6.2</v>
      </c>
      <c r="AC50" s="50">
        <v>6.2</v>
      </c>
      <c r="AD50" s="50">
        <v>6.2</v>
      </c>
      <c r="AE50" s="50">
        <v>6.2</v>
      </c>
      <c r="AF50" s="50">
        <v>6.2</v>
      </c>
      <c r="AG50" s="67">
        <v>6.2</v>
      </c>
      <c r="AH50" s="54">
        <f t="shared" si="2"/>
        <v>6.2</v>
      </c>
      <c r="AI50" s="55">
        <f t="shared" si="3"/>
        <v>6.2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276.64</v>
      </c>
      <c r="C52" s="72">
        <f t="shared" ref="C52:AF52" si="9">SUM(C39:C51)</f>
        <v>264.94000000000005</v>
      </c>
      <c r="D52" s="72">
        <f t="shared" si="9"/>
        <v>264.94000000000005</v>
      </c>
      <c r="E52" s="72">
        <f t="shared" si="9"/>
        <v>264.94000000000005</v>
      </c>
      <c r="F52" s="72">
        <f t="shared" si="9"/>
        <v>264.94000000000005</v>
      </c>
      <c r="G52" s="72">
        <f t="shared" si="9"/>
        <v>279.34000000000003</v>
      </c>
      <c r="H52" s="72">
        <f t="shared" si="9"/>
        <v>256.64</v>
      </c>
      <c r="I52" s="72">
        <f t="shared" si="9"/>
        <v>314.14</v>
      </c>
      <c r="J52" s="72">
        <f t="shared" si="9"/>
        <v>410.64</v>
      </c>
      <c r="K52" s="72">
        <f t="shared" si="9"/>
        <v>429.74</v>
      </c>
      <c r="L52" s="72">
        <f t="shared" si="9"/>
        <v>429.74</v>
      </c>
      <c r="M52" s="72">
        <f t="shared" si="9"/>
        <v>429.04</v>
      </c>
      <c r="N52" s="72">
        <f t="shared" si="9"/>
        <v>427.84</v>
      </c>
      <c r="O52" s="72">
        <f t="shared" si="9"/>
        <v>416.84</v>
      </c>
      <c r="P52" s="72">
        <f t="shared" si="9"/>
        <v>387.64</v>
      </c>
      <c r="Q52" s="72">
        <f t="shared" si="9"/>
        <v>364.84000000000003</v>
      </c>
      <c r="R52" s="72">
        <f t="shared" si="9"/>
        <v>320.74</v>
      </c>
      <c r="S52" s="72">
        <f t="shared" si="9"/>
        <v>302.74</v>
      </c>
      <c r="T52" s="72">
        <f t="shared" si="9"/>
        <v>302.84000000000003</v>
      </c>
      <c r="U52" s="72">
        <f t="shared" si="9"/>
        <v>320.74</v>
      </c>
      <c r="V52" s="72">
        <f t="shared" si="9"/>
        <v>378.73999999999995</v>
      </c>
      <c r="W52" s="72">
        <f t="shared" si="9"/>
        <v>426.34</v>
      </c>
      <c r="X52" s="72">
        <f t="shared" si="9"/>
        <v>427.34</v>
      </c>
      <c r="Y52" s="72">
        <f t="shared" si="9"/>
        <v>426.44</v>
      </c>
      <c r="Z52" s="72">
        <f t="shared" si="9"/>
        <v>425.94</v>
      </c>
      <c r="AA52" s="72">
        <f t="shared" si="9"/>
        <v>410.74</v>
      </c>
      <c r="AB52" s="72">
        <f t="shared" si="9"/>
        <v>410.34000000000003</v>
      </c>
      <c r="AC52" s="72">
        <f t="shared" si="9"/>
        <v>388.34000000000003</v>
      </c>
      <c r="AD52" s="72">
        <f t="shared" si="9"/>
        <v>378.34</v>
      </c>
      <c r="AE52" s="72">
        <f t="shared" si="9"/>
        <v>340.74</v>
      </c>
      <c r="AF52" s="72">
        <f t="shared" si="9"/>
        <v>342.24</v>
      </c>
      <c r="AG52" s="78">
        <f>SUM(AG39:AG51)</f>
        <v>489.91</v>
      </c>
      <c r="AH52" s="54">
        <f t="shared" si="2"/>
        <v>429.74</v>
      </c>
      <c r="AI52" s="55">
        <f t="shared" si="3"/>
        <v>256.64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25</v>
      </c>
      <c r="E53" s="61">
        <v>25</v>
      </c>
      <c r="F53" s="61">
        <v>20</v>
      </c>
      <c r="G53" s="61">
        <v>20</v>
      </c>
      <c r="H53" s="61">
        <v>14</v>
      </c>
      <c r="I53" s="61">
        <v>11</v>
      </c>
      <c r="J53" s="61">
        <v>0</v>
      </c>
      <c r="K53" s="61">
        <v>50</v>
      </c>
      <c r="L53" s="61">
        <v>50</v>
      </c>
      <c r="M53" s="79">
        <v>39</v>
      </c>
      <c r="N53" s="79">
        <v>50</v>
      </c>
      <c r="O53" s="79">
        <v>54.7</v>
      </c>
      <c r="P53" s="79">
        <v>13.2</v>
      </c>
      <c r="Q53" s="50">
        <v>29.5</v>
      </c>
      <c r="R53" s="50">
        <v>30</v>
      </c>
      <c r="S53" s="50">
        <v>13.9</v>
      </c>
      <c r="T53" s="50">
        <v>40</v>
      </c>
      <c r="U53" s="50">
        <v>49.7</v>
      </c>
      <c r="V53" s="50">
        <v>40</v>
      </c>
      <c r="W53" s="50">
        <v>50</v>
      </c>
      <c r="X53" s="50">
        <v>49.5</v>
      </c>
      <c r="Y53" s="50">
        <v>45</v>
      </c>
      <c r="Z53" s="50">
        <v>45.4</v>
      </c>
      <c r="AA53" s="50">
        <v>40</v>
      </c>
      <c r="AB53" s="50">
        <v>26.5</v>
      </c>
      <c r="AC53" s="50">
        <v>14.2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54.7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4.2</v>
      </c>
      <c r="C54" s="61">
        <v>0</v>
      </c>
      <c r="D54" s="61">
        <v>13</v>
      </c>
      <c r="E54" s="61">
        <v>13</v>
      </c>
      <c r="F54" s="61">
        <v>10</v>
      </c>
      <c r="G54" s="61">
        <v>10</v>
      </c>
      <c r="H54" s="61">
        <v>7</v>
      </c>
      <c r="I54" s="61">
        <v>5</v>
      </c>
      <c r="J54" s="61">
        <v>0</v>
      </c>
      <c r="K54" s="61">
        <v>12</v>
      </c>
      <c r="L54" s="61">
        <v>25</v>
      </c>
      <c r="M54" s="79">
        <v>24.8</v>
      </c>
      <c r="N54" s="79">
        <v>25</v>
      </c>
      <c r="O54" s="79">
        <v>26.7</v>
      </c>
      <c r="P54" s="79">
        <v>16</v>
      </c>
      <c r="Q54" s="73">
        <v>14.6</v>
      </c>
      <c r="R54" s="73">
        <v>15.5</v>
      </c>
      <c r="S54" s="50">
        <v>7.6</v>
      </c>
      <c r="T54" s="50">
        <v>19.5</v>
      </c>
      <c r="U54" s="50">
        <v>22.8</v>
      </c>
      <c r="V54" s="73">
        <v>19</v>
      </c>
      <c r="W54" s="73">
        <v>28.5</v>
      </c>
      <c r="X54" s="73">
        <v>22.7</v>
      </c>
      <c r="Y54" s="73">
        <v>20.8</v>
      </c>
      <c r="Z54" s="73">
        <v>21.3</v>
      </c>
      <c r="AA54" s="73">
        <v>18</v>
      </c>
      <c r="AB54" s="73">
        <v>13.4</v>
      </c>
      <c r="AC54" s="73">
        <v>12.8</v>
      </c>
      <c r="AD54" s="73">
        <v>4.9000000000000004</v>
      </c>
      <c r="AE54" s="73">
        <v>0</v>
      </c>
      <c r="AF54" s="73">
        <v>0</v>
      </c>
      <c r="AG54" s="67">
        <v>32</v>
      </c>
      <c r="AH54" s="54">
        <f t="shared" si="2"/>
        <v>28.5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1.2</v>
      </c>
      <c r="C55" s="74">
        <v>0</v>
      </c>
      <c r="D55" s="74">
        <v>5</v>
      </c>
      <c r="E55" s="74">
        <v>5</v>
      </c>
      <c r="F55" s="74">
        <v>4</v>
      </c>
      <c r="G55" s="74">
        <v>4</v>
      </c>
      <c r="H55" s="74">
        <v>3</v>
      </c>
      <c r="I55" s="74">
        <v>2</v>
      </c>
      <c r="J55" s="74">
        <v>0</v>
      </c>
      <c r="K55" s="74">
        <v>4.3</v>
      </c>
      <c r="L55" s="74">
        <v>10</v>
      </c>
      <c r="M55" s="81">
        <v>8.8000000000000007</v>
      </c>
      <c r="N55" s="81">
        <v>10</v>
      </c>
      <c r="O55" s="81">
        <v>9.6999999999999993</v>
      </c>
      <c r="P55" s="81">
        <v>5.8</v>
      </c>
      <c r="Q55" s="80">
        <v>5.3</v>
      </c>
      <c r="R55" s="80">
        <v>5.7</v>
      </c>
      <c r="S55" s="50">
        <v>2.8</v>
      </c>
      <c r="T55" s="50">
        <v>7.1</v>
      </c>
      <c r="U55" s="50">
        <v>8.3000000000000007</v>
      </c>
      <c r="V55" s="80">
        <v>6.9</v>
      </c>
      <c r="W55" s="80">
        <v>10.4</v>
      </c>
      <c r="X55" s="80">
        <v>8.3000000000000007</v>
      </c>
      <c r="Y55" s="80">
        <v>7.6</v>
      </c>
      <c r="Z55" s="80">
        <v>7.8</v>
      </c>
      <c r="AA55" s="80">
        <v>8</v>
      </c>
      <c r="AB55" s="80">
        <v>4.9000000000000004</v>
      </c>
      <c r="AC55" s="80">
        <v>4.7</v>
      </c>
      <c r="AD55" s="80">
        <v>1.8</v>
      </c>
      <c r="AE55" s="80">
        <v>0</v>
      </c>
      <c r="AF55" s="80">
        <v>0</v>
      </c>
      <c r="AG55" s="82">
        <v>14</v>
      </c>
      <c r="AH55" s="54">
        <f t="shared" si="2"/>
        <v>10.4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5.4</v>
      </c>
      <c r="C56" s="72">
        <f>SUM(C53:C55)</f>
        <v>0</v>
      </c>
      <c r="D56" s="72">
        <f t="shared" ref="D56:AF56" si="11">SUM(D53:D55)</f>
        <v>43</v>
      </c>
      <c r="E56" s="72">
        <f t="shared" si="11"/>
        <v>43</v>
      </c>
      <c r="F56" s="72">
        <f t="shared" si="11"/>
        <v>34</v>
      </c>
      <c r="G56" s="72">
        <f t="shared" si="11"/>
        <v>34</v>
      </c>
      <c r="H56" s="72">
        <f t="shared" si="11"/>
        <v>24</v>
      </c>
      <c r="I56" s="72">
        <f t="shared" si="11"/>
        <v>18</v>
      </c>
      <c r="J56" s="72">
        <f t="shared" si="11"/>
        <v>0</v>
      </c>
      <c r="K56" s="72">
        <f t="shared" si="11"/>
        <v>66.3</v>
      </c>
      <c r="L56" s="72">
        <f t="shared" si="11"/>
        <v>85</v>
      </c>
      <c r="M56" s="72">
        <f t="shared" si="11"/>
        <v>72.599999999999994</v>
      </c>
      <c r="N56" s="72">
        <f t="shared" si="11"/>
        <v>85</v>
      </c>
      <c r="O56" s="72">
        <f t="shared" si="11"/>
        <v>91.100000000000009</v>
      </c>
      <c r="P56" s="72">
        <f t="shared" si="11"/>
        <v>35</v>
      </c>
      <c r="Q56" s="72">
        <f t="shared" si="11"/>
        <v>49.4</v>
      </c>
      <c r="R56" s="72">
        <f t="shared" si="11"/>
        <v>51.2</v>
      </c>
      <c r="S56" s="72">
        <f t="shared" si="11"/>
        <v>24.3</v>
      </c>
      <c r="T56" s="72">
        <f t="shared" si="11"/>
        <v>66.599999999999994</v>
      </c>
      <c r="U56" s="72">
        <f t="shared" si="11"/>
        <v>80.8</v>
      </c>
      <c r="V56" s="72">
        <f t="shared" si="11"/>
        <v>65.900000000000006</v>
      </c>
      <c r="W56" s="72">
        <f t="shared" si="11"/>
        <v>88.9</v>
      </c>
      <c r="X56" s="72">
        <f t="shared" si="11"/>
        <v>80.5</v>
      </c>
      <c r="Y56" s="72">
        <f t="shared" si="11"/>
        <v>73.399999999999991</v>
      </c>
      <c r="Z56" s="72">
        <f t="shared" si="11"/>
        <v>74.5</v>
      </c>
      <c r="AA56" s="72">
        <f t="shared" si="11"/>
        <v>66</v>
      </c>
      <c r="AB56" s="72">
        <f t="shared" si="11"/>
        <v>44.8</v>
      </c>
      <c r="AC56" s="72">
        <f t="shared" si="11"/>
        <v>31.7</v>
      </c>
      <c r="AD56" s="72">
        <f t="shared" si="11"/>
        <v>6.7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91.100000000000009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46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30.4</v>
      </c>
      <c r="Y57" s="50">
        <v>18.2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46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138</v>
      </c>
      <c r="C59" s="73">
        <v>80</v>
      </c>
      <c r="D59" s="73">
        <v>40</v>
      </c>
      <c r="E59" s="73">
        <v>45</v>
      </c>
      <c r="F59" s="73">
        <v>60</v>
      </c>
      <c r="G59" s="73">
        <v>110</v>
      </c>
      <c r="H59" s="73">
        <v>150</v>
      </c>
      <c r="I59" s="73">
        <v>117</v>
      </c>
      <c r="J59" s="73">
        <v>230</v>
      </c>
      <c r="K59" s="73">
        <v>0</v>
      </c>
      <c r="L59" s="73">
        <v>-7</v>
      </c>
      <c r="M59" s="73">
        <v>-17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349</v>
      </c>
      <c r="U59" s="73">
        <v>316.2</v>
      </c>
      <c r="V59" s="73">
        <v>338</v>
      </c>
      <c r="W59" s="73">
        <v>31.4</v>
      </c>
      <c r="X59" s="84">
        <v>0</v>
      </c>
      <c r="Y59" s="84">
        <v>0</v>
      </c>
      <c r="Z59" s="84">
        <v>0</v>
      </c>
      <c r="AA59" s="84">
        <v>0</v>
      </c>
      <c r="AB59" s="84">
        <v>87</v>
      </c>
      <c r="AC59" s="84">
        <v>100</v>
      </c>
      <c r="AD59" s="73">
        <v>179</v>
      </c>
      <c r="AE59" s="73">
        <v>87.4</v>
      </c>
      <c r="AF59" s="73">
        <v>76</v>
      </c>
      <c r="AG59" s="85"/>
      <c r="AH59" s="54">
        <f t="shared" si="2"/>
        <v>349</v>
      </c>
      <c r="AI59" s="55">
        <f t="shared" si="3"/>
        <v>-17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43</v>
      </c>
      <c r="J60" s="58">
        <v>0</v>
      </c>
      <c r="K60" s="58">
        <v>25</v>
      </c>
      <c r="L60" s="58">
        <v>38</v>
      </c>
      <c r="M60" s="73">
        <v>43</v>
      </c>
      <c r="N60" s="73">
        <v>10</v>
      </c>
      <c r="O60" s="73">
        <v>-23.9</v>
      </c>
      <c r="P60" s="73">
        <v>290</v>
      </c>
      <c r="Q60" s="73">
        <v>300</v>
      </c>
      <c r="R60" s="73">
        <v>324</v>
      </c>
      <c r="S60" s="73">
        <v>326</v>
      </c>
      <c r="T60" s="73">
        <v>0</v>
      </c>
      <c r="U60" s="73">
        <v>0</v>
      </c>
      <c r="V60" s="73">
        <v>0</v>
      </c>
      <c r="W60" s="73">
        <v>28</v>
      </c>
      <c r="X60" s="73">
        <v>25</v>
      </c>
      <c r="Y60" s="73">
        <v>22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326</v>
      </c>
      <c r="AI60" s="55">
        <f t="shared" si="3"/>
        <v>-23.9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73</v>
      </c>
      <c r="L61" s="58">
        <v>78</v>
      </c>
      <c r="M61" s="50">
        <v>79.900000000000006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83.6</v>
      </c>
      <c r="Y61" s="50">
        <v>78.400000000000006</v>
      </c>
      <c r="Z61" s="50">
        <v>75.3</v>
      </c>
      <c r="AA61" s="50">
        <v>67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83.6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73">
        <v>0</v>
      </c>
      <c r="N62" s="73">
        <v>0</v>
      </c>
      <c r="O62" s="73">
        <v>0</v>
      </c>
      <c r="P62" s="73">
        <v>0</v>
      </c>
      <c r="Q62" s="60">
        <v>0</v>
      </c>
      <c r="R62" s="60">
        <v>0</v>
      </c>
      <c r="S62" s="60">
        <v>0</v>
      </c>
      <c r="T62" s="60">
        <v>6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6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50">
        <v>0</v>
      </c>
      <c r="O63" s="50">
        <v>0</v>
      </c>
      <c r="P63" s="5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73">
        <v>0</v>
      </c>
      <c r="O66" s="73">
        <v>0</v>
      </c>
      <c r="P66" s="7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50">
        <v>0</v>
      </c>
      <c r="O67" s="50">
        <v>0</v>
      </c>
      <c r="P67" s="50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138</v>
      </c>
      <c r="C68" s="72">
        <f>SUM(C57:C67)</f>
        <v>80</v>
      </c>
      <c r="D68" s="72">
        <f t="shared" ref="D68:AF68" si="13">SUM(D57:D67)</f>
        <v>40</v>
      </c>
      <c r="E68" s="72">
        <f t="shared" si="13"/>
        <v>45</v>
      </c>
      <c r="F68" s="72">
        <f t="shared" si="13"/>
        <v>60</v>
      </c>
      <c r="G68" s="72">
        <f t="shared" si="13"/>
        <v>110</v>
      </c>
      <c r="H68" s="72">
        <f t="shared" si="13"/>
        <v>196</v>
      </c>
      <c r="I68" s="72">
        <f t="shared" si="13"/>
        <v>160</v>
      </c>
      <c r="J68" s="72">
        <f t="shared" si="13"/>
        <v>230</v>
      </c>
      <c r="K68" s="72">
        <f t="shared" si="13"/>
        <v>98</v>
      </c>
      <c r="L68" s="72">
        <f t="shared" si="13"/>
        <v>109</v>
      </c>
      <c r="M68" s="72">
        <f t="shared" si="13"/>
        <v>105.9</v>
      </c>
      <c r="N68" s="72">
        <f t="shared" si="13"/>
        <v>10</v>
      </c>
      <c r="O68" s="72">
        <f t="shared" si="13"/>
        <v>-23.9</v>
      </c>
      <c r="P68" s="72">
        <f t="shared" si="13"/>
        <v>290</v>
      </c>
      <c r="Q68" s="72">
        <f t="shared" si="13"/>
        <v>300</v>
      </c>
      <c r="R68" s="72">
        <f t="shared" si="13"/>
        <v>324</v>
      </c>
      <c r="S68" s="72">
        <f t="shared" si="13"/>
        <v>326</v>
      </c>
      <c r="T68" s="72">
        <f t="shared" si="13"/>
        <v>355</v>
      </c>
      <c r="U68" s="72">
        <f t="shared" si="13"/>
        <v>316.2</v>
      </c>
      <c r="V68" s="72">
        <f t="shared" si="13"/>
        <v>338</v>
      </c>
      <c r="W68" s="72">
        <f>SUM(W57:W67)</f>
        <v>59.4</v>
      </c>
      <c r="X68" s="72">
        <f t="shared" si="13"/>
        <v>139</v>
      </c>
      <c r="Y68" s="72">
        <f>SUM(Y57:Y67)</f>
        <v>118.60000000000001</v>
      </c>
      <c r="Z68" s="72">
        <f t="shared" si="13"/>
        <v>75.3</v>
      </c>
      <c r="AA68" s="72">
        <f t="shared" si="13"/>
        <v>67</v>
      </c>
      <c r="AB68" s="72">
        <f t="shared" si="13"/>
        <v>87</v>
      </c>
      <c r="AC68" s="72">
        <f t="shared" si="13"/>
        <v>100</v>
      </c>
      <c r="AD68" s="72">
        <f t="shared" si="13"/>
        <v>179</v>
      </c>
      <c r="AE68" s="72">
        <f t="shared" si="13"/>
        <v>87.4</v>
      </c>
      <c r="AF68" s="72">
        <f t="shared" si="13"/>
        <v>76</v>
      </c>
      <c r="AG68" s="78">
        <f>SUM(AG57:AG67)</f>
        <v>0</v>
      </c>
      <c r="AH68" s="54">
        <f t="shared" si="2"/>
        <v>355</v>
      </c>
      <c r="AI68" s="55">
        <f t="shared" si="3"/>
        <v>-23.9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917.54</v>
      </c>
      <c r="C73" s="89">
        <f>C68+C56+C52+C38+C72</f>
        <v>882.1400000000001</v>
      </c>
      <c r="D73" s="89">
        <f t="shared" ref="D73:AG73" si="17">D68+D56+D52+D38+D72</f>
        <v>885.1400000000001</v>
      </c>
      <c r="E73" s="89">
        <f t="shared" si="17"/>
        <v>880.1400000000001</v>
      </c>
      <c r="F73" s="89">
        <f t="shared" si="17"/>
        <v>897.1400000000001</v>
      </c>
      <c r="G73" s="89">
        <f t="shared" si="17"/>
        <v>961.54000000000008</v>
      </c>
      <c r="H73" s="89">
        <f t="shared" si="17"/>
        <v>1034.8400000000001</v>
      </c>
      <c r="I73" s="89">
        <f t="shared" si="17"/>
        <v>1110.3399999999999</v>
      </c>
      <c r="J73" s="89">
        <f t="shared" si="17"/>
        <v>1258.8399999999999</v>
      </c>
      <c r="K73" s="89">
        <f t="shared" si="17"/>
        <v>1392.24</v>
      </c>
      <c r="L73" s="89">
        <f t="shared" si="17"/>
        <v>1461.94</v>
      </c>
      <c r="M73" s="89">
        <f t="shared" si="17"/>
        <v>1456.14</v>
      </c>
      <c r="N73" s="89">
        <f t="shared" si="17"/>
        <v>1364.44</v>
      </c>
      <c r="O73" s="89">
        <f t="shared" si="17"/>
        <v>1364.64</v>
      </c>
      <c r="P73" s="89">
        <f t="shared" si="17"/>
        <v>1298.2399999999998</v>
      </c>
      <c r="Q73" s="89">
        <f t="shared" si="17"/>
        <v>1244.94</v>
      </c>
      <c r="R73" s="89">
        <f t="shared" si="17"/>
        <v>1218.6400000000001</v>
      </c>
      <c r="S73" s="89">
        <f t="shared" si="17"/>
        <v>1159.74</v>
      </c>
      <c r="T73" s="89">
        <f t="shared" si="17"/>
        <v>1206.94</v>
      </c>
      <c r="U73" s="89">
        <f t="shared" si="17"/>
        <v>1257.04</v>
      </c>
      <c r="V73" s="89">
        <f t="shared" si="17"/>
        <v>1326.9399999999998</v>
      </c>
      <c r="W73" s="89">
        <f t="shared" si="17"/>
        <v>1443.94</v>
      </c>
      <c r="X73" s="89">
        <f t="shared" si="17"/>
        <v>1545.54</v>
      </c>
      <c r="Y73" s="89">
        <f t="shared" si="17"/>
        <v>1490.44</v>
      </c>
      <c r="Z73" s="89">
        <f t="shared" si="17"/>
        <v>1422.74</v>
      </c>
      <c r="AA73" s="89">
        <f t="shared" si="17"/>
        <v>1370.74</v>
      </c>
      <c r="AB73" s="89">
        <f t="shared" si="17"/>
        <v>1309.1400000000001</v>
      </c>
      <c r="AC73" s="89">
        <f t="shared" si="17"/>
        <v>1252.04</v>
      </c>
      <c r="AD73" s="89">
        <f t="shared" si="17"/>
        <v>1201.04</v>
      </c>
      <c r="AE73" s="89">
        <f t="shared" si="17"/>
        <v>1025.1399999999999</v>
      </c>
      <c r="AF73" s="89">
        <f t="shared" si="17"/>
        <v>945.24</v>
      </c>
      <c r="AG73" s="89">
        <f t="shared" si="17"/>
        <v>2144.14</v>
      </c>
      <c r="AH73" s="54">
        <f t="shared" si="2"/>
        <v>1545.54</v>
      </c>
      <c r="AI73" s="55">
        <f t="shared" si="3"/>
        <v>880.1400000000001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917.54</v>
      </c>
      <c r="C75" s="89">
        <f>C73+C74</f>
        <v>882.1400000000001</v>
      </c>
      <c r="D75" s="89">
        <f t="shared" ref="D75:AF75" si="19">D72+D68+D56+D52+D38+D74</f>
        <v>885.1400000000001</v>
      </c>
      <c r="E75" s="89">
        <f t="shared" si="19"/>
        <v>880.1400000000001</v>
      </c>
      <c r="F75" s="89">
        <f t="shared" si="19"/>
        <v>897.1400000000001</v>
      </c>
      <c r="G75" s="89">
        <f t="shared" si="19"/>
        <v>961.54000000000008</v>
      </c>
      <c r="H75" s="89">
        <f t="shared" si="19"/>
        <v>1034.8400000000001</v>
      </c>
      <c r="I75" s="89">
        <f t="shared" si="19"/>
        <v>1110.3399999999999</v>
      </c>
      <c r="J75" s="89">
        <f t="shared" si="19"/>
        <v>1258.8399999999999</v>
      </c>
      <c r="K75" s="89">
        <f t="shared" si="19"/>
        <v>1392.24</v>
      </c>
      <c r="L75" s="89">
        <f t="shared" si="19"/>
        <v>1461.94</v>
      </c>
      <c r="M75" s="89">
        <f t="shared" si="19"/>
        <v>1456.14</v>
      </c>
      <c r="N75" s="89">
        <f t="shared" si="19"/>
        <v>1364.44</v>
      </c>
      <c r="O75" s="89">
        <f t="shared" si="19"/>
        <v>1364.64</v>
      </c>
      <c r="P75" s="89">
        <f t="shared" si="19"/>
        <v>1298.2399999999998</v>
      </c>
      <c r="Q75" s="89">
        <f t="shared" si="19"/>
        <v>1244.94</v>
      </c>
      <c r="R75" s="89">
        <f t="shared" si="19"/>
        <v>1218.6400000000001</v>
      </c>
      <c r="S75" s="89">
        <f t="shared" si="19"/>
        <v>1159.74</v>
      </c>
      <c r="T75" s="89">
        <f t="shared" si="19"/>
        <v>1206.94</v>
      </c>
      <c r="U75" s="89">
        <f t="shared" si="19"/>
        <v>1257.04</v>
      </c>
      <c r="V75" s="89">
        <f t="shared" si="19"/>
        <v>1326.9399999999998</v>
      </c>
      <c r="W75" s="89">
        <f t="shared" si="19"/>
        <v>1443.94</v>
      </c>
      <c r="X75" s="89">
        <f t="shared" si="19"/>
        <v>1545.54</v>
      </c>
      <c r="Y75" s="89">
        <f t="shared" si="19"/>
        <v>1490.44</v>
      </c>
      <c r="Z75" s="89">
        <f t="shared" si="19"/>
        <v>1422.74</v>
      </c>
      <c r="AA75" s="89">
        <f t="shared" si="19"/>
        <v>1370.74</v>
      </c>
      <c r="AB75" s="89">
        <f t="shared" si="19"/>
        <v>1309.1400000000001</v>
      </c>
      <c r="AC75" s="89">
        <f t="shared" si="19"/>
        <v>1252.04</v>
      </c>
      <c r="AD75" s="89">
        <f t="shared" si="19"/>
        <v>1201.04</v>
      </c>
      <c r="AE75" s="89">
        <f t="shared" si="19"/>
        <v>1025.1399999999999</v>
      </c>
      <c r="AF75" s="89">
        <f t="shared" si="19"/>
        <v>945.24</v>
      </c>
      <c r="AG75" s="78">
        <f>AG72+AG68+AG56+AG52+AG38+AG74</f>
        <v>2144.14</v>
      </c>
      <c r="AH75" s="54">
        <f t="shared" si="2"/>
        <v>1545.54</v>
      </c>
      <c r="AI75" s="55">
        <f t="shared" si="3"/>
        <v>880.1400000000001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23.9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23.9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7</v>
      </c>
      <c r="M79" s="58">
        <f t="shared" si="29"/>
        <v>17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17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7</v>
      </c>
      <c r="M82" s="72">
        <f t="shared" si="33"/>
        <v>17</v>
      </c>
      <c r="N82" s="72">
        <f t="shared" si="33"/>
        <v>0</v>
      </c>
      <c r="O82" s="72">
        <f t="shared" si="33"/>
        <v>23.9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23.9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1835.08</v>
      </c>
      <c r="C83" s="72">
        <f t="shared" ref="C83:AG83" si="35">SUM(C70:C82)</f>
        <v>1764.2800000000002</v>
      </c>
      <c r="D83" s="72">
        <f t="shared" si="35"/>
        <v>1770.2800000000002</v>
      </c>
      <c r="E83" s="72">
        <f t="shared" si="35"/>
        <v>1760.2800000000002</v>
      </c>
      <c r="F83" s="72">
        <f t="shared" si="35"/>
        <v>1794.2800000000002</v>
      </c>
      <c r="G83" s="72">
        <f t="shared" si="35"/>
        <v>1923.0800000000002</v>
      </c>
      <c r="H83" s="72">
        <f t="shared" si="35"/>
        <v>2069.6800000000003</v>
      </c>
      <c r="I83" s="72">
        <f t="shared" si="35"/>
        <v>2220.6799999999998</v>
      </c>
      <c r="J83" s="72">
        <f t="shared" si="35"/>
        <v>2517.6799999999998</v>
      </c>
      <c r="K83" s="72">
        <f t="shared" si="35"/>
        <v>2784.48</v>
      </c>
      <c r="L83" s="72">
        <f t="shared" si="35"/>
        <v>2937.88</v>
      </c>
      <c r="M83" s="72">
        <f t="shared" si="35"/>
        <v>2946.28</v>
      </c>
      <c r="N83" s="72">
        <f t="shared" si="35"/>
        <v>2728.88</v>
      </c>
      <c r="O83" s="72">
        <f t="shared" si="35"/>
        <v>2777.0800000000004</v>
      </c>
      <c r="P83" s="72">
        <f t="shared" si="35"/>
        <v>2596.4799999999996</v>
      </c>
      <c r="Q83" s="72">
        <f t="shared" si="35"/>
        <v>2489.88</v>
      </c>
      <c r="R83" s="72">
        <f t="shared" si="35"/>
        <v>2437.2800000000002</v>
      </c>
      <c r="S83" s="72">
        <f t="shared" si="35"/>
        <v>2319.48</v>
      </c>
      <c r="T83" s="72">
        <f t="shared" si="35"/>
        <v>2413.88</v>
      </c>
      <c r="U83" s="72">
        <f t="shared" si="35"/>
        <v>2514.08</v>
      </c>
      <c r="V83" s="72">
        <f t="shared" si="35"/>
        <v>2653.8799999999997</v>
      </c>
      <c r="W83" s="72">
        <f t="shared" si="35"/>
        <v>2887.88</v>
      </c>
      <c r="X83" s="72">
        <f t="shared" si="35"/>
        <v>3091.08</v>
      </c>
      <c r="Y83" s="72">
        <f t="shared" si="35"/>
        <v>2980.88</v>
      </c>
      <c r="Z83" s="72">
        <f t="shared" si="35"/>
        <v>2845.48</v>
      </c>
      <c r="AA83" s="72">
        <f t="shared" si="35"/>
        <v>2741.48</v>
      </c>
      <c r="AB83" s="72">
        <f t="shared" si="35"/>
        <v>2618.2800000000002</v>
      </c>
      <c r="AC83" s="72">
        <f t="shared" si="35"/>
        <v>2504.08</v>
      </c>
      <c r="AD83" s="72">
        <f t="shared" si="35"/>
        <v>2402.08</v>
      </c>
      <c r="AE83" s="72">
        <f t="shared" si="35"/>
        <v>2050.2799999999997</v>
      </c>
      <c r="AF83" s="72">
        <f t="shared" si="35"/>
        <v>1890.48</v>
      </c>
      <c r="AG83" s="78">
        <f t="shared" si="35"/>
        <v>4360.08</v>
      </c>
      <c r="AH83" s="54">
        <f t="shared" si="22"/>
        <v>3091.08</v>
      </c>
      <c r="AI83" s="55">
        <f t="shared" si="23"/>
        <v>1760.2800000000002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50.04</v>
      </c>
      <c r="C84" s="95">
        <v>50.05</v>
      </c>
      <c r="D84" s="95">
        <v>50.048000000000002</v>
      </c>
      <c r="E84" s="95">
        <v>50.084000000000003</v>
      </c>
      <c r="F84" s="95">
        <v>50.042999999999999</v>
      </c>
      <c r="G84" s="95">
        <v>49.997</v>
      </c>
      <c r="H84" s="95">
        <v>50.064999999999998</v>
      </c>
      <c r="I84" s="95">
        <v>50.055999999999997</v>
      </c>
      <c r="J84" s="95">
        <v>49.978999999999999</v>
      </c>
      <c r="K84" s="95">
        <v>50.073</v>
      </c>
      <c r="L84" s="95">
        <v>49.962000000000003</v>
      </c>
      <c r="M84" s="95">
        <v>49.905000000000001</v>
      </c>
      <c r="N84" s="95">
        <v>49.869</v>
      </c>
      <c r="O84" s="95">
        <v>49.8</v>
      </c>
      <c r="P84" s="95">
        <v>50.055999999999997</v>
      </c>
      <c r="Q84" s="95">
        <v>49.996000000000002</v>
      </c>
      <c r="R84" s="95">
        <v>49.99</v>
      </c>
      <c r="S84" s="95">
        <v>50.042000000000002</v>
      </c>
      <c r="T84" s="95">
        <v>50.015000000000001</v>
      </c>
      <c r="U84" s="95">
        <v>50.033000000000001</v>
      </c>
      <c r="V84" s="95">
        <v>49.975000000000001</v>
      </c>
      <c r="W84" s="95">
        <v>50.027000000000001</v>
      </c>
      <c r="X84" s="95">
        <v>50.073</v>
      </c>
      <c r="Y84" s="95">
        <v>49.975999999999999</v>
      </c>
      <c r="Z84" s="95">
        <v>49.997</v>
      </c>
      <c r="AA84" s="95">
        <v>50.073</v>
      </c>
      <c r="AB84" s="95">
        <v>50.1</v>
      </c>
      <c r="AC84" s="95">
        <v>49.96</v>
      </c>
      <c r="AD84" s="95">
        <v>49.981000000000002</v>
      </c>
      <c r="AE84" s="95">
        <v>49.96</v>
      </c>
      <c r="AF84" s="95">
        <v>50.02</v>
      </c>
      <c r="AG84" s="96"/>
      <c r="AH84" s="54">
        <f t="shared" si="22"/>
        <v>50.1</v>
      </c>
      <c r="AI84" s="55">
        <f t="shared" si="23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130.1</v>
      </c>
      <c r="C85" s="73">
        <v>130.5</v>
      </c>
      <c r="D85" s="73">
        <v>130.80000000000001</v>
      </c>
      <c r="E85" s="73">
        <v>129.4</v>
      </c>
      <c r="F85" s="73">
        <v>129.1</v>
      </c>
      <c r="G85" s="73">
        <v>128.80000000000001</v>
      </c>
      <c r="H85" s="73">
        <v>127.6</v>
      </c>
      <c r="I85" s="73">
        <v>128.19999999999999</v>
      </c>
      <c r="J85" s="73">
        <v>124.1</v>
      </c>
      <c r="K85" s="73">
        <v>126.6</v>
      </c>
      <c r="L85" s="73">
        <v>126.2</v>
      </c>
      <c r="M85" s="73">
        <v>125.1</v>
      </c>
      <c r="N85" s="73">
        <v>124</v>
      </c>
      <c r="O85" s="73">
        <v>123.6</v>
      </c>
      <c r="P85" s="73">
        <v>124</v>
      </c>
      <c r="Q85" s="73">
        <v>122.6</v>
      </c>
      <c r="R85" s="73">
        <v>123.5</v>
      </c>
      <c r="S85" s="73">
        <v>123.1</v>
      </c>
      <c r="T85" s="73">
        <v>123.9</v>
      </c>
      <c r="U85" s="73">
        <v>124</v>
      </c>
      <c r="V85" s="73">
        <v>125.5</v>
      </c>
      <c r="W85" s="73">
        <v>125.3</v>
      </c>
      <c r="X85" s="98">
        <v>126.5</v>
      </c>
      <c r="Y85" s="98">
        <v>126.8</v>
      </c>
      <c r="Z85" s="98">
        <v>128</v>
      </c>
      <c r="AA85" s="98">
        <v>126.5</v>
      </c>
      <c r="AB85" s="98">
        <v>125.3</v>
      </c>
      <c r="AC85" s="98">
        <v>124.9</v>
      </c>
      <c r="AD85" s="73">
        <v>125.3</v>
      </c>
      <c r="AE85" s="73">
        <v>127</v>
      </c>
      <c r="AF85" s="73">
        <v>127.7</v>
      </c>
      <c r="AG85" s="99"/>
      <c r="AH85" s="54">
        <f t="shared" si="22"/>
        <v>130.80000000000001</v>
      </c>
      <c r="AI85" s="55">
        <f t="shared" si="23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133.19999999999999</v>
      </c>
      <c r="C86" s="73">
        <v>133.69999999999999</v>
      </c>
      <c r="D86" s="73">
        <v>134.19999999999999</v>
      </c>
      <c r="E86" s="73">
        <v>133.19999999999999</v>
      </c>
      <c r="F86" s="73">
        <v>132.9</v>
      </c>
      <c r="G86" s="73">
        <v>132.4</v>
      </c>
      <c r="H86" s="73">
        <v>131</v>
      </c>
      <c r="I86" s="73">
        <v>130.9</v>
      </c>
      <c r="J86" s="73">
        <v>127.3</v>
      </c>
      <c r="K86" s="73">
        <v>128.6</v>
      </c>
      <c r="L86" s="73">
        <v>127.9</v>
      </c>
      <c r="M86" s="73">
        <v>126.8</v>
      </c>
      <c r="N86" s="73">
        <v>126.1</v>
      </c>
      <c r="O86" s="73">
        <v>126.1</v>
      </c>
      <c r="P86" s="73">
        <v>126.7</v>
      </c>
      <c r="Q86" s="73">
        <v>125.5</v>
      </c>
      <c r="R86" s="73">
        <v>126.5</v>
      </c>
      <c r="S86" s="73">
        <v>126</v>
      </c>
      <c r="T86" s="73">
        <v>126.8</v>
      </c>
      <c r="U86" s="73">
        <v>127.2</v>
      </c>
      <c r="V86" s="73">
        <v>127.5</v>
      </c>
      <c r="W86" s="73">
        <v>127.1</v>
      </c>
      <c r="X86" s="98">
        <v>127.7</v>
      </c>
      <c r="Y86" s="98">
        <v>127.5</v>
      </c>
      <c r="Z86" s="98">
        <v>129</v>
      </c>
      <c r="AA86" s="98">
        <v>127.7</v>
      </c>
      <c r="AB86" s="98">
        <v>127.3</v>
      </c>
      <c r="AC86" s="98">
        <v>127.4</v>
      </c>
      <c r="AD86" s="73">
        <v>127.7</v>
      </c>
      <c r="AE86" s="73">
        <v>129.9</v>
      </c>
      <c r="AF86" s="73">
        <v>131.5</v>
      </c>
      <c r="AG86" s="99"/>
      <c r="AH86" s="54">
        <f t="shared" si="22"/>
        <v>134.19999999999999</v>
      </c>
      <c r="AI86" s="55">
        <f t="shared" si="23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130.6</v>
      </c>
      <c r="C87" s="73">
        <v>128.9</v>
      </c>
      <c r="D87" s="73">
        <v>131.4</v>
      </c>
      <c r="E87" s="73">
        <v>130.6</v>
      </c>
      <c r="F87" s="73">
        <v>129.4</v>
      </c>
      <c r="G87" s="73">
        <v>129.19999999999999</v>
      </c>
      <c r="H87" s="73">
        <v>129</v>
      </c>
      <c r="I87" s="73">
        <v>128.69999999999999</v>
      </c>
      <c r="J87" s="73">
        <v>127.5</v>
      </c>
      <c r="K87" s="73">
        <v>126.9</v>
      </c>
      <c r="L87" s="73">
        <v>126.5</v>
      </c>
      <c r="M87" s="73">
        <v>126.6</v>
      </c>
      <c r="N87" s="73">
        <v>125.4</v>
      </c>
      <c r="O87" s="73">
        <v>125.4</v>
      </c>
      <c r="P87" s="73">
        <v>128.5</v>
      </c>
      <c r="Q87" s="73">
        <v>130.4</v>
      </c>
      <c r="R87" s="73">
        <v>126.5</v>
      </c>
      <c r="S87" s="73">
        <v>126.8</v>
      </c>
      <c r="T87" s="73">
        <v>129.30000000000001</v>
      </c>
      <c r="U87" s="73">
        <v>128.19999999999999</v>
      </c>
      <c r="V87" s="73">
        <v>129</v>
      </c>
      <c r="W87" s="73">
        <v>127.8</v>
      </c>
      <c r="X87" s="98">
        <v>128.4</v>
      </c>
      <c r="Y87" s="98">
        <v>129</v>
      </c>
      <c r="Z87" s="98">
        <v>130</v>
      </c>
      <c r="AA87" s="98">
        <v>128.4</v>
      </c>
      <c r="AB87" s="98">
        <v>131.6</v>
      </c>
      <c r="AC87" s="98">
        <v>128.19999999999999</v>
      </c>
      <c r="AD87" s="73">
        <v>131.1</v>
      </c>
      <c r="AE87" s="73">
        <v>129.5</v>
      </c>
      <c r="AF87" s="73">
        <v>130</v>
      </c>
      <c r="AG87" s="99"/>
      <c r="AH87" s="54">
        <f t="shared" si="22"/>
        <v>131.6</v>
      </c>
      <c r="AI87" s="55">
        <f t="shared" si="23"/>
        <v>125.4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134.1</v>
      </c>
      <c r="C88" s="73">
        <v>131.9</v>
      </c>
      <c r="D88" s="73">
        <v>133.1</v>
      </c>
      <c r="E88" s="73">
        <v>132.6</v>
      </c>
      <c r="F88" s="73">
        <v>131.69999999999999</v>
      </c>
      <c r="G88" s="73">
        <v>131.1</v>
      </c>
      <c r="H88" s="73">
        <v>130.30000000000001</v>
      </c>
      <c r="I88" s="73">
        <v>130.19999999999999</v>
      </c>
      <c r="J88" s="73">
        <v>129.6</v>
      </c>
      <c r="K88" s="73">
        <v>131.4</v>
      </c>
      <c r="L88" s="73">
        <v>130.4</v>
      </c>
      <c r="M88" s="73">
        <v>130.4</v>
      </c>
      <c r="N88" s="73">
        <v>128</v>
      </c>
      <c r="O88" s="73">
        <v>128.9</v>
      </c>
      <c r="P88" s="73">
        <v>131.9</v>
      </c>
      <c r="Q88" s="73">
        <v>134.1</v>
      </c>
      <c r="R88" s="73">
        <v>130.30000000000001</v>
      </c>
      <c r="S88" s="73">
        <v>130.19999999999999</v>
      </c>
      <c r="T88" s="73">
        <v>131.6</v>
      </c>
      <c r="U88" s="73">
        <v>130.6</v>
      </c>
      <c r="V88" s="73">
        <v>130.6</v>
      </c>
      <c r="W88" s="73">
        <v>131.19999999999999</v>
      </c>
      <c r="X88" s="98">
        <v>133</v>
      </c>
      <c r="Y88" s="98">
        <v>135.1</v>
      </c>
      <c r="Z88" s="98">
        <v>133.5</v>
      </c>
      <c r="AA88" s="98">
        <v>133</v>
      </c>
      <c r="AB88" s="98">
        <v>137</v>
      </c>
      <c r="AC88" s="98">
        <v>133</v>
      </c>
      <c r="AD88" s="73">
        <v>134.30000000000001</v>
      </c>
      <c r="AE88" s="73">
        <v>135</v>
      </c>
      <c r="AF88" s="73">
        <v>133.5</v>
      </c>
      <c r="AG88" s="99"/>
      <c r="AH88" s="54">
        <f t="shared" si="22"/>
        <v>137</v>
      </c>
      <c r="AI88" s="55">
        <f t="shared" si="23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133.4</v>
      </c>
      <c r="C89" s="101">
        <v>132.4</v>
      </c>
      <c r="D89" s="101">
        <v>131.1</v>
      </c>
      <c r="E89" s="101">
        <v>130.4</v>
      </c>
      <c r="F89" s="101">
        <v>132.5</v>
      </c>
      <c r="G89" s="101">
        <v>131.19999999999999</v>
      </c>
      <c r="H89" s="101">
        <v>131.4</v>
      </c>
      <c r="I89" s="101">
        <v>132.30000000000001</v>
      </c>
      <c r="J89" s="101">
        <v>130.69999999999999</v>
      </c>
      <c r="K89" s="101">
        <v>130.4</v>
      </c>
      <c r="L89" s="101">
        <v>130.5</v>
      </c>
      <c r="M89" s="101">
        <v>132.80000000000001</v>
      </c>
      <c r="N89" s="101">
        <v>131.1</v>
      </c>
      <c r="O89" s="101">
        <v>132.30000000000001</v>
      </c>
      <c r="P89" s="101">
        <v>131.80000000000001</v>
      </c>
      <c r="Q89" s="101">
        <v>132.69999999999999</v>
      </c>
      <c r="R89" s="101">
        <v>134.6</v>
      </c>
      <c r="S89" s="101">
        <v>131.6</v>
      </c>
      <c r="T89" s="101">
        <v>129.19999999999999</v>
      </c>
      <c r="U89" s="101">
        <v>131.1</v>
      </c>
      <c r="V89" s="101">
        <v>134.6</v>
      </c>
      <c r="W89" s="101">
        <v>134.5</v>
      </c>
      <c r="X89" s="98">
        <v>134.19999999999999</v>
      </c>
      <c r="Y89" s="98">
        <v>134.80000000000001</v>
      </c>
      <c r="Z89" s="98">
        <v>135</v>
      </c>
      <c r="AA89" s="98">
        <v>134.19999999999999</v>
      </c>
      <c r="AB89" s="98">
        <v>134.69999999999999</v>
      </c>
      <c r="AC89" s="98">
        <v>133.5</v>
      </c>
      <c r="AD89" s="101">
        <v>132.19999999999999</v>
      </c>
      <c r="AE89" s="101">
        <v>134.80000000000001</v>
      </c>
      <c r="AF89" s="101">
        <v>133.30000000000001</v>
      </c>
      <c r="AG89" s="102"/>
      <c r="AH89" s="54">
        <f t="shared" si="22"/>
        <v>135</v>
      </c>
      <c r="AI89" s="55">
        <f t="shared" si="23"/>
        <v>129.19999999999999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132.80000000000001</v>
      </c>
      <c r="C90" s="73">
        <v>132.80000000000001</v>
      </c>
      <c r="D90" s="73">
        <v>131.5</v>
      </c>
      <c r="E90" s="73">
        <v>130.9</v>
      </c>
      <c r="F90" s="73">
        <v>133</v>
      </c>
      <c r="G90" s="73">
        <v>131</v>
      </c>
      <c r="H90" s="73">
        <v>132.69999999999999</v>
      </c>
      <c r="I90" s="73">
        <v>129.4</v>
      </c>
      <c r="J90" s="73">
        <v>127.4</v>
      </c>
      <c r="K90" s="73">
        <v>128.5</v>
      </c>
      <c r="L90" s="73">
        <v>127.9</v>
      </c>
      <c r="M90" s="73">
        <v>132.30000000000001</v>
      </c>
      <c r="N90" s="73">
        <v>127.8</v>
      </c>
      <c r="O90" s="73">
        <v>127</v>
      </c>
      <c r="P90" s="73">
        <v>131.6</v>
      </c>
      <c r="Q90" s="73">
        <v>129.9</v>
      </c>
      <c r="R90" s="73">
        <v>135</v>
      </c>
      <c r="S90" s="73">
        <v>129.69999999999999</v>
      </c>
      <c r="T90" s="73">
        <v>123.4</v>
      </c>
      <c r="U90" s="73">
        <v>125.4</v>
      </c>
      <c r="V90" s="73">
        <v>129.9</v>
      </c>
      <c r="W90" s="73">
        <v>133.6</v>
      </c>
      <c r="X90" s="98">
        <v>133.19999999999999</v>
      </c>
      <c r="Y90" s="98">
        <v>134.5</v>
      </c>
      <c r="Z90" s="98">
        <v>136</v>
      </c>
      <c r="AA90" s="98">
        <v>133.19999999999999</v>
      </c>
      <c r="AB90" s="98">
        <v>132.5</v>
      </c>
      <c r="AC90" s="98">
        <v>133.6</v>
      </c>
      <c r="AD90" s="73">
        <v>134.6</v>
      </c>
      <c r="AE90" s="73">
        <v>133.5</v>
      </c>
      <c r="AF90" s="73">
        <v>132.9</v>
      </c>
      <c r="AG90" s="99"/>
      <c r="AH90" s="54">
        <f t="shared" si="22"/>
        <v>136</v>
      </c>
      <c r="AI90" s="55">
        <f t="shared" si="23"/>
        <v>123.4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67.5</v>
      </c>
      <c r="C91" s="103">
        <v>68</v>
      </c>
      <c r="D91" s="103">
        <v>68.2</v>
      </c>
      <c r="E91" s="103">
        <v>67.8</v>
      </c>
      <c r="F91" s="103">
        <v>67.8</v>
      </c>
      <c r="G91" s="103">
        <v>67.400000000000006</v>
      </c>
      <c r="H91" s="103">
        <v>66.8</v>
      </c>
      <c r="I91" s="103">
        <v>66.599999999999994</v>
      </c>
      <c r="J91" s="103">
        <v>64.400000000000006</v>
      </c>
      <c r="K91" s="103">
        <v>65.400000000000006</v>
      </c>
      <c r="L91" s="103">
        <v>64.900000000000006</v>
      </c>
      <c r="M91" s="103">
        <v>64.400000000000006</v>
      </c>
      <c r="N91" s="103">
        <v>64</v>
      </c>
      <c r="O91" s="103">
        <v>64.099999999999994</v>
      </c>
      <c r="P91" s="103">
        <v>64.5</v>
      </c>
      <c r="Q91" s="103">
        <v>62.9</v>
      </c>
      <c r="R91" s="103">
        <v>63.8</v>
      </c>
      <c r="S91" s="103">
        <v>63.6</v>
      </c>
      <c r="T91" s="103">
        <v>64</v>
      </c>
      <c r="U91" s="103">
        <v>64.599999999999994</v>
      </c>
      <c r="V91" s="103">
        <v>64.900000000000006</v>
      </c>
      <c r="W91" s="103">
        <v>64.599999999999994</v>
      </c>
      <c r="X91" s="103">
        <v>64.8</v>
      </c>
      <c r="Y91" s="103">
        <v>64.7</v>
      </c>
      <c r="Z91" s="103">
        <v>65</v>
      </c>
      <c r="AA91" s="103">
        <v>64.8</v>
      </c>
      <c r="AB91" s="103">
        <v>64.8</v>
      </c>
      <c r="AC91" s="103">
        <v>64.900000000000006</v>
      </c>
      <c r="AD91" s="103">
        <v>65</v>
      </c>
      <c r="AE91" s="103">
        <v>66.2</v>
      </c>
      <c r="AF91" s="103">
        <v>67.3</v>
      </c>
      <c r="AG91" s="104"/>
      <c r="AH91" s="54">
        <f t="shared" si="22"/>
        <v>68.2</v>
      </c>
      <c r="AI91" s="55">
        <f t="shared" si="23"/>
        <v>62.9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196.04</v>
      </c>
      <c r="C93" s="110">
        <f>SUM(C15,C18,C21:C22,C42,C44:C45,C47,C49,C94:C97,C102,C108,C114,C123,C125,C137,C144,C147:C148,C155,C157,C159,C163:C165,C167:C169,C174,C180:C181,C183:C185,C193,C198)</f>
        <v>175.64</v>
      </c>
      <c r="D93" s="110">
        <f t="shared" ref="D93:AF93" si="37">SUM(D15,D18,D21:D22,D42,D44:D45,D47,D49,D94:D97,D102,D108,D114,D123,D125,D137,D144,D147:D148,D155,D157,D159,D163:D165,D167:D169,D174,D180:D181,D183:D185,D193,D198)</f>
        <v>175.14</v>
      </c>
      <c r="E93" s="110">
        <f t="shared" si="37"/>
        <v>172.14</v>
      </c>
      <c r="F93" s="110">
        <f t="shared" si="37"/>
        <v>178.14</v>
      </c>
      <c r="G93" s="109">
        <f t="shared" si="37"/>
        <v>205.14</v>
      </c>
      <c r="H93" s="109">
        <f t="shared" si="37"/>
        <v>244.14</v>
      </c>
      <c r="I93" s="109">
        <f t="shared" si="37"/>
        <v>271.14000000000004</v>
      </c>
      <c r="J93" s="109">
        <f t="shared" si="37"/>
        <v>310.14000000000004</v>
      </c>
      <c r="K93" s="109">
        <f t="shared" si="37"/>
        <v>403.14000000000004</v>
      </c>
      <c r="L93" s="109">
        <f t="shared" si="37"/>
        <v>416.74000000000007</v>
      </c>
      <c r="M93" s="109">
        <f t="shared" si="37"/>
        <v>421.84000000000003</v>
      </c>
      <c r="N93" s="109">
        <f t="shared" si="37"/>
        <v>387.14000000000004</v>
      </c>
      <c r="O93" s="109">
        <f t="shared" si="37"/>
        <v>384.74000000000007</v>
      </c>
      <c r="P93" s="109">
        <f t="shared" si="37"/>
        <v>361.64000000000004</v>
      </c>
      <c r="Q93" s="109">
        <f t="shared" si="37"/>
        <v>347.24</v>
      </c>
      <c r="R93" s="109">
        <f t="shared" si="37"/>
        <v>342.34000000000003</v>
      </c>
      <c r="S93" s="109">
        <f t="shared" si="37"/>
        <v>331.94000000000005</v>
      </c>
      <c r="T93" s="109">
        <f t="shared" si="37"/>
        <v>334.74000000000007</v>
      </c>
      <c r="U93" s="109">
        <f t="shared" si="37"/>
        <v>342.74</v>
      </c>
      <c r="V93" s="109">
        <f t="shared" si="37"/>
        <v>384.34000000000003</v>
      </c>
      <c r="W93" s="109">
        <f t="shared" si="37"/>
        <v>421.94</v>
      </c>
      <c r="X93" s="109">
        <f t="shared" si="37"/>
        <v>463.03999999999996</v>
      </c>
      <c r="Y93" s="109">
        <f t="shared" si="37"/>
        <v>463.03999999999996</v>
      </c>
      <c r="Z93" s="109">
        <f t="shared" si="37"/>
        <v>372.44000000000005</v>
      </c>
      <c r="AA93" s="109">
        <f t="shared" si="37"/>
        <v>461.34000000000003</v>
      </c>
      <c r="AB93" s="109">
        <f t="shared" si="37"/>
        <v>418.84000000000003</v>
      </c>
      <c r="AC93" s="109">
        <f t="shared" si="37"/>
        <v>393.24</v>
      </c>
      <c r="AD93" s="109">
        <f t="shared" si="37"/>
        <v>370.03999999999996</v>
      </c>
      <c r="AE93" s="109">
        <f t="shared" si="37"/>
        <v>290.64000000000004</v>
      </c>
      <c r="AF93" s="109">
        <f t="shared" si="37"/>
        <v>229.83999999999995</v>
      </c>
      <c r="AG93" s="111"/>
      <c r="AH93" s="54">
        <f>MAX(C93:AF93)</f>
        <v>463.03999999999996</v>
      </c>
      <c r="AI93" s="55">
        <f>MIN(C93:AF93)</f>
        <v>172.14</v>
      </c>
    </row>
    <row r="94" spans="1:88" x14ac:dyDescent="0.25">
      <c r="A94" s="112" t="s">
        <v>98</v>
      </c>
      <c r="B94" s="113">
        <v>16.5</v>
      </c>
      <c r="C94" s="58">
        <v>11</v>
      </c>
      <c r="D94" s="58">
        <v>14</v>
      </c>
      <c r="E94" s="58">
        <v>10</v>
      </c>
      <c r="F94" s="58">
        <v>16.5</v>
      </c>
      <c r="G94" s="114">
        <v>8</v>
      </c>
      <c r="H94" s="114">
        <v>8</v>
      </c>
      <c r="I94" s="114">
        <v>27</v>
      </c>
      <c r="J94" s="114">
        <v>31</v>
      </c>
      <c r="K94" s="114">
        <v>43</v>
      </c>
      <c r="L94" s="114">
        <v>36</v>
      </c>
      <c r="M94" s="113">
        <v>44.2</v>
      </c>
      <c r="N94" s="114">
        <v>41.6</v>
      </c>
      <c r="O94" s="114">
        <v>39.200000000000003</v>
      </c>
      <c r="P94" s="114">
        <v>51.6</v>
      </c>
      <c r="Q94" s="114">
        <v>39.200000000000003</v>
      </c>
      <c r="R94" s="114">
        <v>16.899999999999999</v>
      </c>
      <c r="S94" s="114">
        <v>22.4</v>
      </c>
      <c r="T94" s="114">
        <v>10.5</v>
      </c>
      <c r="U94" s="114">
        <v>8</v>
      </c>
      <c r="V94" s="114">
        <v>24.2</v>
      </c>
      <c r="W94" s="114">
        <v>49.3</v>
      </c>
      <c r="X94" s="114">
        <v>44.9</v>
      </c>
      <c r="Y94" s="114">
        <v>51.9</v>
      </c>
      <c r="Z94" s="114">
        <v>49.9</v>
      </c>
      <c r="AA94" s="114">
        <v>44.9</v>
      </c>
      <c r="AB94" s="114">
        <v>53.1</v>
      </c>
      <c r="AC94" s="114">
        <v>51.5</v>
      </c>
      <c r="AD94" s="113">
        <v>49.3</v>
      </c>
      <c r="AE94" s="113">
        <v>50.2</v>
      </c>
      <c r="AF94" s="113">
        <v>54.8</v>
      </c>
      <c r="AG94" s="115">
        <v>75</v>
      </c>
      <c r="AH94" s="54">
        <f t="shared" ref="AH94:AH99" si="38">IF(ABS(MAX(C94:AF94))&gt;ABS(MIN(C94:AF94)),MAX(C94:AF94),MIN(C94:AF94))</f>
        <v>54.8</v>
      </c>
      <c r="AI94" s="116">
        <f t="shared" ref="AI94:AI99" si="39">INDEX($C$9:$AF$9,1,MATCH(AH94,C94:AF94,0))</f>
        <v>0.95833333333333304</v>
      </c>
    </row>
    <row r="95" spans="1:88" x14ac:dyDescent="0.25">
      <c r="A95" s="117" t="s">
        <v>99</v>
      </c>
      <c r="B95" s="73">
        <f>-26.2-32.1</f>
        <v>-58.3</v>
      </c>
      <c r="C95" s="60">
        <f>-32.1-37.8</f>
        <v>-69.900000000000006</v>
      </c>
      <c r="D95" s="60">
        <v>-68</v>
      </c>
      <c r="E95" s="60">
        <v>-69</v>
      </c>
      <c r="F95" s="60">
        <v>-70</v>
      </c>
      <c r="G95" s="60">
        <v>-56</v>
      </c>
      <c r="H95" s="60">
        <v>-43</v>
      </c>
      <c r="I95" s="60">
        <v>-39</v>
      </c>
      <c r="J95" s="60">
        <v>-26</v>
      </c>
      <c r="K95" s="60">
        <v>10</v>
      </c>
      <c r="L95" s="60">
        <v>21</v>
      </c>
      <c r="M95" s="60">
        <v>23.4</v>
      </c>
      <c r="N95" s="60">
        <v>-5.2</v>
      </c>
      <c r="O95" s="60">
        <f>1.2-6.9</f>
        <v>-5.7</v>
      </c>
      <c r="P95" s="60">
        <v>-7.1</v>
      </c>
      <c r="Q95" s="60">
        <v>-9.8000000000000007</v>
      </c>
      <c r="R95" s="60">
        <f>-1.9-7.3</f>
        <v>-9.1999999999999993</v>
      </c>
      <c r="S95" s="60">
        <v>-11.5</v>
      </c>
      <c r="T95" s="60">
        <v>-9</v>
      </c>
      <c r="U95" s="60">
        <v>-4.5999999999999996</v>
      </c>
      <c r="V95" s="60">
        <v>4.8</v>
      </c>
      <c r="W95" s="60">
        <v>12.3</v>
      </c>
      <c r="X95" s="60">
        <v>41.3</v>
      </c>
      <c r="Y95" s="60">
        <v>40.200000000000003</v>
      </c>
      <c r="Z95" s="60">
        <v>-38</v>
      </c>
      <c r="AA95" s="60">
        <v>41.3</v>
      </c>
      <c r="AB95" s="60">
        <f>7.1+5.4</f>
        <v>12.5</v>
      </c>
      <c r="AC95" s="60">
        <f>2.9+0</f>
        <v>2.9</v>
      </c>
      <c r="AD95" s="73">
        <v>0</v>
      </c>
      <c r="AE95" s="73">
        <f>-13.8-16.9</f>
        <v>-30.7</v>
      </c>
      <c r="AF95" s="73">
        <f>-25-30.2</f>
        <v>-55.2</v>
      </c>
      <c r="AG95" s="115">
        <v>240</v>
      </c>
      <c r="AH95" s="54">
        <f t="shared" si="38"/>
        <v>-70</v>
      </c>
      <c r="AI95" s="116">
        <f t="shared" si="39"/>
        <v>0.16666666666666699</v>
      </c>
    </row>
    <row r="96" spans="1:88" x14ac:dyDescent="0.25">
      <c r="A96" s="117" t="s">
        <v>100</v>
      </c>
      <c r="B96" s="73">
        <v>8</v>
      </c>
      <c r="C96" s="60">
        <v>4.5999999999999996</v>
      </c>
      <c r="D96" s="60">
        <v>17</v>
      </c>
      <c r="E96" s="60">
        <v>17</v>
      </c>
      <c r="F96" s="60">
        <v>15</v>
      </c>
      <c r="G96" s="60">
        <v>18</v>
      </c>
      <c r="H96" s="60">
        <v>19</v>
      </c>
      <c r="I96" s="60">
        <v>20</v>
      </c>
      <c r="J96" s="60">
        <v>17</v>
      </c>
      <c r="K96" s="60">
        <v>55</v>
      </c>
      <c r="L96" s="60">
        <v>57.6</v>
      </c>
      <c r="M96" s="60">
        <v>54.3</v>
      </c>
      <c r="N96" s="60">
        <v>57.1</v>
      </c>
      <c r="O96" s="60">
        <v>58.7</v>
      </c>
      <c r="P96" s="60">
        <v>34.700000000000003</v>
      </c>
      <c r="Q96" s="60">
        <v>42.8</v>
      </c>
      <c r="R96" s="60">
        <v>42.3</v>
      </c>
      <c r="S96" s="60">
        <v>33.700000000000003</v>
      </c>
      <c r="T96" s="60">
        <v>45.9</v>
      </c>
      <c r="U96" s="60">
        <v>50.2</v>
      </c>
      <c r="V96" s="60">
        <v>53.7</v>
      </c>
      <c r="W96" s="60">
        <v>58.4</v>
      </c>
      <c r="X96" s="60">
        <v>61.4</v>
      </c>
      <c r="Y96" s="60">
        <v>58.7</v>
      </c>
      <c r="Z96" s="60">
        <v>55.4</v>
      </c>
      <c r="AA96" s="60">
        <v>61.4</v>
      </c>
      <c r="AB96" s="60">
        <v>45.3</v>
      </c>
      <c r="AC96" s="60">
        <v>36.4</v>
      </c>
      <c r="AD96" s="73">
        <v>28.7</v>
      </c>
      <c r="AE96" s="73">
        <v>18</v>
      </c>
      <c r="AF96" s="73">
        <v>10.6</v>
      </c>
      <c r="AG96" s="115">
        <v>60</v>
      </c>
      <c r="AH96" s="54">
        <f t="shared" si="38"/>
        <v>61.4</v>
      </c>
      <c r="AI96" s="116">
        <f t="shared" si="39"/>
        <v>0.75</v>
      </c>
    </row>
    <row r="97" spans="1:37" x14ac:dyDescent="0.25">
      <c r="A97" s="118" t="s">
        <v>101</v>
      </c>
      <c r="B97" s="119">
        <v>31.4</v>
      </c>
      <c r="C97" s="63">
        <v>31.8</v>
      </c>
      <c r="D97" s="63">
        <v>14</v>
      </c>
      <c r="E97" s="63">
        <v>16</v>
      </c>
      <c r="F97" s="63">
        <v>18.5</v>
      </c>
      <c r="G97" s="63">
        <v>37</v>
      </c>
      <c r="H97" s="63">
        <v>62</v>
      </c>
      <c r="I97" s="63">
        <v>65</v>
      </c>
      <c r="J97" s="60">
        <v>90</v>
      </c>
      <c r="K97" s="63">
        <v>97</v>
      </c>
      <c r="L97" s="63">
        <v>104</v>
      </c>
      <c r="M97" s="63">
        <v>104.2</v>
      </c>
      <c r="N97" s="63">
        <v>100.9</v>
      </c>
      <c r="O97" s="63">
        <v>99.8</v>
      </c>
      <c r="P97" s="63">
        <v>89.7</v>
      </c>
      <c r="Q97" s="63">
        <v>82.2</v>
      </c>
      <c r="R97" s="63">
        <v>99.5</v>
      </c>
      <c r="S97" s="63">
        <v>94.5</v>
      </c>
      <c r="T97" s="63">
        <v>92.7</v>
      </c>
      <c r="U97" s="63">
        <v>93.7</v>
      </c>
      <c r="V97" s="63">
        <v>106.2</v>
      </c>
      <c r="W97" s="63">
        <v>106.5</v>
      </c>
      <c r="X97" s="63">
        <v>112.6</v>
      </c>
      <c r="Y97" s="63">
        <v>111.1</v>
      </c>
      <c r="Z97" s="63">
        <v>104</v>
      </c>
      <c r="AA97" s="63">
        <v>112.6</v>
      </c>
      <c r="AB97" s="63">
        <v>106.8</v>
      </c>
      <c r="AC97" s="63">
        <v>101.3</v>
      </c>
      <c r="AD97" s="119">
        <v>90.9</v>
      </c>
      <c r="AE97" s="119">
        <v>52</v>
      </c>
      <c r="AF97" s="119">
        <v>18.5</v>
      </c>
      <c r="AG97" s="120">
        <v>120</v>
      </c>
      <c r="AH97" s="54">
        <f t="shared" si="38"/>
        <v>112.6</v>
      </c>
      <c r="AI97" s="116">
        <f t="shared" si="39"/>
        <v>0.75</v>
      </c>
    </row>
    <row r="98" spans="1:37" x14ac:dyDescent="0.25">
      <c r="A98" s="118" t="s">
        <v>102</v>
      </c>
      <c r="B98" s="119">
        <v>46.4</v>
      </c>
      <c r="C98" s="63">
        <v>45.1</v>
      </c>
      <c r="D98" s="63">
        <v>28</v>
      </c>
      <c r="E98" s="63">
        <v>33</v>
      </c>
      <c r="F98" s="63">
        <v>35</v>
      </c>
      <c r="G98" s="63">
        <v>47</v>
      </c>
      <c r="H98" s="63">
        <v>68</v>
      </c>
      <c r="I98" s="63">
        <v>66</v>
      </c>
      <c r="J98" s="63">
        <v>90</v>
      </c>
      <c r="K98" s="63">
        <v>64</v>
      </c>
      <c r="L98" s="63">
        <v>67</v>
      </c>
      <c r="M98" s="63">
        <v>65.8</v>
      </c>
      <c r="N98" s="63">
        <v>78.599999999999994</v>
      </c>
      <c r="O98" s="63">
        <v>77.400000000000006</v>
      </c>
      <c r="P98" s="63">
        <v>90.4</v>
      </c>
      <c r="Q98" s="63">
        <v>85.3</v>
      </c>
      <c r="R98" s="63">
        <v>101.2</v>
      </c>
      <c r="S98" s="63">
        <v>99.7</v>
      </c>
      <c r="T98" s="63">
        <v>93.8</v>
      </c>
      <c r="U98" s="63">
        <v>95.8</v>
      </c>
      <c r="V98" s="63">
        <v>93.8</v>
      </c>
      <c r="W98" s="63">
        <v>79.5</v>
      </c>
      <c r="X98" s="63">
        <v>71.3</v>
      </c>
      <c r="Y98" s="63">
        <v>71</v>
      </c>
      <c r="Z98" s="63">
        <v>66</v>
      </c>
      <c r="AA98" s="63">
        <v>71.3</v>
      </c>
      <c r="AB98" s="63">
        <v>87.5</v>
      </c>
      <c r="AC98" s="63">
        <v>86.7</v>
      </c>
      <c r="AD98" s="119">
        <v>83.1</v>
      </c>
      <c r="AE98" s="119">
        <v>53.7</v>
      </c>
      <c r="AF98" s="119">
        <v>30.8</v>
      </c>
      <c r="AG98" s="120"/>
      <c r="AH98" s="54">
        <f t="shared" si="38"/>
        <v>101.2</v>
      </c>
      <c r="AI98" s="116">
        <f t="shared" si="39"/>
        <v>0.54166666666666696</v>
      </c>
    </row>
    <row r="99" spans="1:37" ht="15.75" thickBot="1" x14ac:dyDescent="0.3">
      <c r="A99" s="118" t="s">
        <v>217</v>
      </c>
      <c r="B99" s="119">
        <v>75.8</v>
      </c>
      <c r="C99" s="63">
        <v>80.400000000000006</v>
      </c>
      <c r="D99" s="63">
        <v>80</v>
      </c>
      <c r="E99" s="63">
        <v>82</v>
      </c>
      <c r="F99" s="63">
        <v>75</v>
      </c>
      <c r="G99" s="63">
        <v>80</v>
      </c>
      <c r="H99" s="63">
        <v>76</v>
      </c>
      <c r="I99" s="63">
        <v>63</v>
      </c>
      <c r="J99" s="63">
        <v>75</v>
      </c>
      <c r="K99" s="63">
        <v>66</v>
      </c>
      <c r="L99" s="63">
        <v>69</v>
      </c>
      <c r="M99" s="63">
        <v>58.7</v>
      </c>
      <c r="N99" s="63">
        <v>69.8</v>
      </c>
      <c r="O99" s="63">
        <v>73.2</v>
      </c>
      <c r="P99" s="63">
        <v>54.2</v>
      </c>
      <c r="Q99" s="63">
        <v>55.2</v>
      </c>
      <c r="R99" s="63">
        <v>75.3</v>
      </c>
      <c r="S99" s="63">
        <v>64.400000000000006</v>
      </c>
      <c r="T99" s="63">
        <v>80.599999999999994</v>
      </c>
      <c r="U99" s="63">
        <v>78.099999999999994</v>
      </c>
      <c r="V99" s="63">
        <v>74.099999999999994</v>
      </c>
      <c r="W99" s="63">
        <v>49.1</v>
      </c>
      <c r="X99" s="63">
        <v>53.4</v>
      </c>
      <c r="Y99" s="63">
        <v>50.7</v>
      </c>
      <c r="Z99" s="63">
        <v>59.5</v>
      </c>
      <c r="AA99" s="63">
        <v>53.4</v>
      </c>
      <c r="AB99" s="63">
        <v>58.2</v>
      </c>
      <c r="AC99" s="63">
        <v>30.5</v>
      </c>
      <c r="AD99" s="119">
        <v>65.400000000000006</v>
      </c>
      <c r="AE99" s="119">
        <v>42.2</v>
      </c>
      <c r="AF99" s="119">
        <v>51.1</v>
      </c>
      <c r="AG99" s="121"/>
      <c r="AH99" s="54">
        <f t="shared" si="38"/>
        <v>82</v>
      </c>
      <c r="AI99" s="116">
        <f t="shared" si="39"/>
        <v>0.125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40">AF101</f>
        <v>9.9</v>
      </c>
      <c r="C101" s="53">
        <v>9.9</v>
      </c>
      <c r="D101" s="127">
        <f t="shared" ref="D101:S106" si="41">C101</f>
        <v>9.9</v>
      </c>
      <c r="E101" s="127">
        <f t="shared" si="41"/>
        <v>9.9</v>
      </c>
      <c r="F101" s="127">
        <f t="shared" si="41"/>
        <v>9.9</v>
      </c>
      <c r="G101" s="127">
        <f t="shared" si="41"/>
        <v>9.9</v>
      </c>
      <c r="H101" s="127">
        <f t="shared" si="41"/>
        <v>9.9</v>
      </c>
      <c r="I101" s="127">
        <f t="shared" si="41"/>
        <v>9.9</v>
      </c>
      <c r="J101" s="127">
        <f t="shared" si="41"/>
        <v>9.9</v>
      </c>
      <c r="K101" s="127">
        <f t="shared" si="41"/>
        <v>9.9</v>
      </c>
      <c r="L101" s="127">
        <f t="shared" si="41"/>
        <v>9.9</v>
      </c>
      <c r="M101" s="127">
        <f t="shared" si="41"/>
        <v>9.9</v>
      </c>
      <c r="N101" s="127">
        <f t="shared" si="41"/>
        <v>9.9</v>
      </c>
      <c r="O101" s="127">
        <f t="shared" si="41"/>
        <v>9.9</v>
      </c>
      <c r="P101" s="127">
        <f t="shared" si="41"/>
        <v>9.9</v>
      </c>
      <c r="Q101" s="127">
        <f t="shared" si="41"/>
        <v>9.9</v>
      </c>
      <c r="R101" s="127">
        <f t="shared" si="41"/>
        <v>9.9</v>
      </c>
      <c r="S101" s="127">
        <f t="shared" si="41"/>
        <v>9.9</v>
      </c>
      <c r="T101" s="127">
        <f t="shared" ref="T101:AF106" si="42">S101</f>
        <v>9.9</v>
      </c>
      <c r="U101" s="127">
        <f t="shared" si="42"/>
        <v>9.9</v>
      </c>
      <c r="V101" s="127">
        <f t="shared" si="42"/>
        <v>9.9</v>
      </c>
      <c r="W101" s="127">
        <f t="shared" si="42"/>
        <v>9.9</v>
      </c>
      <c r="X101" s="127">
        <f t="shared" si="42"/>
        <v>9.9</v>
      </c>
      <c r="Y101" s="127">
        <f t="shared" si="42"/>
        <v>9.9</v>
      </c>
      <c r="Z101" s="127">
        <f t="shared" si="42"/>
        <v>9.9</v>
      </c>
      <c r="AA101" s="127">
        <f t="shared" si="42"/>
        <v>9.9</v>
      </c>
      <c r="AB101" s="127">
        <f t="shared" si="42"/>
        <v>9.9</v>
      </c>
      <c r="AC101" s="127">
        <f t="shared" si="42"/>
        <v>9.9</v>
      </c>
      <c r="AD101" s="127">
        <f t="shared" si="42"/>
        <v>9.9</v>
      </c>
      <c r="AE101" s="127">
        <f t="shared" si="42"/>
        <v>9.9</v>
      </c>
      <c r="AF101" s="127">
        <f t="shared" si="42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40"/>
        <v>9.6</v>
      </c>
      <c r="C102" s="130">
        <v>9.6</v>
      </c>
      <c r="D102" s="129">
        <f t="shared" si="41"/>
        <v>9.6</v>
      </c>
      <c r="E102" s="129">
        <f t="shared" si="41"/>
        <v>9.6</v>
      </c>
      <c r="F102" s="129">
        <f t="shared" si="41"/>
        <v>9.6</v>
      </c>
      <c r="G102" s="129">
        <f t="shared" si="41"/>
        <v>9.6</v>
      </c>
      <c r="H102" s="129">
        <f t="shared" si="41"/>
        <v>9.6</v>
      </c>
      <c r="I102" s="129">
        <f t="shared" si="41"/>
        <v>9.6</v>
      </c>
      <c r="J102" s="129">
        <f t="shared" si="41"/>
        <v>9.6</v>
      </c>
      <c r="K102" s="129">
        <f t="shared" si="41"/>
        <v>9.6</v>
      </c>
      <c r="L102" s="129">
        <f t="shared" si="41"/>
        <v>9.6</v>
      </c>
      <c r="M102" s="129">
        <f t="shared" si="41"/>
        <v>9.6</v>
      </c>
      <c r="N102" s="129">
        <f t="shared" si="41"/>
        <v>9.6</v>
      </c>
      <c r="O102" s="129">
        <f t="shared" si="41"/>
        <v>9.6</v>
      </c>
      <c r="P102" s="129">
        <f t="shared" si="41"/>
        <v>9.6</v>
      </c>
      <c r="Q102" s="129">
        <f t="shared" si="41"/>
        <v>9.6</v>
      </c>
      <c r="R102" s="129">
        <f t="shared" si="41"/>
        <v>9.6</v>
      </c>
      <c r="S102" s="129">
        <f t="shared" si="41"/>
        <v>9.6</v>
      </c>
      <c r="T102" s="129">
        <f t="shared" si="42"/>
        <v>9.6</v>
      </c>
      <c r="U102" s="129">
        <f t="shared" si="42"/>
        <v>9.6</v>
      </c>
      <c r="V102" s="129">
        <f t="shared" si="42"/>
        <v>9.6</v>
      </c>
      <c r="W102" s="129">
        <f t="shared" si="42"/>
        <v>9.6</v>
      </c>
      <c r="X102" s="129">
        <f t="shared" si="42"/>
        <v>9.6</v>
      </c>
      <c r="Y102" s="129">
        <f t="shared" si="42"/>
        <v>9.6</v>
      </c>
      <c r="Z102" s="129">
        <f t="shared" si="42"/>
        <v>9.6</v>
      </c>
      <c r="AA102" s="129">
        <f t="shared" si="42"/>
        <v>9.6</v>
      </c>
      <c r="AB102" s="129">
        <f t="shared" si="42"/>
        <v>9.6</v>
      </c>
      <c r="AC102" s="129">
        <f t="shared" si="42"/>
        <v>9.6</v>
      </c>
      <c r="AD102" s="129">
        <f t="shared" si="42"/>
        <v>9.6</v>
      </c>
      <c r="AE102" s="129">
        <f t="shared" si="42"/>
        <v>9.6</v>
      </c>
      <c r="AF102" s="129">
        <f t="shared" si="42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0"/>
        <v>9.98</v>
      </c>
      <c r="C103" s="130">
        <v>9.98</v>
      </c>
      <c r="D103" s="129">
        <f t="shared" si="41"/>
        <v>9.98</v>
      </c>
      <c r="E103" s="129">
        <f t="shared" si="41"/>
        <v>9.98</v>
      </c>
      <c r="F103" s="129">
        <f t="shared" si="41"/>
        <v>9.98</v>
      </c>
      <c r="G103" s="129">
        <f t="shared" si="41"/>
        <v>9.98</v>
      </c>
      <c r="H103" s="129">
        <f t="shared" si="41"/>
        <v>9.98</v>
      </c>
      <c r="I103" s="129">
        <f t="shared" si="41"/>
        <v>9.98</v>
      </c>
      <c r="J103" s="129">
        <f t="shared" si="41"/>
        <v>9.98</v>
      </c>
      <c r="K103" s="129">
        <f t="shared" si="41"/>
        <v>9.98</v>
      </c>
      <c r="L103" s="129">
        <f t="shared" si="41"/>
        <v>9.98</v>
      </c>
      <c r="M103" s="129">
        <f t="shared" si="41"/>
        <v>9.98</v>
      </c>
      <c r="N103" s="129">
        <f t="shared" si="41"/>
        <v>9.98</v>
      </c>
      <c r="O103" s="129">
        <f t="shared" si="41"/>
        <v>9.98</v>
      </c>
      <c r="P103" s="129">
        <f t="shared" si="41"/>
        <v>9.98</v>
      </c>
      <c r="Q103" s="129">
        <f t="shared" si="41"/>
        <v>9.98</v>
      </c>
      <c r="R103" s="129">
        <f t="shared" si="41"/>
        <v>9.98</v>
      </c>
      <c r="S103" s="129">
        <f t="shared" si="41"/>
        <v>9.98</v>
      </c>
      <c r="T103" s="129">
        <f t="shared" si="42"/>
        <v>9.98</v>
      </c>
      <c r="U103" s="129">
        <f t="shared" si="42"/>
        <v>9.98</v>
      </c>
      <c r="V103" s="129">
        <f t="shared" si="42"/>
        <v>9.98</v>
      </c>
      <c r="W103" s="129">
        <f t="shared" si="42"/>
        <v>9.98</v>
      </c>
      <c r="X103" s="129">
        <f t="shared" si="42"/>
        <v>9.98</v>
      </c>
      <c r="Y103" s="129">
        <f t="shared" si="42"/>
        <v>9.98</v>
      </c>
      <c r="Z103" s="129">
        <f t="shared" si="42"/>
        <v>9.98</v>
      </c>
      <c r="AA103" s="129">
        <f t="shared" si="42"/>
        <v>9.98</v>
      </c>
      <c r="AB103" s="129">
        <f t="shared" si="42"/>
        <v>9.98</v>
      </c>
      <c r="AC103" s="129">
        <f t="shared" si="42"/>
        <v>9.98</v>
      </c>
      <c r="AD103" s="129">
        <f t="shared" si="42"/>
        <v>9.98</v>
      </c>
      <c r="AE103" s="129">
        <f t="shared" si="42"/>
        <v>9.98</v>
      </c>
      <c r="AF103" s="129">
        <f t="shared" si="42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0"/>
        <v>9.1</v>
      </c>
      <c r="C104" s="130">
        <v>9.1</v>
      </c>
      <c r="D104" s="129">
        <f t="shared" si="41"/>
        <v>9.1</v>
      </c>
      <c r="E104" s="129">
        <f t="shared" si="41"/>
        <v>9.1</v>
      </c>
      <c r="F104" s="129">
        <f t="shared" si="41"/>
        <v>9.1</v>
      </c>
      <c r="G104" s="129">
        <f t="shared" si="41"/>
        <v>9.1</v>
      </c>
      <c r="H104" s="129">
        <f t="shared" si="41"/>
        <v>9.1</v>
      </c>
      <c r="I104" s="129">
        <f t="shared" si="41"/>
        <v>9.1</v>
      </c>
      <c r="J104" s="129">
        <f t="shared" si="41"/>
        <v>9.1</v>
      </c>
      <c r="K104" s="129">
        <f t="shared" si="41"/>
        <v>9.1</v>
      </c>
      <c r="L104" s="129">
        <f t="shared" si="41"/>
        <v>9.1</v>
      </c>
      <c r="M104" s="129">
        <f t="shared" si="41"/>
        <v>9.1</v>
      </c>
      <c r="N104" s="129">
        <f t="shared" si="41"/>
        <v>9.1</v>
      </c>
      <c r="O104" s="129">
        <f t="shared" si="41"/>
        <v>9.1</v>
      </c>
      <c r="P104" s="129">
        <f t="shared" si="41"/>
        <v>9.1</v>
      </c>
      <c r="Q104" s="129">
        <f t="shared" si="41"/>
        <v>9.1</v>
      </c>
      <c r="R104" s="129">
        <f t="shared" si="41"/>
        <v>9.1</v>
      </c>
      <c r="S104" s="129">
        <f t="shared" si="41"/>
        <v>9.1</v>
      </c>
      <c r="T104" s="129">
        <f t="shared" si="42"/>
        <v>9.1</v>
      </c>
      <c r="U104" s="129">
        <f t="shared" si="42"/>
        <v>9.1</v>
      </c>
      <c r="V104" s="129">
        <f t="shared" si="42"/>
        <v>9.1</v>
      </c>
      <c r="W104" s="129">
        <f t="shared" si="42"/>
        <v>9.1</v>
      </c>
      <c r="X104" s="129">
        <f t="shared" si="42"/>
        <v>9.1</v>
      </c>
      <c r="Y104" s="129">
        <f t="shared" si="42"/>
        <v>9.1</v>
      </c>
      <c r="Z104" s="129">
        <f t="shared" si="42"/>
        <v>9.1</v>
      </c>
      <c r="AA104" s="129">
        <f t="shared" si="42"/>
        <v>9.1</v>
      </c>
      <c r="AB104" s="129">
        <f t="shared" si="42"/>
        <v>9.1</v>
      </c>
      <c r="AC104" s="129">
        <f t="shared" si="42"/>
        <v>9.1</v>
      </c>
      <c r="AD104" s="129">
        <f t="shared" si="42"/>
        <v>9.1</v>
      </c>
      <c r="AE104" s="129">
        <f t="shared" si="42"/>
        <v>9.1</v>
      </c>
      <c r="AF104" s="129">
        <f t="shared" si="42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0"/>
        <v>9.18</v>
      </c>
      <c r="C105" s="130">
        <v>9.18</v>
      </c>
      <c r="D105" s="129">
        <f t="shared" si="41"/>
        <v>9.18</v>
      </c>
      <c r="E105" s="129">
        <f t="shared" si="41"/>
        <v>9.18</v>
      </c>
      <c r="F105" s="129">
        <f t="shared" si="41"/>
        <v>9.18</v>
      </c>
      <c r="G105" s="129">
        <f t="shared" si="41"/>
        <v>9.18</v>
      </c>
      <c r="H105" s="129">
        <f t="shared" si="41"/>
        <v>9.18</v>
      </c>
      <c r="I105" s="129">
        <f t="shared" si="41"/>
        <v>9.18</v>
      </c>
      <c r="J105" s="129">
        <f t="shared" si="41"/>
        <v>9.18</v>
      </c>
      <c r="K105" s="129">
        <f t="shared" si="41"/>
        <v>9.18</v>
      </c>
      <c r="L105" s="129">
        <f t="shared" si="41"/>
        <v>9.18</v>
      </c>
      <c r="M105" s="129">
        <f t="shared" si="41"/>
        <v>9.18</v>
      </c>
      <c r="N105" s="129">
        <f t="shared" si="41"/>
        <v>9.18</v>
      </c>
      <c r="O105" s="129">
        <f t="shared" si="41"/>
        <v>9.18</v>
      </c>
      <c r="P105" s="129">
        <f t="shared" si="41"/>
        <v>9.18</v>
      </c>
      <c r="Q105" s="129">
        <f t="shared" si="41"/>
        <v>9.18</v>
      </c>
      <c r="R105" s="129">
        <f t="shared" si="41"/>
        <v>9.18</v>
      </c>
      <c r="S105" s="129">
        <f t="shared" si="41"/>
        <v>9.18</v>
      </c>
      <c r="T105" s="129">
        <f t="shared" si="42"/>
        <v>9.18</v>
      </c>
      <c r="U105" s="129">
        <f t="shared" si="42"/>
        <v>9.18</v>
      </c>
      <c r="V105" s="129">
        <f t="shared" si="42"/>
        <v>9.18</v>
      </c>
      <c r="W105" s="129">
        <f t="shared" si="42"/>
        <v>9.18</v>
      </c>
      <c r="X105" s="129">
        <f t="shared" si="42"/>
        <v>9.18</v>
      </c>
      <c r="Y105" s="129">
        <f t="shared" si="42"/>
        <v>9.18</v>
      </c>
      <c r="Z105" s="129">
        <f t="shared" si="42"/>
        <v>9.18</v>
      </c>
      <c r="AA105" s="129">
        <f t="shared" si="42"/>
        <v>9.18</v>
      </c>
      <c r="AB105" s="129">
        <f t="shared" si="42"/>
        <v>9.18</v>
      </c>
      <c r="AC105" s="129">
        <f t="shared" si="42"/>
        <v>9.18</v>
      </c>
      <c r="AD105" s="129">
        <f t="shared" si="42"/>
        <v>9.18</v>
      </c>
      <c r="AE105" s="129">
        <f t="shared" si="42"/>
        <v>9.18</v>
      </c>
      <c r="AF105" s="129">
        <f t="shared" si="42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0"/>
        <v>7</v>
      </c>
      <c r="C106" s="130">
        <v>7</v>
      </c>
      <c r="D106" s="129">
        <f t="shared" si="41"/>
        <v>7</v>
      </c>
      <c r="E106" s="129">
        <f t="shared" si="41"/>
        <v>7</v>
      </c>
      <c r="F106" s="129">
        <f t="shared" si="41"/>
        <v>7</v>
      </c>
      <c r="G106" s="129">
        <f t="shared" si="41"/>
        <v>7</v>
      </c>
      <c r="H106" s="129">
        <f t="shared" si="41"/>
        <v>7</v>
      </c>
      <c r="I106" s="129">
        <f t="shared" si="41"/>
        <v>7</v>
      </c>
      <c r="J106" s="129">
        <f t="shared" si="41"/>
        <v>7</v>
      </c>
      <c r="K106" s="129">
        <f t="shared" si="41"/>
        <v>7</v>
      </c>
      <c r="L106" s="129">
        <f t="shared" si="41"/>
        <v>7</v>
      </c>
      <c r="M106" s="129">
        <f t="shared" si="41"/>
        <v>7</v>
      </c>
      <c r="N106" s="129">
        <f t="shared" si="41"/>
        <v>7</v>
      </c>
      <c r="O106" s="129">
        <f t="shared" si="41"/>
        <v>7</v>
      </c>
      <c r="P106" s="129">
        <f t="shared" si="41"/>
        <v>7</v>
      </c>
      <c r="Q106" s="129">
        <f t="shared" si="41"/>
        <v>7</v>
      </c>
      <c r="R106" s="129">
        <f t="shared" si="41"/>
        <v>7</v>
      </c>
      <c r="S106" s="129">
        <f t="shared" si="41"/>
        <v>7</v>
      </c>
      <c r="T106" s="129">
        <f t="shared" si="42"/>
        <v>7</v>
      </c>
      <c r="U106" s="129">
        <f t="shared" si="42"/>
        <v>7</v>
      </c>
      <c r="V106" s="129">
        <f t="shared" si="42"/>
        <v>7</v>
      </c>
      <c r="W106" s="129">
        <f t="shared" si="42"/>
        <v>7</v>
      </c>
      <c r="X106" s="129">
        <f t="shared" si="42"/>
        <v>7</v>
      </c>
      <c r="Y106" s="129">
        <f t="shared" si="42"/>
        <v>7</v>
      </c>
      <c r="Z106" s="129">
        <f t="shared" si="42"/>
        <v>7</v>
      </c>
      <c r="AA106" s="129">
        <f t="shared" si="42"/>
        <v>7</v>
      </c>
      <c r="AB106" s="129">
        <f t="shared" si="42"/>
        <v>7</v>
      </c>
      <c r="AC106" s="129">
        <f t="shared" si="42"/>
        <v>7</v>
      </c>
      <c r="AD106" s="129">
        <f t="shared" si="42"/>
        <v>7</v>
      </c>
      <c r="AE106" s="129">
        <f t="shared" si="42"/>
        <v>7</v>
      </c>
      <c r="AF106" s="129">
        <f t="shared" si="42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1461.94</v>
      </c>
      <c r="C208" s="157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2078/08/2)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917.54</v>
      </c>
      <c r="U213" s="167">
        <f t="shared" si="76"/>
        <v>882.1400000000001</v>
      </c>
      <c r="V213" s="167">
        <f t="shared" si="76"/>
        <v>885.1400000000001</v>
      </c>
      <c r="W213" s="167">
        <f t="shared" si="76"/>
        <v>880.1400000000001</v>
      </c>
      <c r="X213" s="167">
        <f t="shared" si="76"/>
        <v>897.1400000000001</v>
      </c>
      <c r="Y213" s="167">
        <f t="shared" si="76"/>
        <v>961.54000000000008</v>
      </c>
      <c r="Z213" s="167">
        <f t="shared" si="76"/>
        <v>1034.8400000000001</v>
      </c>
      <c r="AA213" s="167">
        <f t="shared" si="76"/>
        <v>1110.3399999999999</v>
      </c>
      <c r="AB213" s="167">
        <f t="shared" si="76"/>
        <v>1258.8399999999999</v>
      </c>
      <c r="AC213" s="167">
        <f t="shared" si="76"/>
        <v>1392.24</v>
      </c>
      <c r="AD213" s="167">
        <f t="shared" si="76"/>
        <v>1461.94</v>
      </c>
      <c r="AE213" s="167">
        <f t="shared" si="76"/>
        <v>1456.14</v>
      </c>
      <c r="AF213" s="167">
        <f t="shared" si="76"/>
        <v>1364.44</v>
      </c>
      <c r="AG213" s="167">
        <f t="shared" si="76"/>
        <v>1364.64</v>
      </c>
      <c r="AH213" s="167">
        <f t="shared" si="76"/>
        <v>1298.2399999999998</v>
      </c>
      <c r="AI213" s="167">
        <f t="shared" si="76"/>
        <v>1244.94</v>
      </c>
      <c r="AJ213" s="167">
        <f t="shared" si="76"/>
        <v>1218.6400000000001</v>
      </c>
      <c r="AK213" s="167">
        <f t="shared" si="76"/>
        <v>1159.74</v>
      </c>
      <c r="AL213" s="167">
        <f t="shared" si="76"/>
        <v>1206.94</v>
      </c>
      <c r="AM213" s="167">
        <f t="shared" si="76"/>
        <v>1257.04</v>
      </c>
      <c r="AN213" s="167">
        <f t="shared" si="76"/>
        <v>1326.9399999999998</v>
      </c>
      <c r="AO213" s="167">
        <f t="shared" si="76"/>
        <v>1443.94</v>
      </c>
      <c r="AP213" s="167">
        <f t="shared" si="76"/>
        <v>1545.54</v>
      </c>
      <c r="AQ213" s="167">
        <f t="shared" si="76"/>
        <v>1490.44</v>
      </c>
      <c r="AR213" s="167">
        <f t="shared" si="76"/>
        <v>1422.74</v>
      </c>
      <c r="AS213" s="167">
        <f t="shared" si="76"/>
        <v>1370.74</v>
      </c>
      <c r="AT213" s="167">
        <f t="shared" si="76"/>
        <v>1309.1400000000001</v>
      </c>
      <c r="AU213" s="167">
        <f t="shared" si="76"/>
        <v>1252.04</v>
      </c>
      <c r="AV213" s="167">
        <f t="shared" si="76"/>
        <v>1201.04</v>
      </c>
      <c r="AW213" s="167">
        <f t="shared" si="76"/>
        <v>1025.1399999999999</v>
      </c>
      <c r="AX213" s="167">
        <f t="shared" si="76"/>
        <v>945.24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S40:T41 AB81:AF81 C81:R81 C56:AF56 C82:AF83 D193:AF199 B193:B199 C68:AF80 B9:AF10 B191:AF191 AG73 U212:AF212 C57:L67 Q12:Q14 P11:Q11 M17:O32 M11:O14 M36:O37 M58:O61 R11:R14 N39:R42 P45:R45 S58:W59 Q58:R67 U40:Y42 M53:AF55 X85:AC91 S11:AE11 X18:AF30 X36:AF36 Z40:AF43 AD84:AF91 AD94:AF99">
    <cfRule type="expression" dxfId="8887" priority="404">
      <formula>B$9&gt;=20/24</formula>
    </cfRule>
    <cfRule type="expression" dxfId="8886" priority="405">
      <formula>AND(B$9&gt;=14/24,B$9&lt;20/24)</formula>
    </cfRule>
    <cfRule type="expression" dxfId="8885" priority="406">
      <formula>AND(B$9&gt;=8/24,B$9&lt;14/24)</formula>
    </cfRule>
    <cfRule type="expression" dxfId="8884" priority="407">
      <formula>B$9&lt;8/24</formula>
    </cfRule>
  </conditionalFormatting>
  <conditionalFormatting sqref="AL4:AL6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M57:O57 Q57:R57">
    <cfRule type="expression" dxfId="8883" priority="399">
      <formula>M$9&gt;=20/24</formula>
    </cfRule>
    <cfRule type="expression" dxfId="8882" priority="400">
      <formula>AND(M$9&gt;=14/24,M$9&lt;20/24)</formula>
    </cfRule>
    <cfRule type="expression" dxfId="8881" priority="401">
      <formula>AND(M$9&gt;=8/24,M$9&lt;14/24)</formula>
    </cfRule>
    <cfRule type="expression" dxfId="8880" priority="402">
      <formula>M$9&lt;8/24</formula>
    </cfRule>
  </conditionalFormatting>
  <conditionalFormatting sqref="N43:R43">
    <cfRule type="expression" dxfId="8879" priority="395">
      <formula>N$9&gt;=20/24</formula>
    </cfRule>
    <cfRule type="expression" dxfId="8878" priority="396">
      <formula>AND(N$9&gt;=14/24,N$9&lt;20/24)</formula>
    </cfRule>
    <cfRule type="expression" dxfId="8877" priority="397">
      <formula>AND(N$9&gt;=8/24,N$9&lt;14/24)</formula>
    </cfRule>
    <cfRule type="expression" dxfId="8876" priority="398">
      <formula>N$9&lt;8/24</formula>
    </cfRule>
  </conditionalFormatting>
  <conditionalFormatting sqref="S39:AF39">
    <cfRule type="expression" dxfId="8875" priority="387">
      <formula>S$9&gt;=20/24</formula>
    </cfRule>
    <cfRule type="expression" dxfId="8874" priority="388">
      <formula>AND(S$9&gt;=14/24,S$9&lt;20/24)</formula>
    </cfRule>
    <cfRule type="expression" dxfId="8873" priority="389">
      <formula>AND(S$9&gt;=8/24,S$9&lt;14/24)</formula>
    </cfRule>
    <cfRule type="expression" dxfId="8872" priority="390">
      <formula>S$9&lt;8/24</formula>
    </cfRule>
  </conditionalFormatting>
  <conditionalFormatting sqref="S57:AF57">
    <cfRule type="expression" dxfId="8871" priority="383">
      <formula>S$9&gt;=20/24</formula>
    </cfRule>
    <cfRule type="expression" dxfId="8870" priority="384">
      <formula>AND(S$9&gt;=14/24,S$9&lt;20/24)</formula>
    </cfRule>
    <cfRule type="expression" dxfId="8869" priority="385">
      <formula>AND(S$9&gt;=8/24,S$9&lt;14/24)</formula>
    </cfRule>
    <cfRule type="expression" dxfId="8868" priority="386">
      <formula>S$9&lt;8/24</formula>
    </cfRule>
  </conditionalFormatting>
  <conditionalFormatting sqref="S81:AA81">
    <cfRule type="expression" dxfId="8867" priority="379">
      <formula>S$9&gt;=20/24</formula>
    </cfRule>
    <cfRule type="expression" dxfId="8866" priority="380">
      <formula>AND(S$9&gt;=14/24,S$9&lt;20/24)</formula>
    </cfRule>
    <cfRule type="expression" dxfId="8865" priority="381">
      <formula>AND(S$9&gt;=8/24,S$9&lt;14/24)</formula>
    </cfRule>
    <cfRule type="expression" dxfId="8864" priority="382">
      <formula>S$9&lt;8/24</formula>
    </cfRule>
  </conditionalFormatting>
  <conditionalFormatting sqref="X84:AC84">
    <cfRule type="expression" dxfId="8863" priority="375">
      <formula>X$9&gt;=20/24</formula>
    </cfRule>
    <cfRule type="expression" dxfId="8862" priority="376">
      <formula>AND(X$9&gt;=14/24,X$9&lt;20/24)</formula>
    </cfRule>
    <cfRule type="expression" dxfId="8861" priority="377">
      <formula>AND(X$9&gt;=8/24,X$9&lt;14/24)</formula>
    </cfRule>
    <cfRule type="expression" dxfId="8860" priority="378">
      <formula>X$9&lt;8/24</formula>
    </cfRule>
  </conditionalFormatting>
  <conditionalFormatting sqref="M35:O35">
    <cfRule type="expression" dxfId="8859" priority="371">
      <formula>M$9&gt;=20/24</formula>
    </cfRule>
    <cfRule type="expression" dxfId="8858" priority="372">
      <formula>AND(M$9&gt;=14/24,M$9&lt;20/24)</formula>
    </cfRule>
    <cfRule type="expression" dxfId="8857" priority="373">
      <formula>AND(M$9&gt;=8/24,M$9&lt;14/24)</formula>
    </cfRule>
    <cfRule type="expression" dxfId="8856" priority="374">
      <formula>M$9&lt;8/24</formula>
    </cfRule>
  </conditionalFormatting>
  <conditionalFormatting sqref="T49">
    <cfRule type="expression" dxfId="8855" priority="367">
      <formula>T$9&gt;=20/24</formula>
    </cfRule>
    <cfRule type="expression" dxfId="8854" priority="368">
      <formula>AND(T$9&gt;=14/24,T$9&lt;20/24)</formula>
    </cfRule>
    <cfRule type="expression" dxfId="8853" priority="369">
      <formula>AND(T$9&gt;=8/24,T$9&lt;14/24)</formula>
    </cfRule>
    <cfRule type="expression" dxfId="8852" priority="370">
      <formula>T$9&lt;8/24</formula>
    </cfRule>
  </conditionalFormatting>
  <conditionalFormatting sqref="P45:R45">
    <cfRule type="expression" dxfId="8851" priority="359">
      <formula>P$9&gt;=20/24</formula>
    </cfRule>
    <cfRule type="expression" dxfId="8850" priority="360">
      <formula>AND(P$9&gt;=14/24,P$9&lt;20/24)</formula>
    </cfRule>
    <cfRule type="expression" dxfId="8849" priority="361">
      <formula>AND(P$9&gt;=8/24,P$9&lt;14/24)</formula>
    </cfRule>
    <cfRule type="expression" dxfId="8848" priority="362">
      <formula>P$9&lt;8/24</formula>
    </cfRule>
  </conditionalFormatting>
  <conditionalFormatting sqref="W37:AF37">
    <cfRule type="expression" dxfId="8847" priority="355">
      <formula>W$9&gt;=20/24</formula>
    </cfRule>
    <cfRule type="expression" dxfId="8846" priority="356">
      <formula>AND(W$9&gt;=14/24,W$9&lt;20/24)</formula>
    </cfRule>
    <cfRule type="expression" dxfId="8845" priority="357">
      <formula>AND(W$9&gt;=8/24,W$9&lt;14/24)</formula>
    </cfRule>
    <cfRule type="expression" dxfId="8844" priority="358">
      <formula>W$9&lt;8/24</formula>
    </cfRule>
  </conditionalFormatting>
  <conditionalFormatting sqref="X31:AF32 X35:AF35">
    <cfRule type="expression" dxfId="8843" priority="351">
      <formula>X$9&gt;=20/24</formula>
    </cfRule>
    <cfRule type="expression" dxfId="8842" priority="352">
      <formula>AND(X$9&gt;=14/24,X$9&lt;20/24)</formula>
    </cfRule>
    <cfRule type="expression" dxfId="8841" priority="353">
      <formula>AND(X$9&gt;=8/24,X$9&lt;14/24)</formula>
    </cfRule>
    <cfRule type="expression" dxfId="8840" priority="354">
      <formula>X$9&lt;8/24</formula>
    </cfRule>
  </conditionalFormatting>
  <conditionalFormatting sqref="S42:T43 U43:AF43 T45:AF48">
    <cfRule type="expression" dxfId="8839" priority="347">
      <formula>S$9&gt;=20/24</formula>
    </cfRule>
    <cfRule type="expression" dxfId="8838" priority="348">
      <formula>AND(S$9&gt;=14/24,S$9&lt;20/24)</formula>
    </cfRule>
    <cfRule type="expression" dxfId="8837" priority="349">
      <formula>AND(S$9&gt;=8/24,S$9&lt;14/24)</formula>
    </cfRule>
    <cfRule type="expression" dxfId="8836" priority="350">
      <formula>S$9&lt;8/24</formula>
    </cfRule>
  </conditionalFormatting>
  <conditionalFormatting sqref="T49:AF49">
    <cfRule type="expression" dxfId="8835" priority="343">
      <formula>T$9&gt;=20/24</formula>
    </cfRule>
    <cfRule type="expression" dxfId="8834" priority="344">
      <formula>AND(T$9&gt;=14/24,T$9&lt;20/24)</formula>
    </cfRule>
    <cfRule type="expression" dxfId="8833" priority="345">
      <formula>AND(T$9&gt;=8/24,T$9&lt;14/24)</formula>
    </cfRule>
    <cfRule type="expression" dxfId="8832" priority="346">
      <formula>T$9&lt;8/24</formula>
    </cfRule>
  </conditionalFormatting>
  <conditionalFormatting sqref="T50:AF50">
    <cfRule type="expression" dxfId="8831" priority="339">
      <formula>T$9&gt;=20/24</formula>
    </cfRule>
    <cfRule type="expression" dxfId="8830" priority="340">
      <formula>AND(T$9&gt;=14/24,T$9&lt;20/24)</formula>
    </cfRule>
    <cfRule type="expression" dxfId="8829" priority="341">
      <formula>AND(T$9&gt;=8/24,T$9&lt;14/24)</formula>
    </cfRule>
    <cfRule type="expression" dxfId="8828" priority="342">
      <formula>T$9&lt;8/24</formula>
    </cfRule>
  </conditionalFormatting>
  <conditionalFormatting sqref="S60:T60 T61:T62 X60:AF67">
    <cfRule type="expression" dxfId="8827" priority="335">
      <formula>S$9&gt;=20/24</formula>
    </cfRule>
    <cfRule type="expression" dxfId="8826" priority="336">
      <formula>AND(S$9&gt;=14/24,S$9&lt;20/24)</formula>
    </cfRule>
    <cfRule type="expression" dxfId="8825" priority="337">
      <formula>AND(S$9&gt;=8/24,S$9&lt;14/24)</formula>
    </cfRule>
    <cfRule type="expression" dxfId="8824" priority="338">
      <formula>S$9&lt;8/24</formula>
    </cfRule>
  </conditionalFormatting>
  <conditionalFormatting sqref="X94:AC97">
    <cfRule type="expression" dxfId="8823" priority="327">
      <formula>X$9&gt;=20/24</formula>
    </cfRule>
    <cfRule type="expression" dxfId="8822" priority="328">
      <formula>AND(X$9&gt;=14/24,X$9&lt;20/24)</formula>
    </cfRule>
    <cfRule type="expression" dxfId="8821" priority="329">
      <formula>AND(X$9&gt;=8/24,X$9&lt;14/24)</formula>
    </cfRule>
    <cfRule type="expression" dxfId="8820" priority="330">
      <formula>X$9&lt;8/24</formula>
    </cfRule>
  </conditionalFormatting>
  <conditionalFormatting sqref="AG51 C38:AF38 K37:N37 H11:N11 K39:M41 M12:N14 M34:N36 Q12:Q14 P11:Q11 M17:O32 O11:O14 O34:O37 N39:O43 W37:X37 R11:R14 S39:X43 P39:R45 T45:U50 S44:U44 X34:X36 V44:X50 C51:AF56 S11:AF11 X18:AF32 Y34:AF37 Y39:AF50">
    <cfRule type="expression" dxfId="8819" priority="326">
      <formula>C11&gt;$AG11</formula>
    </cfRule>
  </conditionalFormatting>
  <conditionalFormatting sqref="A100:A156 A84:A97 A11:A14 A16:A32 A45:A72 A80:A82 A74:A78 A35:A43 A169:A199">
    <cfRule type="expression" dxfId="8818" priority="325">
      <formula>$AH11=0</formula>
    </cfRule>
  </conditionalFormatting>
  <conditionalFormatting sqref="X98:AC98">
    <cfRule type="expression" dxfId="8817" priority="321">
      <formula>X$9&gt;=20/24</formula>
    </cfRule>
    <cfRule type="expression" dxfId="8816" priority="322">
      <formula>AND(X$9&gt;=14/24,X$9&lt;20/24)</formula>
    </cfRule>
    <cfRule type="expression" dxfId="8815" priority="323">
      <formula>AND(X$9&gt;=8/24,X$9&lt;14/24)</formula>
    </cfRule>
    <cfRule type="expression" dxfId="8814" priority="324">
      <formula>X$9&lt;8/24</formula>
    </cfRule>
  </conditionalFormatting>
  <conditionalFormatting sqref="A98">
    <cfRule type="expression" dxfId="8813" priority="320">
      <formula>$AH98=0</formula>
    </cfRule>
  </conditionalFormatting>
  <conditionalFormatting sqref="X99:AC99">
    <cfRule type="expression" dxfId="8812" priority="206">
      <formula>X$9&gt;=20/24</formula>
    </cfRule>
    <cfRule type="expression" dxfId="8811" priority="207">
      <formula>AND(X$9&gt;=14/24,X$9&lt;20/24)</formula>
    </cfRule>
    <cfRule type="expression" dxfId="8810" priority="208">
      <formula>AND(X$9&gt;=8/24,X$9&lt;14/24)</formula>
    </cfRule>
    <cfRule type="expression" dxfId="8809" priority="209">
      <formula>X$9&lt;8/24</formula>
    </cfRule>
  </conditionalFormatting>
  <conditionalFormatting sqref="M62:O67">
    <cfRule type="expression" dxfId="8808" priority="308">
      <formula>M$9&gt;=20/24</formula>
    </cfRule>
    <cfRule type="expression" dxfId="8807" priority="309">
      <formula>AND(M$9&gt;=14/24,M$9&lt;20/24)</formula>
    </cfRule>
    <cfRule type="expression" dxfId="8806" priority="310">
      <formula>AND(M$9&gt;=8/24,M$9&lt;14/24)</formula>
    </cfRule>
    <cfRule type="expression" dxfId="8805" priority="311">
      <formula>M$9&lt;8/24</formula>
    </cfRule>
  </conditionalFormatting>
  <conditionalFormatting sqref="AL32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M34:O34">
    <cfRule type="expression" dxfId="8804" priority="299">
      <formula>M$9&gt;=20/24</formula>
    </cfRule>
    <cfRule type="expression" dxfId="8803" priority="300">
      <formula>AND(M$9&gt;=14/24,M$9&lt;20/24)</formula>
    </cfRule>
    <cfRule type="expression" dxfId="8802" priority="301">
      <formula>AND(M$9&gt;=8/24,M$9&lt;14/24)</formula>
    </cfRule>
    <cfRule type="expression" dxfId="8801" priority="302">
      <formula>M$9&lt;8/24</formula>
    </cfRule>
  </conditionalFormatting>
  <conditionalFormatting sqref="X34:AF34">
    <cfRule type="expression" dxfId="8800" priority="295">
      <formula>X$9&gt;=20/24</formula>
    </cfRule>
    <cfRule type="expression" dxfId="8799" priority="296">
      <formula>AND(X$9&gt;=14/24,X$9&lt;20/24)</formula>
    </cfRule>
    <cfRule type="expression" dxfId="8798" priority="297">
      <formula>AND(X$9&gt;=8/24,X$9&lt;14/24)</formula>
    </cfRule>
    <cfRule type="expression" dxfId="8797" priority="298">
      <formula>X$9&lt;8/24</formula>
    </cfRule>
  </conditionalFormatting>
  <conditionalFormatting sqref="A34">
    <cfRule type="expression" dxfId="8796" priority="294">
      <formula>$AH34=0</formula>
    </cfRule>
  </conditionalFormatting>
  <conditionalFormatting sqref="A83">
    <cfRule type="expression" dxfId="8795" priority="293">
      <formula>$AH83=0</formula>
    </cfRule>
  </conditionalFormatting>
  <conditionalFormatting sqref="M15:O15 Q15:R15">
    <cfRule type="expression" dxfId="8794" priority="285">
      <formula>M$9&gt;=20/24</formula>
    </cfRule>
    <cfRule type="expression" dxfId="8793" priority="286">
      <formula>AND(M$9&gt;=14/24,M$9&lt;20/24)</formula>
    </cfRule>
    <cfRule type="expression" dxfId="8792" priority="287">
      <formula>AND(M$9&gt;=8/24,M$9&lt;14/24)</formula>
    </cfRule>
    <cfRule type="expression" dxfId="8791" priority="288">
      <formula>M$9&lt;8/24</formula>
    </cfRule>
  </conditionalFormatting>
  <conditionalFormatting sqref="M15:O15 Q15:R15">
    <cfRule type="expression" dxfId="8790" priority="284">
      <formula>M15&gt;$AG15</formula>
    </cfRule>
  </conditionalFormatting>
  <conditionalFormatting sqref="A15">
    <cfRule type="expression" dxfId="8789" priority="283">
      <formula>$AH15=0</formula>
    </cfRule>
  </conditionalFormatting>
  <conditionalFormatting sqref="A163:A168">
    <cfRule type="expression" dxfId="8788" priority="282">
      <formula>$AH163=0</formula>
    </cfRule>
  </conditionalFormatting>
  <conditionalFormatting sqref="A157:A162">
    <cfRule type="expression" dxfId="8787" priority="281">
      <formula>$AH157=0</formula>
    </cfRule>
  </conditionalFormatting>
  <conditionalFormatting sqref="Z44:AF44">
    <cfRule type="expression" dxfId="8786" priority="277">
      <formula>Z$9&gt;=20/24</formula>
    </cfRule>
    <cfRule type="expression" dxfId="8785" priority="278">
      <formula>AND(Z$9&gt;=14/24,Z$9&lt;20/24)</formula>
    </cfRule>
    <cfRule type="expression" dxfId="8784" priority="279">
      <formula>AND(Z$9&gt;=8/24,Z$9&lt;14/24)</formula>
    </cfRule>
    <cfRule type="expression" dxfId="8783" priority="280">
      <formula>Z$9&lt;8/24</formula>
    </cfRule>
  </conditionalFormatting>
  <conditionalFormatting sqref="P44:R44">
    <cfRule type="expression" dxfId="8782" priority="273">
      <formula>P$9&gt;=20/24</formula>
    </cfRule>
    <cfRule type="expression" dxfId="8781" priority="274">
      <formula>AND(P$9&gt;=14/24,P$9&lt;20/24)</formula>
    </cfRule>
    <cfRule type="expression" dxfId="8780" priority="275">
      <formula>AND(P$9&gt;=8/24,P$9&lt;14/24)</formula>
    </cfRule>
    <cfRule type="expression" dxfId="8779" priority="276">
      <formula>P$9&lt;8/24</formula>
    </cfRule>
  </conditionalFormatting>
  <conditionalFormatting sqref="S44:AF44">
    <cfRule type="expression" dxfId="8778" priority="269">
      <formula>S$9&gt;=20/24</formula>
    </cfRule>
    <cfRule type="expression" dxfId="8777" priority="270">
      <formula>AND(S$9&gt;=14/24,S$9&lt;20/24)</formula>
    </cfRule>
    <cfRule type="expression" dxfId="8776" priority="271">
      <formula>AND(S$9&gt;=8/24,S$9&lt;14/24)</formula>
    </cfRule>
    <cfRule type="expression" dxfId="8775" priority="272">
      <formula>S$9&lt;8/24</formula>
    </cfRule>
  </conditionalFormatting>
  <conditionalFormatting sqref="A44">
    <cfRule type="expression" dxfId="8774" priority="268">
      <formula>$AH44=0</formula>
    </cfRule>
  </conditionalFormatting>
  <conditionalFormatting sqref="A79">
    <cfRule type="expression" dxfId="8773" priority="267">
      <formula>$AH79=0</formula>
    </cfRule>
  </conditionalFormatting>
  <conditionalFormatting sqref="A73">
    <cfRule type="expression" dxfId="8772" priority="266">
      <formula>$AH73=0</formula>
    </cfRule>
  </conditionalFormatting>
  <conditionalFormatting sqref="AL34:AL35 AL7:AL31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8771" priority="262">
      <formula>U$9&gt;=20/24</formula>
    </cfRule>
    <cfRule type="expression" dxfId="8770" priority="263">
      <formula>AND(U$9&gt;=14/24,U$9&lt;20/24)</formula>
    </cfRule>
    <cfRule type="expression" dxfId="8769" priority="264">
      <formula>AND(U$9&gt;=8/24,U$9&lt;14/24)</formula>
    </cfRule>
    <cfRule type="expression" dxfId="8768" priority="265">
      <formula>U$9&lt;8/24</formula>
    </cfRule>
  </conditionalFormatting>
  <conditionalFormatting sqref="C84:R91 S85:W91">
    <cfRule type="expression" dxfId="8767" priority="254">
      <formula>C$9&gt;=20/24</formula>
    </cfRule>
    <cfRule type="expression" dxfId="8766" priority="255">
      <formula>AND(C$9&gt;=14/24,C$9&lt;20/24)</formula>
    </cfRule>
    <cfRule type="expression" dxfId="8765" priority="256">
      <formula>AND(C$9&gt;=8/24,C$9&lt;14/24)</formula>
    </cfRule>
    <cfRule type="expression" dxfId="8764" priority="257">
      <formula>C$9&lt;8/24</formula>
    </cfRule>
  </conditionalFormatting>
  <conditionalFormatting sqref="S84:W84">
    <cfRule type="expression" dxfId="8763" priority="250">
      <formula>S$9&gt;=20/24</formula>
    </cfRule>
    <cfRule type="expression" dxfId="8762" priority="251">
      <formula>AND(S$9&gt;=14/24,S$9&lt;20/24)</formula>
    </cfRule>
    <cfRule type="expression" dxfId="8761" priority="252">
      <formula>AND(S$9&gt;=8/24,S$9&lt;14/24)</formula>
    </cfRule>
    <cfRule type="expression" dxfId="8760" priority="253">
      <formula>S$9&lt;8/24</formula>
    </cfRule>
  </conditionalFormatting>
  <conditionalFormatting sqref="C95:M97 C94:F94 J97:J98">
    <cfRule type="expression" dxfId="8759" priority="246">
      <formula>C$9&gt;=20/24</formula>
    </cfRule>
    <cfRule type="expression" dxfId="8758" priority="247">
      <formula>AND(C$9&gt;=14/24,C$9&lt;20/24)</formula>
    </cfRule>
    <cfRule type="expression" dxfId="8757" priority="248">
      <formula>AND(C$9&gt;=8/24,C$9&lt;14/24)</formula>
    </cfRule>
    <cfRule type="expression" dxfId="8756" priority="249">
      <formula>C$9&lt;8/24</formula>
    </cfRule>
  </conditionalFormatting>
  <conditionalFormatting sqref="N95:O97 P94:R97">
    <cfRule type="expression" dxfId="8755" priority="242">
      <formula>N$9&gt;=20/24</formula>
    </cfRule>
    <cfRule type="expression" dxfId="8754" priority="243">
      <formula>AND(N$9&gt;=14/24,N$9&lt;20/24)</formula>
    </cfRule>
    <cfRule type="expression" dxfId="8753" priority="244">
      <formula>AND(N$9&gt;=8/24,N$9&lt;14/24)</formula>
    </cfRule>
    <cfRule type="expression" dxfId="8752" priority="245">
      <formula>N$9&lt;8/24</formula>
    </cfRule>
  </conditionalFormatting>
  <conditionalFormatting sqref="S94:W97">
    <cfRule type="expression" dxfId="8751" priority="238">
      <formula>S$9&gt;=20/24</formula>
    </cfRule>
    <cfRule type="expression" dxfId="8750" priority="239">
      <formula>AND(S$9&gt;=14/24,S$9&lt;20/24)</formula>
    </cfRule>
    <cfRule type="expression" dxfId="8749" priority="240">
      <formula>AND(S$9&gt;=8/24,S$9&lt;14/24)</formula>
    </cfRule>
    <cfRule type="expression" dxfId="8748" priority="241">
      <formula>S$9&lt;8/24</formula>
    </cfRule>
  </conditionalFormatting>
  <conditionalFormatting sqref="C98:M98">
    <cfRule type="expression" dxfId="8747" priority="234">
      <formula>C$9&gt;=20/24</formula>
    </cfRule>
    <cfRule type="expression" dxfId="8746" priority="235">
      <formula>AND(C$9&gt;=14/24,C$9&lt;20/24)</formula>
    </cfRule>
    <cfRule type="expression" dxfId="8745" priority="236">
      <formula>AND(C$9&gt;=8/24,C$9&lt;14/24)</formula>
    </cfRule>
    <cfRule type="expression" dxfId="8744" priority="237">
      <formula>C$9&lt;8/24</formula>
    </cfRule>
  </conditionalFormatting>
  <conditionalFormatting sqref="N98:R98">
    <cfRule type="expression" dxfId="8743" priority="230">
      <formula>N$9&gt;=20/24</formula>
    </cfRule>
    <cfRule type="expression" dxfId="8742" priority="231">
      <formula>AND(N$9&gt;=14/24,N$9&lt;20/24)</formula>
    </cfRule>
    <cfRule type="expression" dxfId="8741" priority="232">
      <formula>AND(N$9&gt;=8/24,N$9&lt;14/24)</formula>
    </cfRule>
    <cfRule type="expression" dxfId="8740" priority="233">
      <formula>N$9&lt;8/24</formula>
    </cfRule>
  </conditionalFormatting>
  <conditionalFormatting sqref="S98:W98">
    <cfRule type="expression" dxfId="8739" priority="226">
      <formula>S$9&gt;=20/24</formula>
    </cfRule>
    <cfRule type="expression" dxfId="8738" priority="227">
      <formula>AND(S$9&gt;=14/24,S$9&lt;20/24)</formula>
    </cfRule>
    <cfRule type="expression" dxfId="8737" priority="228">
      <formula>AND(S$9&gt;=8/24,S$9&lt;14/24)</formula>
    </cfRule>
    <cfRule type="expression" dxfId="8736" priority="229">
      <formula>S$9&lt;8/24</formula>
    </cfRule>
  </conditionalFormatting>
  <conditionalFormatting sqref="M94:O94">
    <cfRule type="expression" dxfId="8735" priority="222">
      <formula>M$9&gt;=20/24</formula>
    </cfRule>
    <cfRule type="expression" dxfId="8734" priority="223">
      <formula>AND(M$9&gt;=14/24,M$9&lt;20/24)</formula>
    </cfRule>
    <cfRule type="expression" dxfId="8733" priority="224">
      <formula>AND(M$9&gt;=8/24,M$9&lt;14/24)</formula>
    </cfRule>
    <cfRule type="expression" dxfId="8732" priority="225">
      <formula>M$9&lt;8/24</formula>
    </cfRule>
  </conditionalFormatting>
  <conditionalFormatting sqref="G94:L94">
    <cfRule type="expression" dxfId="8731" priority="218">
      <formula>G$9&gt;=20/24</formula>
    </cfRule>
    <cfRule type="expression" dxfId="8730" priority="219">
      <formula>AND(G$9&gt;=14/24,G$9&lt;20/24)</formula>
    </cfRule>
    <cfRule type="expression" dxfId="8729" priority="220">
      <formula>AND(G$9&gt;=8/24,G$9&lt;14/24)</formula>
    </cfRule>
    <cfRule type="expression" dxfId="8728" priority="221">
      <formula>G$9&lt;8/24</formula>
    </cfRule>
  </conditionalFormatting>
  <conditionalFormatting sqref="N94:W94">
    <cfRule type="expression" dxfId="8727" priority="210">
      <formula>N$9&gt;=20/24</formula>
    </cfRule>
    <cfRule type="expression" dxfId="8726" priority="211">
      <formula>AND(N$9&gt;=14/24,N$9&lt;20/24)</formula>
    </cfRule>
    <cfRule type="expression" dxfId="8725" priority="212">
      <formula>AND(N$9&gt;=8/24,N$9&lt;14/24)</formula>
    </cfRule>
    <cfRule type="expression" dxfId="8724" priority="213">
      <formula>N$9&lt;8/24</formula>
    </cfRule>
  </conditionalFormatting>
  <conditionalFormatting sqref="C99:M99">
    <cfRule type="expression" dxfId="8723" priority="201">
      <formula>C$9&gt;=20/24</formula>
    </cfRule>
    <cfRule type="expression" dxfId="8722" priority="202">
      <formula>AND(C$9&gt;=14/24,C$9&lt;20/24)</formula>
    </cfRule>
    <cfRule type="expression" dxfId="8721" priority="203">
      <formula>AND(C$9&gt;=8/24,C$9&lt;14/24)</formula>
    </cfRule>
    <cfRule type="expression" dxfId="8720" priority="204">
      <formula>C$9&lt;8/24</formula>
    </cfRule>
  </conditionalFormatting>
  <conditionalFormatting sqref="N99:R99">
    <cfRule type="expression" dxfId="8719" priority="197">
      <formula>N$9&gt;=20/24</formula>
    </cfRule>
    <cfRule type="expression" dxfId="8718" priority="198">
      <formula>AND(N$9&gt;=14/24,N$9&lt;20/24)</formula>
    </cfRule>
    <cfRule type="expression" dxfId="8717" priority="199">
      <formula>AND(N$9&gt;=8/24,N$9&lt;14/24)</formula>
    </cfRule>
    <cfRule type="expression" dxfId="8716" priority="200">
      <formula>N$9&lt;8/24</formula>
    </cfRule>
  </conditionalFormatting>
  <conditionalFormatting sqref="S99:W99">
    <cfRule type="expression" dxfId="8715" priority="193">
      <formula>S$9&gt;=20/24</formula>
    </cfRule>
    <cfRule type="expression" dxfId="8714" priority="194">
      <formula>AND(S$9&gt;=14/24,S$9&lt;20/24)</formula>
    </cfRule>
    <cfRule type="expression" dxfId="8713" priority="195">
      <formula>AND(S$9&gt;=8/24,S$9&lt;14/24)</formula>
    </cfRule>
    <cfRule type="expression" dxfId="8712" priority="196">
      <formula>S$9&lt;8/24</formula>
    </cfRule>
  </conditionalFormatting>
  <conditionalFormatting sqref="W12:X12 X13:X16 Y12:AF16">
    <cfRule type="expression" dxfId="8711" priority="189">
      <formula>W$9&gt;=20/24</formula>
    </cfRule>
    <cfRule type="expression" dxfId="8710" priority="190">
      <formula>AND(W$9&gt;=14/24,W$9&lt;20/24)</formula>
    </cfRule>
    <cfRule type="expression" dxfId="8709" priority="191">
      <formula>AND(W$9&gt;=8/24,W$9&lt;14/24)</formula>
    </cfRule>
    <cfRule type="expression" dxfId="8708" priority="192">
      <formula>W$9&lt;8/24</formula>
    </cfRule>
  </conditionalFormatting>
  <conditionalFormatting sqref="X17:AF17">
    <cfRule type="expression" dxfId="8707" priority="185">
      <formula>X$9&gt;=20/24</formula>
    </cfRule>
    <cfRule type="expression" dxfId="8706" priority="186">
      <formula>AND(X$9&gt;=14/24,X$9&lt;20/24)</formula>
    </cfRule>
    <cfRule type="expression" dxfId="8705" priority="187">
      <formula>AND(X$9&gt;=8/24,X$9&lt;14/24)</formula>
    </cfRule>
    <cfRule type="expression" dxfId="8704" priority="188">
      <formula>X$9&lt;8/24</formula>
    </cfRule>
  </conditionalFormatting>
  <conditionalFormatting sqref="W12:X12 X13 Y12:AF13">
    <cfRule type="expression" dxfId="8703" priority="181">
      <formula>W$9&gt;=20/24</formula>
    </cfRule>
    <cfRule type="expression" dxfId="8702" priority="182">
      <formula>AND(W$9&gt;=14/24,W$9&lt;20/24)</formula>
    </cfRule>
    <cfRule type="expression" dxfId="8701" priority="183">
      <formula>AND(W$9&gt;=8/24,W$9&lt;14/24)</formula>
    </cfRule>
    <cfRule type="expression" dxfId="8700" priority="184">
      <formula>W$9&lt;8/24</formula>
    </cfRule>
  </conditionalFormatting>
  <conditionalFormatting sqref="AD58:AF59">
    <cfRule type="expression" dxfId="8699" priority="177">
      <formula>AD$9&gt;=20/24</formula>
    </cfRule>
    <cfRule type="expression" dxfId="8698" priority="178">
      <formula>AND(AD$9&gt;=14/24,AD$9&lt;20/24)</formula>
    </cfRule>
    <cfRule type="expression" dxfId="8697" priority="179">
      <formula>AND(AD$9&gt;=8/24,AD$9&lt;14/24)</formula>
    </cfRule>
    <cfRule type="expression" dxfId="8696" priority="180">
      <formula>AD$9&lt;8/24</formula>
    </cfRule>
  </conditionalFormatting>
  <conditionalFormatting sqref="AL3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695" priority="411">
      <formula>C$9&gt;=20/24</formula>
    </cfRule>
    <cfRule type="expression" dxfId="8694" priority="412">
      <formula>AND(C$9&gt;=14/24,C$9&lt;20/24)</formula>
    </cfRule>
    <cfRule type="expression" dxfId="8693" priority="413">
      <formula>AND(C$9&gt;=8/24,C$9&lt;14/24)</formula>
    </cfRule>
    <cfRule type="expression" dxfId="8692" priority="414">
      <formula>C$9&lt;8/24</formula>
    </cfRule>
  </conditionalFormatting>
  <conditionalFormatting sqref="A200">
    <cfRule type="expression" dxfId="8691" priority="415">
      <formula>$AH200=0</formula>
    </cfRule>
  </conditionalFormatting>
  <conditionalFormatting sqref="AG212">
    <cfRule type="expression" dxfId="8690" priority="417">
      <formula>B$9&gt;=20/24</formula>
    </cfRule>
    <cfRule type="expression" dxfId="8689" priority="418">
      <formula>AND(B$9&gt;=14/24,B$9&lt;20/24)</formula>
    </cfRule>
    <cfRule type="expression" dxfId="8688" priority="419">
      <formula>AND(B$9&gt;=8/24,B$9&lt;14/24)</formula>
    </cfRule>
    <cfRule type="expression" dxfId="8687" priority="420">
      <formula>B$9&lt;8/24</formula>
    </cfRule>
  </conditionalFormatting>
  <conditionalFormatting sqref="S8">
    <cfRule type="expression" dxfId="8686" priority="166">
      <formula>U$9&gt;=20/24</formula>
    </cfRule>
    <cfRule type="expression" dxfId="8685" priority="167">
      <formula>AND(U$9&gt;=14/24,U$9&lt;20/24)</formula>
    </cfRule>
    <cfRule type="expression" dxfId="8684" priority="168">
      <formula>AND(U$9&gt;=8/24,U$9&lt;14/24)</formula>
    </cfRule>
    <cfRule type="expression" dxfId="8683" priority="169">
      <formula>U$9&lt;8/24</formula>
    </cfRule>
  </conditionalFormatting>
  <conditionalFormatting sqref="AB8">
    <cfRule type="expression" dxfId="8682" priority="162">
      <formula>AD$9&gt;=20/24</formula>
    </cfRule>
    <cfRule type="expression" dxfId="8681" priority="163">
      <formula>AND(AD$9&gt;=14/24,AD$9&lt;20/24)</formula>
    </cfRule>
    <cfRule type="expression" dxfId="8680" priority="164">
      <formula>AND(AD$9&gt;=8/24,AD$9&lt;14/24)</formula>
    </cfRule>
    <cfRule type="expression" dxfId="8679" priority="165">
      <formula>AD$9&lt;8/24</formula>
    </cfRule>
  </conditionalFormatting>
  <conditionalFormatting sqref="AH212:AX212">
    <cfRule type="expression" dxfId="8678" priority="421">
      <formula>AG$9&gt;=20/24</formula>
    </cfRule>
    <cfRule type="expression" dxfId="8677" priority="422">
      <formula>AND(AG$9&gt;=14/24,AG$9&lt;20/24)</formula>
    </cfRule>
    <cfRule type="expression" dxfId="8676" priority="423">
      <formula>AND(AG$9&gt;=8/24,AG$9&lt;14/24)</formula>
    </cfRule>
    <cfRule type="expression" dxfId="8675" priority="424">
      <formula>AG$9&lt;8/24</formula>
    </cfRule>
  </conditionalFormatting>
  <conditionalFormatting sqref="T212">
    <cfRule type="expression" dxfId="8674" priority="425">
      <formula>AX$9&gt;=20/24</formula>
    </cfRule>
    <cfRule type="expression" dxfId="8673" priority="426">
      <formula>AND(AX$9&gt;=14/24,AX$9&lt;20/24)</formula>
    </cfRule>
    <cfRule type="expression" dxfId="8672" priority="427">
      <formula>AND(AX$9&gt;=8/24,AX$9&lt;14/24)</formula>
    </cfRule>
    <cfRule type="expression" dxfId="8671" priority="428">
      <formula>AX$9&lt;8/24</formula>
    </cfRule>
  </conditionalFormatting>
  <conditionalFormatting sqref="S61:S67 T63:T67">
    <cfRule type="expression" dxfId="8670" priority="1">
      <formula>S$9&gt;=20/24</formula>
    </cfRule>
    <cfRule type="expression" dxfId="8669" priority="2">
      <formula>AND(S$9&gt;=14/24,S$9&lt;20/24)</formula>
    </cfRule>
    <cfRule type="expression" dxfId="8668" priority="3">
      <formula>AND(S$9&gt;=8/24,S$9&lt;14/24)</formula>
    </cfRule>
    <cfRule type="expression" dxfId="8667" priority="4">
      <formula>S$9&lt;8/24</formula>
    </cfRule>
  </conditionalFormatting>
  <conditionalFormatting sqref="B94:B99 B53:B91 B36:L36 B18:L30 B43:M43">
    <cfRule type="expression" dxfId="8666" priority="158">
      <formula>B$9&gt;=20/24</formula>
    </cfRule>
    <cfRule type="expression" dxfId="8665" priority="159">
      <formula>AND(B$9&gt;=14/24,B$9&lt;20/24)</formula>
    </cfRule>
    <cfRule type="expression" dxfId="8664" priority="160">
      <formula>AND(B$9&gt;=8/24,B$9&lt;14/24)</formula>
    </cfRule>
    <cfRule type="expression" dxfId="8663" priority="161">
      <formula>B$9&lt;8/24</formula>
    </cfRule>
  </conditionalFormatting>
  <conditionalFormatting sqref="B37:J37">
    <cfRule type="expression" dxfId="8662" priority="154">
      <formula>B$9&gt;=20/24</formula>
    </cfRule>
    <cfRule type="expression" dxfId="8661" priority="155">
      <formula>AND(B$9&gt;=14/24,B$9&lt;20/24)</formula>
    </cfRule>
    <cfRule type="expression" dxfId="8660" priority="156">
      <formula>AND(B$9&gt;=8/24,B$9&lt;14/24)</formula>
    </cfRule>
    <cfRule type="expression" dxfId="8659" priority="157">
      <formula>B$9&lt;8/24</formula>
    </cfRule>
  </conditionalFormatting>
  <conditionalFormatting sqref="B31:L32 B35:L35">
    <cfRule type="expression" dxfId="8658" priority="150">
      <formula>B$9&gt;=20/24</formula>
    </cfRule>
    <cfRule type="expression" dxfId="8657" priority="151">
      <formula>AND(B$9&gt;=14/24,B$9&lt;20/24)</formula>
    </cfRule>
    <cfRule type="expression" dxfId="8656" priority="152">
      <formula>AND(B$9&gt;=8/24,B$9&lt;14/24)</formula>
    </cfRule>
    <cfRule type="expression" dxfId="8655" priority="153">
      <formula>B$9&lt;8/24</formula>
    </cfRule>
  </conditionalFormatting>
  <conditionalFormatting sqref="B45:O48">
    <cfRule type="expression" dxfId="8654" priority="146">
      <formula>B$9&gt;=20/24</formula>
    </cfRule>
    <cfRule type="expression" dxfId="8653" priority="147">
      <formula>AND(B$9&gt;=14/24,B$9&lt;20/24)</formula>
    </cfRule>
    <cfRule type="expression" dxfId="8652" priority="148">
      <formula>AND(B$9&gt;=8/24,B$9&lt;14/24)</formula>
    </cfRule>
    <cfRule type="expression" dxfId="8651" priority="149">
      <formula>B$9&lt;8/24</formula>
    </cfRule>
  </conditionalFormatting>
  <conditionalFormatting sqref="B49:O49">
    <cfRule type="expression" dxfId="8650" priority="142">
      <formula>B$9&gt;=20/24</formula>
    </cfRule>
    <cfRule type="expression" dxfId="8649" priority="143">
      <formula>AND(B$9&gt;=14/24,B$9&lt;20/24)</formula>
    </cfRule>
    <cfRule type="expression" dxfId="8648" priority="144">
      <formula>AND(B$9&gt;=8/24,B$9&lt;14/24)</formula>
    </cfRule>
    <cfRule type="expression" dxfId="8647" priority="145">
      <formula>B$9&lt;8/24</formula>
    </cfRule>
  </conditionalFormatting>
  <conditionalFormatting sqref="B50:O50">
    <cfRule type="expression" dxfId="8646" priority="138">
      <formula>B$9&gt;=20/24</formula>
    </cfRule>
    <cfRule type="expression" dxfId="8645" priority="139">
      <formula>AND(B$9&gt;=14/24,B$9&lt;20/24)</formula>
    </cfRule>
    <cfRule type="expression" dxfId="8644" priority="140">
      <formula>AND(B$9&gt;=8/24,B$9&lt;14/24)</formula>
    </cfRule>
    <cfRule type="expression" dxfId="8643" priority="141">
      <formula>B$9&lt;8/24</formula>
    </cfRule>
  </conditionalFormatting>
  <conditionalFormatting sqref="B34:B56 B11:G11 C34:J37 C39:J50 B18:L32 K34:L36 K42:M50 N44:O50">
    <cfRule type="expression" dxfId="8642" priority="137">
      <formula>B11&gt;$AG11</formula>
    </cfRule>
  </conditionalFormatting>
  <conditionalFormatting sqref="B34:L34">
    <cfRule type="expression" dxfId="8641" priority="133">
      <formula>B$9&gt;=20/24</formula>
    </cfRule>
    <cfRule type="expression" dxfId="8640" priority="134">
      <formula>AND(B$9&gt;=14/24,B$9&lt;20/24)</formula>
    </cfRule>
    <cfRule type="expression" dxfId="8639" priority="135">
      <formula>AND(B$9&gt;=8/24,B$9&lt;14/24)</formula>
    </cfRule>
    <cfRule type="expression" dxfId="8638" priority="136">
      <formula>B$9&lt;8/24</formula>
    </cfRule>
  </conditionalFormatting>
  <conditionalFormatting sqref="B44:O44">
    <cfRule type="expression" dxfId="8637" priority="129">
      <formula>B$9&gt;=20/24</formula>
    </cfRule>
    <cfRule type="expression" dxfId="8636" priority="130">
      <formula>AND(B$9&gt;=14/24,B$9&lt;20/24)</formula>
    </cfRule>
    <cfRule type="expression" dxfId="8635" priority="131">
      <formula>AND(B$9&gt;=8/24,B$9&lt;14/24)</formula>
    </cfRule>
    <cfRule type="expression" dxfId="8634" priority="132">
      <formula>B$9&lt;8/24</formula>
    </cfRule>
  </conditionalFormatting>
  <conditionalFormatting sqref="B12:L15 B16:W16">
    <cfRule type="expression" dxfId="8633" priority="125">
      <formula>B$9&gt;=20/24</formula>
    </cfRule>
    <cfRule type="expression" dxfId="8632" priority="126">
      <formula>AND(B$9&gt;=14/24,B$9&lt;20/24)</formula>
    </cfRule>
    <cfRule type="expression" dxfId="8631" priority="127">
      <formula>AND(B$9&gt;=8/24,B$9&lt;14/24)</formula>
    </cfRule>
    <cfRule type="expression" dxfId="8630" priority="128">
      <formula>B$9&lt;8/24</formula>
    </cfRule>
  </conditionalFormatting>
  <conditionalFormatting sqref="B17:L17">
    <cfRule type="expression" dxfId="8629" priority="121">
      <formula>B$9&gt;=20/24</formula>
    </cfRule>
    <cfRule type="expression" dxfId="8628" priority="122">
      <formula>AND(B$9&gt;=14/24,B$9&lt;20/24)</formula>
    </cfRule>
    <cfRule type="expression" dxfId="8627" priority="123">
      <formula>AND(B$9&gt;=8/24,B$9&lt;14/24)</formula>
    </cfRule>
    <cfRule type="expression" dxfId="8626" priority="124">
      <formula>B$9&lt;8/24</formula>
    </cfRule>
  </conditionalFormatting>
  <conditionalFormatting sqref="B12:L13">
    <cfRule type="expression" dxfId="8625" priority="117">
      <formula>B$9&gt;=20/24</formula>
    </cfRule>
    <cfRule type="expression" dxfId="8624" priority="118">
      <formula>AND(B$9&gt;=14/24,B$9&lt;20/24)</formula>
    </cfRule>
    <cfRule type="expression" dxfId="8623" priority="119">
      <formula>AND(B$9&gt;=8/24,B$9&lt;14/24)</formula>
    </cfRule>
    <cfRule type="expression" dxfId="8622" priority="120">
      <formula>B$9&lt;8/24</formula>
    </cfRule>
  </conditionalFormatting>
  <conditionalFormatting sqref="A99">
    <cfRule type="expression" dxfId="8621" priority="111">
      <formula>$AH99=0</formula>
    </cfRule>
  </conditionalFormatting>
  <conditionalFormatting sqref="J99">
    <cfRule type="expression" dxfId="8620" priority="107">
      <formula>J$9&gt;=20/24</formula>
    </cfRule>
    <cfRule type="expression" dxfId="8619" priority="108">
      <formula>AND(J$9&gt;=14/24,J$9&lt;20/24)</formula>
    </cfRule>
    <cfRule type="expression" dxfId="8618" priority="109">
      <formula>AND(J$9&gt;=8/24,J$9&lt;14/24)</formula>
    </cfRule>
    <cfRule type="expression" dxfId="8617" priority="110">
      <formula>J$9&lt;8/24</formula>
    </cfRule>
  </conditionalFormatting>
  <conditionalFormatting sqref="M41">
    <cfRule type="expression" dxfId="8616" priority="103">
      <formula>M$9&gt;=20/24</formula>
    </cfRule>
    <cfRule type="expression" dxfId="8615" priority="104">
      <formula>AND(M$9&gt;=14/24,M$9&lt;20/24)</formula>
    </cfRule>
    <cfRule type="expression" dxfId="8614" priority="105">
      <formula>AND(M$9&gt;=8/24,M$9&lt;14/24)</formula>
    </cfRule>
    <cfRule type="expression" dxfId="8613" priority="106">
      <formula>M$9&lt;8/24</formula>
    </cfRule>
  </conditionalFormatting>
  <conditionalFormatting sqref="P12:P14 P17:R32 P37:R37 P36:W36">
    <cfRule type="expression" dxfId="8612" priority="99">
      <formula>P$9&gt;=20/24</formula>
    </cfRule>
    <cfRule type="expression" dxfId="8611" priority="100">
      <formula>AND(P$9&gt;=14/24,P$9&lt;20/24)</formula>
    </cfRule>
    <cfRule type="expression" dxfId="8610" priority="101">
      <formula>AND(P$9&gt;=8/24,P$9&lt;14/24)</formula>
    </cfRule>
    <cfRule type="expression" dxfId="8609" priority="102">
      <formula>P$9&lt;8/24</formula>
    </cfRule>
  </conditionalFormatting>
  <conditionalFormatting sqref="P35:R35">
    <cfRule type="expression" dxfId="8608" priority="95">
      <formula>P$9&gt;=20/24</formula>
    </cfRule>
    <cfRule type="expression" dxfId="8607" priority="96">
      <formula>AND(P$9&gt;=14/24,P$9&lt;20/24)</formula>
    </cfRule>
    <cfRule type="expression" dxfId="8606" priority="97">
      <formula>AND(P$9&gt;=8/24,P$9&lt;14/24)</formula>
    </cfRule>
    <cfRule type="expression" dxfId="8605" priority="98">
      <formula>P$9&lt;8/24</formula>
    </cfRule>
  </conditionalFormatting>
  <conditionalFormatting sqref="P12:P14 P17:R32 P34:R35 P37:R37 P36:W36">
    <cfRule type="expression" dxfId="8604" priority="94">
      <formula>P12&gt;$AG12</formula>
    </cfRule>
  </conditionalFormatting>
  <conditionalFormatting sqref="P34:R34">
    <cfRule type="expression" dxfId="8603" priority="90">
      <formula>P$9&gt;=20/24</formula>
    </cfRule>
    <cfRule type="expression" dxfId="8602" priority="91">
      <formula>AND(P$9&gt;=14/24,P$9&lt;20/24)</formula>
    </cfRule>
    <cfRule type="expression" dxfId="8601" priority="92">
      <formula>AND(P$9&gt;=8/24,P$9&lt;14/24)</formula>
    </cfRule>
    <cfRule type="expression" dxfId="8600" priority="93">
      <formula>P$9&lt;8/24</formula>
    </cfRule>
  </conditionalFormatting>
  <conditionalFormatting sqref="P15">
    <cfRule type="expression" dxfId="8599" priority="86">
      <formula>P$9&gt;=20/24</formula>
    </cfRule>
    <cfRule type="expression" dxfId="8598" priority="87">
      <formula>AND(P$9&gt;=14/24,P$9&lt;20/24)</formula>
    </cfRule>
    <cfRule type="expression" dxfId="8597" priority="88">
      <formula>AND(P$9&gt;=8/24,P$9&lt;14/24)</formula>
    </cfRule>
    <cfRule type="expression" dxfId="8596" priority="89">
      <formula>P$9&lt;8/24</formula>
    </cfRule>
  </conditionalFormatting>
  <conditionalFormatting sqref="P15">
    <cfRule type="expression" dxfId="8595" priority="85">
      <formula>P15&gt;$AG15</formula>
    </cfRule>
  </conditionalFormatting>
  <conditionalFormatting sqref="P46:R48">
    <cfRule type="expression" dxfId="8594" priority="76">
      <formula>P$9&gt;=20/24</formula>
    </cfRule>
    <cfRule type="expression" dxfId="8593" priority="77">
      <formula>AND(P$9&gt;=14/24,P$9&lt;20/24)</formula>
    </cfRule>
    <cfRule type="expression" dxfId="8592" priority="78">
      <formula>AND(P$9&gt;=8/24,P$9&lt;14/24)</formula>
    </cfRule>
    <cfRule type="expression" dxfId="8591" priority="79">
      <formula>P$9&lt;8/24</formula>
    </cfRule>
  </conditionalFormatting>
  <conditionalFormatting sqref="P49:R49">
    <cfRule type="expression" dxfId="8590" priority="72">
      <formula>P$9&gt;=20/24</formula>
    </cfRule>
    <cfRule type="expression" dxfId="8589" priority="73">
      <formula>AND(P$9&gt;=14/24,P$9&lt;20/24)</formula>
    </cfRule>
    <cfRule type="expression" dxfId="8588" priority="74">
      <formula>AND(P$9&gt;=8/24,P$9&lt;14/24)</formula>
    </cfRule>
    <cfRule type="expression" dxfId="8587" priority="75">
      <formula>P$9&lt;8/24</formula>
    </cfRule>
  </conditionalFormatting>
  <conditionalFormatting sqref="P50:R50">
    <cfRule type="expression" dxfId="8586" priority="68">
      <formula>P$9&gt;=20/24</formula>
    </cfRule>
    <cfRule type="expression" dxfId="8585" priority="69">
      <formula>AND(P$9&gt;=14/24,P$9&lt;20/24)</formula>
    </cfRule>
    <cfRule type="expression" dxfId="8584" priority="70">
      <formula>AND(P$9&gt;=8/24,P$9&lt;14/24)</formula>
    </cfRule>
    <cfRule type="expression" dxfId="8583" priority="71">
      <formula>P$9&lt;8/24</formula>
    </cfRule>
  </conditionalFormatting>
  <conditionalFormatting sqref="P46:R50">
    <cfRule type="expression" dxfId="8582" priority="67">
      <formula>P46&gt;$AG46</formula>
    </cfRule>
  </conditionalFormatting>
  <conditionalFormatting sqref="P58:P61">
    <cfRule type="expression" dxfId="8581" priority="63">
      <formula>P$9&gt;=20/24</formula>
    </cfRule>
    <cfRule type="expression" dxfId="8580" priority="64">
      <formula>AND(P$9&gt;=14/24,P$9&lt;20/24)</formula>
    </cfRule>
    <cfRule type="expression" dxfId="8579" priority="65">
      <formula>AND(P$9&gt;=8/24,P$9&lt;14/24)</formula>
    </cfRule>
    <cfRule type="expression" dxfId="8578" priority="66">
      <formula>P$9&lt;8/24</formula>
    </cfRule>
  </conditionalFormatting>
  <conditionalFormatting sqref="P57">
    <cfRule type="expression" dxfId="8577" priority="59">
      <formula>P$9&gt;=20/24</formula>
    </cfRule>
    <cfRule type="expression" dxfId="8576" priority="60">
      <formula>AND(P$9&gt;=14/24,P$9&lt;20/24)</formula>
    </cfRule>
    <cfRule type="expression" dxfId="8575" priority="61">
      <formula>AND(P$9&gt;=8/24,P$9&lt;14/24)</formula>
    </cfRule>
    <cfRule type="expression" dxfId="8574" priority="62">
      <formula>P$9&lt;8/24</formula>
    </cfRule>
  </conditionalFormatting>
  <conditionalFormatting sqref="P62:P67">
    <cfRule type="expression" dxfId="8573" priority="55">
      <formula>P$9&gt;=20/24</formula>
    </cfRule>
    <cfRule type="expression" dxfId="8572" priority="56">
      <formula>AND(P$9&gt;=14/24,P$9&lt;20/24)</formula>
    </cfRule>
    <cfRule type="expression" dxfId="8571" priority="57">
      <formula>AND(P$9&gt;=8/24,P$9&lt;14/24)</formula>
    </cfRule>
    <cfRule type="expression" dxfId="8570" priority="58">
      <formula>P$9&lt;8/24</formula>
    </cfRule>
  </conditionalFormatting>
  <conditionalFormatting sqref="S12:V14 W13:W14">
    <cfRule type="expression" dxfId="8569" priority="51">
      <formula>S$9&gt;=20/24</formula>
    </cfRule>
    <cfRule type="expression" dxfId="8568" priority="52">
      <formula>AND(S$9&gt;=14/24,S$9&lt;20/24)</formula>
    </cfRule>
    <cfRule type="expression" dxfId="8567" priority="53">
      <formula>AND(S$9&gt;=8/24,S$9&lt;14/24)</formula>
    </cfRule>
    <cfRule type="expression" dxfId="8566" priority="54">
      <formula>S$9&lt;8/24</formula>
    </cfRule>
  </conditionalFormatting>
  <conditionalFormatting sqref="S12:V14 W13:W14">
    <cfRule type="expression" dxfId="8565" priority="50">
      <formula>S12&gt;$AG12</formula>
    </cfRule>
  </conditionalFormatting>
  <conditionalFormatting sqref="S15:W15">
    <cfRule type="expression" dxfId="8564" priority="46">
      <formula>S$9&gt;=20/24</formula>
    </cfRule>
    <cfRule type="expression" dxfId="8563" priority="47">
      <formula>AND(S$9&gt;=14/24,S$9&lt;20/24)</formula>
    </cfRule>
    <cfRule type="expression" dxfId="8562" priority="48">
      <formula>AND(S$9&gt;=8/24,S$9&lt;14/24)</formula>
    </cfRule>
    <cfRule type="expression" dxfId="8561" priority="49">
      <formula>S$9&lt;8/24</formula>
    </cfRule>
  </conditionalFormatting>
  <conditionalFormatting sqref="S15:W15">
    <cfRule type="expression" dxfId="8560" priority="45">
      <formula>S15&gt;$AG15</formula>
    </cfRule>
  </conditionalFormatting>
  <conditionalFormatting sqref="S37:V37 S17:W32">
    <cfRule type="expression" dxfId="8559" priority="41">
      <formula>S$9&gt;=20/24</formula>
    </cfRule>
    <cfRule type="expression" dxfId="8558" priority="42">
      <formula>AND(S$9&gt;=14/24,S$9&lt;20/24)</formula>
    </cfRule>
    <cfRule type="expression" dxfId="8557" priority="43">
      <formula>AND(S$9&gt;=8/24,S$9&lt;14/24)</formula>
    </cfRule>
    <cfRule type="expression" dxfId="8556" priority="44">
      <formula>S$9&lt;8/24</formula>
    </cfRule>
  </conditionalFormatting>
  <conditionalFormatting sqref="S35:W35">
    <cfRule type="expression" dxfId="8555" priority="37">
      <formula>S$9&gt;=20/24</formula>
    </cfRule>
    <cfRule type="expression" dxfId="8554" priority="38">
      <formula>AND(S$9&gt;=14/24,S$9&lt;20/24)</formula>
    </cfRule>
    <cfRule type="expression" dxfId="8553" priority="39">
      <formula>AND(S$9&gt;=8/24,S$9&lt;14/24)</formula>
    </cfRule>
    <cfRule type="expression" dxfId="8552" priority="40">
      <formula>S$9&lt;8/24</formula>
    </cfRule>
  </conditionalFormatting>
  <conditionalFormatting sqref="S37:V37 S17:W32 S34:W35">
    <cfRule type="expression" dxfId="8551" priority="36">
      <formula>S17&gt;$AG17</formula>
    </cfRule>
  </conditionalFormatting>
  <conditionalFormatting sqref="S34:W34">
    <cfRule type="expression" dxfId="8550" priority="32">
      <formula>S$9&gt;=20/24</formula>
    </cfRule>
    <cfRule type="expression" dxfId="8549" priority="33">
      <formula>AND(S$9&gt;=14/24,S$9&lt;20/24)</formula>
    </cfRule>
    <cfRule type="expression" dxfId="8548" priority="34">
      <formula>AND(S$9&gt;=8/24,S$9&lt;14/24)</formula>
    </cfRule>
    <cfRule type="expression" dxfId="8547" priority="35">
      <formula>S$9&lt;8/24</formula>
    </cfRule>
  </conditionalFormatting>
  <conditionalFormatting sqref="S45">
    <cfRule type="expression" dxfId="8546" priority="23">
      <formula>S$9&gt;=20/24</formula>
    </cfRule>
    <cfRule type="expression" dxfId="8545" priority="24">
      <formula>AND(S$9&gt;=14/24,S$9&lt;20/24)</formula>
    </cfRule>
    <cfRule type="expression" dxfId="8544" priority="25">
      <formula>AND(S$9&gt;=8/24,S$9&lt;14/24)</formula>
    </cfRule>
    <cfRule type="expression" dxfId="8543" priority="26">
      <formula>S$9&lt;8/24</formula>
    </cfRule>
  </conditionalFormatting>
  <conditionalFormatting sqref="S45">
    <cfRule type="expression" dxfId="8542" priority="19">
      <formula>S$9&gt;=20/24</formula>
    </cfRule>
    <cfRule type="expression" dxfId="8541" priority="20">
      <formula>AND(S$9&gt;=14/24,S$9&lt;20/24)</formula>
    </cfRule>
    <cfRule type="expression" dxfId="8540" priority="21">
      <formula>AND(S$9&gt;=8/24,S$9&lt;14/24)</formula>
    </cfRule>
    <cfRule type="expression" dxfId="8539" priority="22">
      <formula>S$9&lt;8/24</formula>
    </cfRule>
  </conditionalFormatting>
  <conditionalFormatting sqref="S45">
    <cfRule type="expression" dxfId="8538" priority="18">
      <formula>S45&gt;$AG45</formula>
    </cfRule>
  </conditionalFormatting>
  <conditionalFormatting sqref="S46:S48">
    <cfRule type="expression" dxfId="8537" priority="14">
      <formula>S$9&gt;=20/24</formula>
    </cfRule>
    <cfRule type="expression" dxfId="8536" priority="15">
      <formula>AND(S$9&gt;=14/24,S$9&lt;20/24)</formula>
    </cfRule>
    <cfRule type="expression" dxfId="8535" priority="16">
      <formula>AND(S$9&gt;=8/24,S$9&lt;14/24)</formula>
    </cfRule>
    <cfRule type="expression" dxfId="8534" priority="17">
      <formula>S$9&lt;8/24</formula>
    </cfRule>
  </conditionalFormatting>
  <conditionalFormatting sqref="S49">
    <cfRule type="expression" dxfId="8533" priority="10">
      <formula>S$9&gt;=20/24</formula>
    </cfRule>
    <cfRule type="expression" dxfId="8532" priority="11">
      <formula>AND(S$9&gt;=14/24,S$9&lt;20/24)</formula>
    </cfRule>
    <cfRule type="expression" dxfId="8531" priority="12">
      <formula>AND(S$9&gt;=8/24,S$9&lt;14/24)</formula>
    </cfRule>
    <cfRule type="expression" dxfId="8530" priority="13">
      <formula>S$9&lt;8/24</formula>
    </cfRule>
  </conditionalFormatting>
  <conditionalFormatting sqref="S50">
    <cfRule type="expression" dxfId="8529" priority="6">
      <formula>S$9&gt;=20/24</formula>
    </cfRule>
    <cfRule type="expression" dxfId="8528" priority="7">
      <formula>AND(S$9&gt;=14/24,S$9&lt;20/24)</formula>
    </cfRule>
    <cfRule type="expression" dxfId="8527" priority="8">
      <formula>AND(S$9&gt;=8/24,S$9&lt;14/24)</formula>
    </cfRule>
    <cfRule type="expression" dxfId="8526" priority="9">
      <formula>S$9&lt;8/24</formula>
    </cfRule>
  </conditionalFormatting>
  <conditionalFormatting sqref="S46:S50">
    <cfRule type="expression" dxfId="8525" priority="5">
      <formula>S46&gt;$AG46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3" id="{FD99AF2C-4149-4248-91CC-CEA3A41577B0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4" id="{B7606114-4E7E-4042-AEC4-C66F85D16A33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5" id="{478D7AA2-10BE-4152-A9C7-8A91737CE256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6" id="{7A90B685-D7A3-4397-BA56-A81D53E566D2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X33:AF33</xm:sqref>
        </x14:conditionalFormatting>
        <x14:conditionalFormatting xmlns:xm="http://schemas.microsoft.com/office/excel/2006/main">
          <x14:cfRule type="expression" priority="172" id="{BEE35EF4-DD23-4D2A-87FB-186A429C78AF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X33:AF33</xm:sqref>
        </x14:conditionalFormatting>
        <x14:conditionalFormatting xmlns:xm="http://schemas.microsoft.com/office/excel/2006/main">
          <x14:cfRule type="expression" priority="171" id="{E1BA4BFF-FE0D-47FE-838D-25790211AF9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113" id="{289956CF-7339-4117-8668-1CEEB3799B7F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4" id="{C1AD6FE3-37AF-4006-965E-6DAEED7A0969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5" id="{811CCDA9-8E44-4FF1-967A-6CDB29A3F366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6" id="{5BAEA9E5-11CE-480A-91ED-25D007C18E91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B33:R33</xm:sqref>
        </x14:conditionalFormatting>
        <x14:conditionalFormatting xmlns:xm="http://schemas.microsoft.com/office/excel/2006/main">
          <x14:cfRule type="expression" priority="112" id="{4A225C53-F7B3-485E-BC83-D73F5842F47A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B33:R33</xm:sqref>
        </x14:conditionalFormatting>
        <x14:conditionalFormatting xmlns:xm="http://schemas.microsoft.com/office/excel/2006/main">
          <x14:cfRule type="expression" priority="28" id="{697FBAC0-4492-413C-8212-B6AAE28CF21D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A2C1E816-3D1D-4C84-901C-E507C075A936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1BC7F947-651C-43F9-99F2-7CACC1035D81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" id="{7DB4737E-F2D1-4CBC-8326-DD68547B599D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S33:W33</xm:sqref>
        </x14:conditionalFormatting>
        <x14:conditionalFormatting xmlns:xm="http://schemas.microsoft.com/office/excel/2006/main">
          <x14:cfRule type="expression" priority="27" id="{8D205C4D-F1E7-484F-A1A1-601B8D38E520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S33:W33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55" sqref="W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7.42578125" customWidth="1"/>
    <col min="12" max="12" width="8" customWidth="1"/>
    <col min="13" max="13" width="6.425781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4" width="12.5703125" bestFit="1" customWidth="1"/>
    <col min="35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2078/08/3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121.7</v>
      </c>
      <c r="C5" s="32">
        <f t="shared" si="0"/>
        <v>127.42</v>
      </c>
      <c r="D5" s="32">
        <f t="shared" si="0"/>
        <v>139.30000000000001</v>
      </c>
      <c r="E5" s="32">
        <f t="shared" si="0"/>
        <v>151.1</v>
      </c>
      <c r="F5" s="32">
        <f t="shared" si="0"/>
        <v>156.19999999999999</v>
      </c>
      <c r="G5" s="32">
        <f t="shared" si="0"/>
        <v>188.4</v>
      </c>
      <c r="H5" s="32">
        <f t="shared" si="0"/>
        <v>219.89999999999998</v>
      </c>
      <c r="I5" s="32">
        <f t="shared" si="0"/>
        <v>246.7</v>
      </c>
      <c r="J5" s="32">
        <f t="shared" si="0"/>
        <v>177</v>
      </c>
      <c r="K5" s="32">
        <f t="shared" si="0"/>
        <v>85.2</v>
      </c>
      <c r="L5" s="32">
        <f t="shared" si="0"/>
        <v>176.6</v>
      </c>
      <c r="M5" s="32">
        <f t="shared" si="0"/>
        <v>130.69999999999999</v>
      </c>
      <c r="N5" s="32">
        <f t="shared" si="0"/>
        <v>139.4</v>
      </c>
      <c r="O5" s="32">
        <f t="shared" si="0"/>
        <v>131</v>
      </c>
      <c r="P5" s="32">
        <f t="shared" si="0"/>
        <v>157.1</v>
      </c>
      <c r="Q5" s="32">
        <f t="shared" si="0"/>
        <v>116</v>
      </c>
      <c r="R5" s="32">
        <f t="shared" si="0"/>
        <v>110</v>
      </c>
      <c r="S5" s="32">
        <f t="shared" si="0"/>
        <v>138</v>
      </c>
      <c r="T5" s="32">
        <f t="shared" si="0"/>
        <v>168</v>
      </c>
      <c r="U5" s="32">
        <f t="shared" si="0"/>
        <v>83.9</v>
      </c>
      <c r="V5" s="32">
        <f t="shared" si="0"/>
        <v>96.6</v>
      </c>
      <c r="W5" s="32">
        <f t="shared" si="0"/>
        <v>84.8</v>
      </c>
      <c r="X5" s="32">
        <f t="shared" si="0"/>
        <v>97</v>
      </c>
      <c r="Y5" s="32">
        <f t="shared" si="0"/>
        <v>74</v>
      </c>
      <c r="Z5" s="32">
        <f t="shared" si="0"/>
        <v>10</v>
      </c>
      <c r="AA5" s="32">
        <f t="shared" si="0"/>
        <v>16</v>
      </c>
      <c r="AB5" s="32">
        <f t="shared" si="0"/>
        <v>-6.4</v>
      </c>
      <c r="AC5" s="32">
        <f t="shared" si="0"/>
        <v>30</v>
      </c>
      <c r="AD5" s="32">
        <f t="shared" si="0"/>
        <v>24</v>
      </c>
      <c r="AE5" s="32">
        <f t="shared" si="0"/>
        <v>20</v>
      </c>
      <c r="AF5" s="32">
        <f>B68</f>
        <v>130.5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 t="s">
        <v>230</v>
      </c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1375MW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Load=853</v>
      </c>
      <c r="B7" s="37">
        <f>B75</f>
        <v>906.83999999999992</v>
      </c>
      <c r="C7" s="37">
        <f t="shared" ref="C7:AF7" si="1">C75</f>
        <v>863.68</v>
      </c>
      <c r="D7" s="37">
        <f t="shared" si="1"/>
        <v>858.15999999999985</v>
      </c>
      <c r="E7" s="37">
        <f t="shared" si="1"/>
        <v>853.33999999999992</v>
      </c>
      <c r="F7" s="37">
        <f t="shared" si="1"/>
        <v>871.33999999999992</v>
      </c>
      <c r="G7" s="37">
        <f t="shared" si="1"/>
        <v>928.64</v>
      </c>
      <c r="H7" s="37">
        <f t="shared" si="1"/>
        <v>982.83999999999992</v>
      </c>
      <c r="I7" s="37">
        <f t="shared" si="1"/>
        <v>1083.6399999999999</v>
      </c>
      <c r="J7" s="37">
        <f t="shared" si="1"/>
        <v>1170.4399999999998</v>
      </c>
      <c r="K7" s="37">
        <f t="shared" si="1"/>
        <v>1235.1399999999999</v>
      </c>
      <c r="L7" s="37">
        <f t="shared" si="1"/>
        <v>1288.74</v>
      </c>
      <c r="M7" s="37">
        <f t="shared" si="1"/>
        <v>1375.44</v>
      </c>
      <c r="N7" s="37">
        <f t="shared" si="1"/>
        <v>1343.74</v>
      </c>
      <c r="O7" s="37">
        <f t="shared" si="1"/>
        <v>1268.74</v>
      </c>
      <c r="P7" s="37">
        <f t="shared" si="1"/>
        <v>1179.74</v>
      </c>
      <c r="Q7" s="37">
        <f t="shared" si="1"/>
        <v>1125.6399999999999</v>
      </c>
      <c r="R7" s="37">
        <f t="shared" si="1"/>
        <v>1092.44</v>
      </c>
      <c r="S7" s="37">
        <f t="shared" si="1"/>
        <v>1039.1400000000001</v>
      </c>
      <c r="T7" s="37">
        <f t="shared" si="1"/>
        <v>1097.54</v>
      </c>
      <c r="U7" s="37">
        <f t="shared" si="1"/>
        <v>1093.44</v>
      </c>
      <c r="V7" s="37">
        <f t="shared" si="1"/>
        <v>1182.24</v>
      </c>
      <c r="W7" s="37">
        <f t="shared" si="1"/>
        <v>1309.74</v>
      </c>
      <c r="X7" s="37">
        <f t="shared" si="1"/>
        <v>1475.8400000000001</v>
      </c>
      <c r="Y7" s="37">
        <f t="shared" si="1"/>
        <v>1441.8400000000001</v>
      </c>
      <c r="Z7" s="37">
        <f t="shared" si="1"/>
        <v>1374.24</v>
      </c>
      <c r="AA7" s="37">
        <f t="shared" si="1"/>
        <v>1254.1400000000001</v>
      </c>
      <c r="AB7" s="37">
        <f t="shared" si="1"/>
        <v>1298.24</v>
      </c>
      <c r="AC7" s="37">
        <f t="shared" si="1"/>
        <v>1144.44</v>
      </c>
      <c r="AD7" s="37">
        <f t="shared" si="1"/>
        <v>1063.04</v>
      </c>
      <c r="AE7" s="37">
        <f t="shared" si="1"/>
        <v>938.74</v>
      </c>
      <c r="AF7" s="37">
        <f t="shared" si="1"/>
        <v>875.94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10</v>
      </c>
      <c r="D11" s="49">
        <v>10</v>
      </c>
      <c r="E11" s="49">
        <v>10</v>
      </c>
      <c r="F11" s="49">
        <v>10</v>
      </c>
      <c r="G11" s="49">
        <v>20</v>
      </c>
      <c r="H11" s="49">
        <v>29.1</v>
      </c>
      <c r="I11" s="49">
        <v>60</v>
      </c>
      <c r="J11" s="49">
        <v>92.9</v>
      </c>
      <c r="K11" s="49">
        <v>150</v>
      </c>
      <c r="L11" s="49">
        <v>252</v>
      </c>
      <c r="M11" s="50">
        <v>230</v>
      </c>
      <c r="N11" s="50">
        <v>227</v>
      </c>
      <c r="O11" s="50">
        <v>125</v>
      </c>
      <c r="P11" s="50">
        <v>135</v>
      </c>
      <c r="Q11" s="50">
        <v>135</v>
      </c>
      <c r="R11" s="51">
        <v>140</v>
      </c>
      <c r="S11" s="50">
        <v>92.5</v>
      </c>
      <c r="T11" s="50">
        <v>142</v>
      </c>
      <c r="U11" s="50">
        <v>100</v>
      </c>
      <c r="V11" s="50">
        <v>262</v>
      </c>
      <c r="W11" s="50">
        <v>280</v>
      </c>
      <c r="X11" s="50">
        <v>375</v>
      </c>
      <c r="Y11" s="50">
        <v>360</v>
      </c>
      <c r="Z11" s="52">
        <v>330</v>
      </c>
      <c r="AA11" s="50">
        <v>280</v>
      </c>
      <c r="AB11" s="50">
        <v>360</v>
      </c>
      <c r="AC11" s="50">
        <v>300</v>
      </c>
      <c r="AD11" s="50">
        <v>200</v>
      </c>
      <c r="AE11" s="50">
        <v>130</v>
      </c>
      <c r="AF11" s="50">
        <v>100</v>
      </c>
      <c r="AG11" s="53">
        <v>456</v>
      </c>
      <c r="AH11" s="54">
        <f>MAX(B11:AF11)</f>
        <v>375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55</v>
      </c>
      <c r="C12" s="49">
        <v>55</v>
      </c>
      <c r="D12" s="49">
        <v>55</v>
      </c>
      <c r="E12" s="49">
        <v>55</v>
      </c>
      <c r="F12" s="49">
        <v>55</v>
      </c>
      <c r="G12" s="49">
        <v>55</v>
      </c>
      <c r="H12" s="49">
        <v>55</v>
      </c>
      <c r="I12" s="49">
        <v>55</v>
      </c>
      <c r="J12" s="49">
        <v>55</v>
      </c>
      <c r="K12" s="49">
        <v>55</v>
      </c>
      <c r="L12" s="49">
        <v>55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58">
        <v>50</v>
      </c>
      <c r="T12" s="58">
        <v>50</v>
      </c>
      <c r="U12" s="58">
        <v>50</v>
      </c>
      <c r="V12" s="58">
        <v>50</v>
      </c>
      <c r="W12" s="58">
        <v>50</v>
      </c>
      <c r="X12" s="58">
        <v>50</v>
      </c>
      <c r="Y12" s="58">
        <v>50</v>
      </c>
      <c r="Z12" s="58">
        <v>50</v>
      </c>
      <c r="AA12" s="50">
        <v>50</v>
      </c>
      <c r="AB12" s="50">
        <v>50</v>
      </c>
      <c r="AC12" s="50">
        <v>50</v>
      </c>
      <c r="AD12" s="50">
        <v>50</v>
      </c>
      <c r="AE12" s="50">
        <v>50</v>
      </c>
      <c r="AF12" s="50">
        <v>50</v>
      </c>
      <c r="AG12" s="59">
        <v>60</v>
      </c>
      <c r="AH12" s="54">
        <f t="shared" ref="AH12:AH75" si="2">MAX(B12:AF12)</f>
        <v>55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28.2</v>
      </c>
      <c r="C13" s="49">
        <v>28.2</v>
      </c>
      <c r="D13" s="49">
        <v>28.2</v>
      </c>
      <c r="E13" s="49">
        <v>28.2</v>
      </c>
      <c r="F13" s="49">
        <v>28.2</v>
      </c>
      <c r="G13" s="49">
        <v>28.2</v>
      </c>
      <c r="H13" s="49">
        <v>28.2</v>
      </c>
      <c r="I13" s="49">
        <v>28.2</v>
      </c>
      <c r="J13" s="49">
        <v>28.2</v>
      </c>
      <c r="K13" s="49">
        <v>28.2</v>
      </c>
      <c r="L13" s="49">
        <v>28.2</v>
      </c>
      <c r="M13" s="49">
        <v>28.2</v>
      </c>
      <c r="N13" s="49">
        <v>28.2</v>
      </c>
      <c r="O13" s="49">
        <v>28.2</v>
      </c>
      <c r="P13" s="49">
        <v>28.2</v>
      </c>
      <c r="Q13" s="49">
        <v>28.2</v>
      </c>
      <c r="R13" s="49">
        <v>28.2</v>
      </c>
      <c r="S13" s="58">
        <v>28.2</v>
      </c>
      <c r="T13" s="58">
        <v>28.2</v>
      </c>
      <c r="U13" s="58">
        <v>28.2</v>
      </c>
      <c r="V13" s="58">
        <v>28.2</v>
      </c>
      <c r="W13" s="58">
        <v>28.2</v>
      </c>
      <c r="X13" s="58">
        <v>28.2</v>
      </c>
      <c r="Y13" s="58">
        <v>28.2</v>
      </c>
      <c r="Z13" s="58">
        <v>28.2</v>
      </c>
      <c r="AA13" s="50">
        <v>28.2</v>
      </c>
      <c r="AB13" s="50">
        <v>28.2</v>
      </c>
      <c r="AC13" s="50">
        <v>28.2</v>
      </c>
      <c r="AD13" s="50">
        <v>28.2</v>
      </c>
      <c r="AE13" s="50">
        <v>28.2</v>
      </c>
      <c r="AF13" s="50">
        <v>28.2</v>
      </c>
      <c r="AG13" s="59">
        <v>52.4</v>
      </c>
      <c r="AH13" s="54">
        <f t="shared" si="2"/>
        <v>28.2</v>
      </c>
      <c r="AI13" s="55">
        <f t="shared" si="3"/>
        <v>28.2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</v>
      </c>
      <c r="C14" s="49">
        <v>50</v>
      </c>
      <c r="D14" s="49">
        <v>50</v>
      </c>
      <c r="E14" s="49">
        <v>50</v>
      </c>
      <c r="F14" s="49">
        <v>50</v>
      </c>
      <c r="G14" s="49">
        <v>50</v>
      </c>
      <c r="H14" s="49">
        <v>50</v>
      </c>
      <c r="I14" s="49">
        <v>50</v>
      </c>
      <c r="J14" s="49">
        <v>50</v>
      </c>
      <c r="K14" s="49">
        <v>50</v>
      </c>
      <c r="L14" s="49">
        <v>50</v>
      </c>
      <c r="M14" s="50">
        <v>50</v>
      </c>
      <c r="N14" s="50">
        <v>50</v>
      </c>
      <c r="O14" s="50">
        <v>50</v>
      </c>
      <c r="P14" s="50">
        <v>50</v>
      </c>
      <c r="Q14" s="50">
        <v>50</v>
      </c>
      <c r="R14" s="50">
        <v>50</v>
      </c>
      <c r="S14" s="60">
        <v>50</v>
      </c>
      <c r="T14" s="60">
        <v>50</v>
      </c>
      <c r="U14" s="60">
        <v>50</v>
      </c>
      <c r="V14" s="60">
        <v>50</v>
      </c>
      <c r="W14" s="60">
        <v>50</v>
      </c>
      <c r="X14" s="60">
        <v>50</v>
      </c>
      <c r="Y14" s="60">
        <v>50</v>
      </c>
      <c r="Z14" s="60">
        <v>50</v>
      </c>
      <c r="AA14" s="60">
        <v>50</v>
      </c>
      <c r="AB14" s="60">
        <v>50</v>
      </c>
      <c r="AC14" s="60">
        <v>50</v>
      </c>
      <c r="AD14" s="60">
        <v>50</v>
      </c>
      <c r="AE14" s="60">
        <v>50</v>
      </c>
      <c r="AF14" s="60">
        <v>50</v>
      </c>
      <c r="AG14" s="59">
        <v>50</v>
      </c>
      <c r="AH14" s="54">
        <f t="shared" si="2"/>
        <v>50</v>
      </c>
      <c r="AI14" s="55">
        <f t="shared" si="3"/>
        <v>50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27.8</v>
      </c>
      <c r="C15" s="61">
        <v>27.8</v>
      </c>
      <c r="D15" s="61">
        <v>27.8</v>
      </c>
      <c r="E15" s="61">
        <v>27.8</v>
      </c>
      <c r="F15" s="61">
        <v>27.8</v>
      </c>
      <c r="G15" s="61">
        <v>27.8</v>
      </c>
      <c r="H15" s="61">
        <v>27.8</v>
      </c>
      <c r="I15" s="61">
        <v>27.8</v>
      </c>
      <c r="J15" s="61">
        <v>27.8</v>
      </c>
      <c r="K15" s="61">
        <v>27.8</v>
      </c>
      <c r="L15" s="61">
        <v>27.8</v>
      </c>
      <c r="M15" s="50">
        <v>27.8</v>
      </c>
      <c r="N15" s="50">
        <v>27.8</v>
      </c>
      <c r="O15" s="50">
        <v>27.8</v>
      </c>
      <c r="P15" s="50">
        <v>27.8</v>
      </c>
      <c r="Q15" s="50">
        <v>27.8</v>
      </c>
      <c r="R15" s="50">
        <v>27.8</v>
      </c>
      <c r="S15" s="60">
        <v>27.8</v>
      </c>
      <c r="T15" s="60">
        <v>27.8</v>
      </c>
      <c r="U15" s="60">
        <v>27.8</v>
      </c>
      <c r="V15" s="60">
        <v>27.8</v>
      </c>
      <c r="W15" s="60">
        <v>27.8</v>
      </c>
      <c r="X15" s="60">
        <v>27.8</v>
      </c>
      <c r="Y15" s="60">
        <v>27.8</v>
      </c>
      <c r="Z15" s="60">
        <v>27.8</v>
      </c>
      <c r="AA15" s="60">
        <v>27.8</v>
      </c>
      <c r="AB15" s="60">
        <v>27.8</v>
      </c>
      <c r="AC15" s="60">
        <v>27.8</v>
      </c>
      <c r="AD15" s="60">
        <v>27.8</v>
      </c>
      <c r="AE15" s="60">
        <v>27.8</v>
      </c>
      <c r="AF15" s="60">
        <v>27.8</v>
      </c>
      <c r="AG15" s="62">
        <v>45</v>
      </c>
      <c r="AH15" s="54">
        <f t="shared" si="2"/>
        <v>27.8</v>
      </c>
      <c r="AI15" s="55">
        <f t="shared" si="3"/>
        <v>27.8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14</v>
      </c>
      <c r="C16" s="49">
        <v>14</v>
      </c>
      <c r="D16" s="49">
        <v>14</v>
      </c>
      <c r="E16" s="49">
        <v>14</v>
      </c>
      <c r="F16" s="49">
        <v>14</v>
      </c>
      <c r="G16" s="49">
        <v>14</v>
      </c>
      <c r="H16" s="49">
        <v>14</v>
      </c>
      <c r="I16" s="49">
        <v>14</v>
      </c>
      <c r="J16" s="49">
        <v>14</v>
      </c>
      <c r="K16" s="49">
        <v>14</v>
      </c>
      <c r="L16" s="49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63">
        <v>14</v>
      </c>
      <c r="T16" s="63">
        <v>14</v>
      </c>
      <c r="U16" s="63">
        <v>14</v>
      </c>
      <c r="V16" s="63">
        <v>14</v>
      </c>
      <c r="W16" s="63">
        <v>14</v>
      </c>
      <c r="X16" s="63">
        <v>14</v>
      </c>
      <c r="Y16" s="63">
        <v>14</v>
      </c>
      <c r="Z16" s="63">
        <v>14</v>
      </c>
      <c r="AA16" s="63">
        <v>14</v>
      </c>
      <c r="AB16" s="63">
        <v>14</v>
      </c>
      <c r="AC16" s="63">
        <v>14</v>
      </c>
      <c r="AD16" s="63">
        <v>14</v>
      </c>
      <c r="AE16" s="63">
        <v>14</v>
      </c>
      <c r="AF16" s="63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12</v>
      </c>
      <c r="N17" s="50">
        <v>12</v>
      </c>
      <c r="O17" s="50">
        <v>12</v>
      </c>
      <c r="P17" s="50">
        <v>12</v>
      </c>
      <c r="Q17" s="50">
        <v>12</v>
      </c>
      <c r="R17" s="50">
        <v>12</v>
      </c>
      <c r="S17" s="60">
        <v>12</v>
      </c>
      <c r="T17" s="60">
        <v>12</v>
      </c>
      <c r="U17" s="60">
        <v>13</v>
      </c>
      <c r="V17" s="60">
        <v>13</v>
      </c>
      <c r="W17" s="6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12.8</v>
      </c>
      <c r="C19" s="49">
        <v>12.8</v>
      </c>
      <c r="D19" s="49">
        <v>12.8</v>
      </c>
      <c r="E19" s="49">
        <v>12.8</v>
      </c>
      <c r="F19" s="49">
        <v>12.8</v>
      </c>
      <c r="G19" s="49">
        <v>12.8</v>
      </c>
      <c r="H19" s="49">
        <v>12.8</v>
      </c>
      <c r="I19" s="49">
        <v>12.8</v>
      </c>
      <c r="J19" s="49">
        <v>12.8</v>
      </c>
      <c r="K19" s="49">
        <v>12.8</v>
      </c>
      <c r="L19" s="49">
        <v>12.8</v>
      </c>
      <c r="M19" s="50">
        <v>12.8</v>
      </c>
      <c r="N19" s="50">
        <v>12.8</v>
      </c>
      <c r="O19" s="50">
        <v>12.8</v>
      </c>
      <c r="P19" s="50">
        <v>12.8</v>
      </c>
      <c r="Q19" s="50">
        <v>12.8</v>
      </c>
      <c r="R19" s="50">
        <v>12.8</v>
      </c>
      <c r="S19" s="50">
        <v>12.8</v>
      </c>
      <c r="T19" s="50">
        <v>12.8</v>
      </c>
      <c r="U19" s="50">
        <v>12.8</v>
      </c>
      <c r="V19" s="50">
        <v>12.8</v>
      </c>
      <c r="W19" s="50">
        <v>12.8</v>
      </c>
      <c r="X19" s="50">
        <v>12.8</v>
      </c>
      <c r="Y19" s="50">
        <v>12.8</v>
      </c>
      <c r="Z19" s="50">
        <v>12.8</v>
      </c>
      <c r="AA19" s="50">
        <v>12.8</v>
      </c>
      <c r="AB19" s="50">
        <v>12.8</v>
      </c>
      <c r="AC19" s="50">
        <v>12.8</v>
      </c>
      <c r="AD19" s="50">
        <v>12.8</v>
      </c>
      <c r="AE19" s="50">
        <v>12.8</v>
      </c>
      <c r="AF19" s="50">
        <v>12.8</v>
      </c>
      <c r="AG19" s="59">
        <v>30</v>
      </c>
      <c r="AH19" s="54">
        <f t="shared" si="2"/>
        <v>12.8</v>
      </c>
      <c r="AI19" s="55">
        <f t="shared" si="3"/>
        <v>12.8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16.899999999999999</v>
      </c>
      <c r="C22" s="49">
        <v>16.899999999999999</v>
      </c>
      <c r="D22" s="49">
        <v>16.899999999999999</v>
      </c>
      <c r="E22" s="49">
        <v>16.899999999999999</v>
      </c>
      <c r="F22" s="49">
        <v>16.899999999999999</v>
      </c>
      <c r="G22" s="49">
        <v>16.899999999999999</v>
      </c>
      <c r="H22" s="49">
        <v>16.899999999999999</v>
      </c>
      <c r="I22" s="49">
        <v>16.899999999999999</v>
      </c>
      <c r="J22" s="49">
        <v>16.899999999999999</v>
      </c>
      <c r="K22" s="49">
        <v>16.899999999999999</v>
      </c>
      <c r="L22" s="49">
        <v>16.899999999999999</v>
      </c>
      <c r="M22" s="50">
        <v>16.899999999999999</v>
      </c>
      <c r="N22" s="50">
        <v>16.899999999999999</v>
      </c>
      <c r="O22" s="50">
        <v>16.899999999999999</v>
      </c>
      <c r="P22" s="50">
        <v>16.899999999999999</v>
      </c>
      <c r="Q22" s="50">
        <v>15.5</v>
      </c>
      <c r="R22" s="50">
        <v>15.5</v>
      </c>
      <c r="S22" s="50">
        <v>15.5</v>
      </c>
      <c r="T22" s="50">
        <v>15.5</v>
      </c>
      <c r="U22" s="50">
        <v>15.5</v>
      </c>
      <c r="V22" s="50">
        <v>15.5</v>
      </c>
      <c r="W22" s="50">
        <v>15.5</v>
      </c>
      <c r="X22" s="50">
        <v>15.5</v>
      </c>
      <c r="Y22" s="50">
        <v>15.5</v>
      </c>
      <c r="Z22" s="50">
        <v>15.5</v>
      </c>
      <c r="AA22" s="50">
        <v>15.5</v>
      </c>
      <c r="AB22" s="50">
        <v>15.5</v>
      </c>
      <c r="AC22" s="50">
        <v>15.5</v>
      </c>
      <c r="AD22" s="50">
        <v>15.5</v>
      </c>
      <c r="AE22" s="50">
        <v>15.5</v>
      </c>
      <c r="AF22" s="50">
        <v>15.5</v>
      </c>
      <c r="AG22" s="59">
        <v>25</v>
      </c>
      <c r="AH22" s="54">
        <f t="shared" si="2"/>
        <v>16.899999999999999</v>
      </c>
      <c r="AI22" s="55">
        <f t="shared" si="3"/>
        <v>15.5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9.9</v>
      </c>
      <c r="C24" s="49">
        <v>9.9</v>
      </c>
      <c r="D24" s="49">
        <v>9.9</v>
      </c>
      <c r="E24" s="49">
        <v>9.9</v>
      </c>
      <c r="F24" s="49">
        <v>9.9</v>
      </c>
      <c r="G24" s="49">
        <v>9.9</v>
      </c>
      <c r="H24" s="49">
        <v>9.9</v>
      </c>
      <c r="I24" s="49">
        <v>9.9</v>
      </c>
      <c r="J24" s="49">
        <v>9.9</v>
      </c>
      <c r="K24" s="49">
        <v>9.9</v>
      </c>
      <c r="L24" s="49">
        <v>9.9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9.9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11</v>
      </c>
      <c r="C26" s="49">
        <v>11</v>
      </c>
      <c r="D26" s="49">
        <v>11</v>
      </c>
      <c r="E26" s="49">
        <v>11</v>
      </c>
      <c r="F26" s="49">
        <v>11</v>
      </c>
      <c r="G26" s="49">
        <v>11</v>
      </c>
      <c r="H26" s="49">
        <v>11</v>
      </c>
      <c r="I26" s="49">
        <v>11</v>
      </c>
      <c r="J26" s="49">
        <v>11</v>
      </c>
      <c r="K26" s="49">
        <v>11</v>
      </c>
      <c r="L26" s="49">
        <v>11</v>
      </c>
      <c r="M26" s="50">
        <v>11</v>
      </c>
      <c r="N26" s="50">
        <v>11</v>
      </c>
      <c r="O26" s="50">
        <v>11</v>
      </c>
      <c r="P26" s="50">
        <v>11</v>
      </c>
      <c r="Q26" s="50">
        <v>11</v>
      </c>
      <c r="R26" s="50">
        <v>11</v>
      </c>
      <c r="S26" s="50">
        <v>11</v>
      </c>
      <c r="T26" s="50">
        <v>11</v>
      </c>
      <c r="U26" s="50">
        <v>11</v>
      </c>
      <c r="V26" s="50">
        <v>11</v>
      </c>
      <c r="W26" s="50">
        <v>11</v>
      </c>
      <c r="X26" s="50">
        <v>11</v>
      </c>
      <c r="Y26" s="50">
        <v>11</v>
      </c>
      <c r="Z26" s="50">
        <v>11</v>
      </c>
      <c r="AA26" s="50">
        <v>11</v>
      </c>
      <c r="AB26" s="50">
        <v>11</v>
      </c>
      <c r="AC26" s="50">
        <v>11</v>
      </c>
      <c r="AD26" s="50">
        <v>11</v>
      </c>
      <c r="AE26" s="50">
        <v>11</v>
      </c>
      <c r="AF26" s="50">
        <v>11</v>
      </c>
      <c r="AG26" s="59">
        <v>20</v>
      </c>
      <c r="AH26" s="54">
        <f t="shared" si="2"/>
        <v>11</v>
      </c>
      <c r="AI26" s="55">
        <f t="shared" si="3"/>
        <v>11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6.2</v>
      </c>
      <c r="C34" s="61">
        <v>6.2</v>
      </c>
      <c r="D34" s="61">
        <v>6.2</v>
      </c>
      <c r="E34" s="61">
        <v>6.2</v>
      </c>
      <c r="F34" s="61">
        <v>6.2</v>
      </c>
      <c r="G34" s="61">
        <v>6.2</v>
      </c>
      <c r="H34" s="61">
        <v>6.2</v>
      </c>
      <c r="I34" s="61">
        <v>6.2</v>
      </c>
      <c r="J34" s="61">
        <v>6.2</v>
      </c>
      <c r="K34" s="61">
        <v>6.2</v>
      </c>
      <c r="L34" s="61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67">
        <v>20</v>
      </c>
      <c r="AH34" s="54">
        <f t="shared" si="2"/>
        <v>6.2</v>
      </c>
      <c r="AI34" s="55">
        <f t="shared" si="3"/>
        <v>6.2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170</v>
      </c>
      <c r="C36" s="61">
        <v>170</v>
      </c>
      <c r="D36" s="61">
        <v>170</v>
      </c>
      <c r="E36" s="61">
        <v>170</v>
      </c>
      <c r="F36" s="61">
        <v>170</v>
      </c>
      <c r="G36" s="61">
        <v>170</v>
      </c>
      <c r="H36" s="61">
        <v>170</v>
      </c>
      <c r="I36" s="61">
        <v>170</v>
      </c>
      <c r="J36" s="61">
        <v>170</v>
      </c>
      <c r="K36" s="61">
        <v>170</v>
      </c>
      <c r="L36" s="61">
        <v>170</v>
      </c>
      <c r="M36" s="61">
        <v>170</v>
      </c>
      <c r="N36" s="61">
        <v>170</v>
      </c>
      <c r="O36" s="61">
        <v>170</v>
      </c>
      <c r="P36" s="61">
        <v>170</v>
      </c>
      <c r="Q36" s="61">
        <v>170</v>
      </c>
      <c r="R36" s="61">
        <v>170</v>
      </c>
      <c r="S36" s="61">
        <v>170</v>
      </c>
      <c r="T36" s="61">
        <v>170</v>
      </c>
      <c r="U36" s="61">
        <v>170</v>
      </c>
      <c r="V36" s="61">
        <v>170</v>
      </c>
      <c r="W36" s="61">
        <v>170</v>
      </c>
      <c r="X36" s="61">
        <v>170</v>
      </c>
      <c r="Y36" s="61">
        <v>170</v>
      </c>
      <c r="Z36" s="61">
        <v>170</v>
      </c>
      <c r="AA36" s="61">
        <v>170</v>
      </c>
      <c r="AB36" s="61">
        <v>170</v>
      </c>
      <c r="AC36" s="61">
        <v>170</v>
      </c>
      <c r="AD36" s="61">
        <v>170</v>
      </c>
      <c r="AE36" s="61">
        <v>170</v>
      </c>
      <c r="AF36" s="61">
        <v>170</v>
      </c>
      <c r="AG36" s="67">
        <v>85</v>
      </c>
      <c r="AH36" s="54">
        <f t="shared" si="2"/>
        <v>170</v>
      </c>
      <c r="AI36" s="55">
        <f t="shared" si="3"/>
        <v>170</v>
      </c>
      <c r="AK36" s="56"/>
    </row>
    <row r="37" spans="1:88" ht="15.75" thickBot="1" x14ac:dyDescent="0.3">
      <c r="A37" s="69" t="s">
        <v>45</v>
      </c>
      <c r="B37" s="61">
        <f>31.3+38.1</f>
        <v>69.400000000000006</v>
      </c>
      <c r="C37" s="61">
        <f>31.3+39.2</f>
        <v>70.5</v>
      </c>
      <c r="D37" s="61">
        <f>31.3+39.2</f>
        <v>70.5</v>
      </c>
      <c r="E37" s="61">
        <f>31.3+39.9</f>
        <v>71.2</v>
      </c>
      <c r="F37" s="61">
        <f>30.9+40</f>
        <v>70.900000000000006</v>
      </c>
      <c r="G37" s="61">
        <f>30.9+40</f>
        <v>70.900000000000006</v>
      </c>
      <c r="H37" s="61">
        <f>31.1+39.7</f>
        <v>70.800000000000011</v>
      </c>
      <c r="I37" s="61">
        <f>31.1+39.4</f>
        <v>70.5</v>
      </c>
      <c r="J37" s="61">
        <f>31.2+39.9</f>
        <v>71.099999999999994</v>
      </c>
      <c r="K37" s="61">
        <f>31+39.7</f>
        <v>70.7</v>
      </c>
      <c r="L37" s="61">
        <f>30.7+38.7</f>
        <v>69.400000000000006</v>
      </c>
      <c r="M37" s="70">
        <f>29.1+38.9</f>
        <v>68</v>
      </c>
      <c r="N37" s="70">
        <f>28.9+40.5</f>
        <v>69.400000000000006</v>
      </c>
      <c r="O37" s="70">
        <f>28.9+40.5</f>
        <v>69.400000000000006</v>
      </c>
      <c r="P37" s="70">
        <f>29.4+43.6</f>
        <v>73</v>
      </c>
      <c r="Q37" s="70">
        <f>29.8+43.3</f>
        <v>73.099999999999994</v>
      </c>
      <c r="R37" s="70">
        <f>29.8+43.3</f>
        <v>73.099999999999994</v>
      </c>
      <c r="S37" s="70">
        <v>73.099999999999994</v>
      </c>
      <c r="T37" s="70">
        <v>73.099999999999994</v>
      </c>
      <c r="U37" s="70">
        <v>73.099999999999994</v>
      </c>
      <c r="V37" s="70">
        <v>73.099999999999994</v>
      </c>
      <c r="W37" s="70">
        <v>73.099999999999994</v>
      </c>
      <c r="X37" s="70">
        <v>73.099999999999994</v>
      </c>
      <c r="Y37" s="70">
        <v>73.099999999999994</v>
      </c>
      <c r="Z37" s="70">
        <v>73.099999999999994</v>
      </c>
      <c r="AA37" s="70">
        <v>73.099999999999994</v>
      </c>
      <c r="AB37" s="70">
        <f>35+29.2</f>
        <v>64.2</v>
      </c>
      <c r="AC37" s="70">
        <f>29.7+38.3</f>
        <v>68</v>
      </c>
      <c r="AD37" s="70">
        <f>29.7+38.3</f>
        <v>68</v>
      </c>
      <c r="AE37" s="70">
        <f>30.4+40.5</f>
        <v>70.900000000000006</v>
      </c>
      <c r="AF37" s="70">
        <f>30.7+39.2</f>
        <v>69.900000000000006</v>
      </c>
      <c r="AG37" s="67">
        <v>240</v>
      </c>
      <c r="AH37" s="54">
        <f t="shared" si="2"/>
        <v>73.099999999999994</v>
      </c>
      <c r="AI37" s="55">
        <f t="shared" si="3"/>
        <v>64.2</v>
      </c>
      <c r="AK37" s="56"/>
    </row>
    <row r="38" spans="1:88" ht="15.75" thickBot="1" x14ac:dyDescent="0.3">
      <c r="A38" s="71" t="s">
        <v>46</v>
      </c>
      <c r="B38" s="72">
        <f>SUM(B11:B36)</f>
        <v>508.49999999999994</v>
      </c>
      <c r="C38" s="72">
        <f t="shared" ref="C38:AF38" si="4">SUM(C11:C36)</f>
        <v>508.49999999999994</v>
      </c>
      <c r="D38" s="72">
        <f t="shared" si="4"/>
        <v>508.49999999999994</v>
      </c>
      <c r="E38" s="72">
        <f t="shared" si="4"/>
        <v>508.49999999999994</v>
      </c>
      <c r="F38" s="72">
        <f t="shared" si="4"/>
        <v>508.49999999999994</v>
      </c>
      <c r="G38" s="72">
        <f t="shared" si="4"/>
        <v>518.5</v>
      </c>
      <c r="H38" s="72">
        <f t="shared" si="4"/>
        <v>527.59999999999991</v>
      </c>
      <c r="I38" s="72">
        <f t="shared" si="4"/>
        <v>558.5</v>
      </c>
      <c r="J38" s="72">
        <f t="shared" si="4"/>
        <v>591.39999999999986</v>
      </c>
      <c r="K38" s="72">
        <f t="shared" si="4"/>
        <v>648.5</v>
      </c>
      <c r="L38" s="72">
        <f t="shared" si="4"/>
        <v>750.5</v>
      </c>
      <c r="M38" s="72">
        <f t="shared" si="4"/>
        <v>726.6</v>
      </c>
      <c r="N38" s="72">
        <f t="shared" si="4"/>
        <v>723.6</v>
      </c>
      <c r="O38" s="72">
        <f t="shared" si="4"/>
        <v>621.59999999999991</v>
      </c>
      <c r="P38" s="72">
        <f t="shared" si="4"/>
        <v>631.59999999999991</v>
      </c>
      <c r="Q38" s="72">
        <f t="shared" si="4"/>
        <v>630.20000000000005</v>
      </c>
      <c r="R38" s="72">
        <f t="shared" si="4"/>
        <v>635.20000000000005</v>
      </c>
      <c r="S38" s="72">
        <f t="shared" si="4"/>
        <v>587.70000000000005</v>
      </c>
      <c r="T38" s="72">
        <f t="shared" si="4"/>
        <v>637.20000000000005</v>
      </c>
      <c r="U38" s="72">
        <f t="shared" si="4"/>
        <v>596.20000000000005</v>
      </c>
      <c r="V38" s="72">
        <f t="shared" si="4"/>
        <v>758.2</v>
      </c>
      <c r="W38" s="72">
        <f t="shared" si="4"/>
        <v>776.2</v>
      </c>
      <c r="X38" s="72">
        <v>871.2</v>
      </c>
      <c r="Y38" s="72">
        <f t="shared" si="4"/>
        <v>856.2</v>
      </c>
      <c r="Z38" s="72">
        <f t="shared" si="4"/>
        <v>826.2</v>
      </c>
      <c r="AA38" s="72">
        <f t="shared" si="4"/>
        <v>776.2</v>
      </c>
      <c r="AB38" s="72">
        <f t="shared" si="4"/>
        <v>856.2</v>
      </c>
      <c r="AC38" s="72">
        <f t="shared" si="4"/>
        <v>796.2</v>
      </c>
      <c r="AD38" s="72">
        <f t="shared" si="4"/>
        <v>696.2</v>
      </c>
      <c r="AE38" s="72">
        <f t="shared" si="4"/>
        <v>626.20000000000005</v>
      </c>
      <c r="AF38" s="72">
        <f t="shared" si="4"/>
        <v>596.20000000000005</v>
      </c>
      <c r="AG38" s="67">
        <f>SUM(AG11:AG37)</f>
        <v>1492.8299999999997</v>
      </c>
      <c r="AH38" s="54">
        <f t="shared" si="2"/>
        <v>871.2</v>
      </c>
      <c r="AI38" s="55">
        <f t="shared" si="3"/>
        <v>508.49999999999994</v>
      </c>
      <c r="AK38" s="56"/>
    </row>
    <row r="39" spans="1:88" x14ac:dyDescent="0.25">
      <c r="A39" s="57" t="s">
        <v>47</v>
      </c>
      <c r="B39" s="49">
        <v>61</v>
      </c>
      <c r="C39" s="49">
        <v>40.74</v>
      </c>
      <c r="D39" s="49">
        <v>30.5</v>
      </c>
      <c r="E39" s="61">
        <v>30.3</v>
      </c>
      <c r="F39" s="61">
        <v>29.9</v>
      </c>
      <c r="G39" s="61">
        <v>45</v>
      </c>
      <c r="H39" s="61">
        <v>62.5</v>
      </c>
      <c r="I39" s="61">
        <v>75</v>
      </c>
      <c r="J39" s="61">
        <v>91.2</v>
      </c>
      <c r="K39" s="61">
        <v>140</v>
      </c>
      <c r="L39" s="61">
        <v>141.69999999999999</v>
      </c>
      <c r="M39" s="50">
        <v>141</v>
      </c>
      <c r="N39" s="50">
        <v>141</v>
      </c>
      <c r="O39" s="50">
        <v>141</v>
      </c>
      <c r="P39" s="50">
        <v>120</v>
      </c>
      <c r="Q39" s="50">
        <v>101.6</v>
      </c>
      <c r="R39" s="50">
        <v>101.2</v>
      </c>
      <c r="S39" s="50">
        <v>111.4</v>
      </c>
      <c r="T39" s="50">
        <v>92.3</v>
      </c>
      <c r="U39" s="50">
        <v>106</v>
      </c>
      <c r="V39" s="50">
        <v>106</v>
      </c>
      <c r="W39" s="50">
        <v>138</v>
      </c>
      <c r="X39" s="50">
        <v>145.4</v>
      </c>
      <c r="Y39" s="50">
        <v>145.1</v>
      </c>
      <c r="Z39" s="50">
        <v>145.1</v>
      </c>
      <c r="AA39" s="50">
        <v>144.30000000000001</v>
      </c>
      <c r="AB39" s="50">
        <v>144.30000000000001</v>
      </c>
      <c r="AC39" s="50">
        <v>91.1</v>
      </c>
      <c r="AD39" s="50">
        <v>80</v>
      </c>
      <c r="AE39" s="50">
        <v>70.5</v>
      </c>
      <c r="AF39" s="50">
        <v>61</v>
      </c>
      <c r="AG39" s="62">
        <v>144</v>
      </c>
      <c r="AH39" s="54">
        <f t="shared" si="2"/>
        <v>145.4</v>
      </c>
      <c r="AI39" s="55">
        <f t="shared" si="3"/>
        <v>29.9</v>
      </c>
      <c r="AK39" s="56"/>
    </row>
    <row r="40" spans="1:88" x14ac:dyDescent="0.25">
      <c r="A40" s="66" t="s">
        <v>48</v>
      </c>
      <c r="B40" s="61">
        <v>35.200000000000003</v>
      </c>
      <c r="C40" s="61">
        <v>26</v>
      </c>
      <c r="D40" s="61">
        <v>30</v>
      </c>
      <c r="E40" s="61">
        <v>30</v>
      </c>
      <c r="F40" s="61">
        <v>35.799999999999997</v>
      </c>
      <c r="G40" s="61">
        <v>49.2</v>
      </c>
      <c r="H40" s="61">
        <v>49.5</v>
      </c>
      <c r="I40" s="61">
        <v>59.6</v>
      </c>
      <c r="J40" s="61">
        <v>59.2</v>
      </c>
      <c r="K40" s="61">
        <v>72.400000000000006</v>
      </c>
      <c r="L40" s="61">
        <v>71.599999999999994</v>
      </c>
      <c r="M40" s="73">
        <v>70.8</v>
      </c>
      <c r="N40" s="73">
        <v>70.8</v>
      </c>
      <c r="O40" s="73">
        <v>71.400000000000006</v>
      </c>
      <c r="P40" s="73">
        <v>71.599999999999994</v>
      </c>
      <c r="Q40" s="73">
        <v>51.8</v>
      </c>
      <c r="R40" s="73">
        <v>59.1</v>
      </c>
      <c r="S40" s="73">
        <v>69.3</v>
      </c>
      <c r="T40" s="73">
        <v>69.3</v>
      </c>
      <c r="U40" s="73">
        <v>50</v>
      </c>
      <c r="V40" s="73">
        <v>45</v>
      </c>
      <c r="W40" s="73">
        <v>69.400000000000006</v>
      </c>
      <c r="X40" s="73">
        <v>70</v>
      </c>
      <c r="Y40" s="73">
        <v>70</v>
      </c>
      <c r="Z40" s="73">
        <v>70</v>
      </c>
      <c r="AA40" s="73">
        <v>69.599999999999994</v>
      </c>
      <c r="AB40" s="73">
        <v>69.599999999999994</v>
      </c>
      <c r="AC40" s="73">
        <v>71.3</v>
      </c>
      <c r="AD40" s="73">
        <v>65</v>
      </c>
      <c r="AE40" s="73">
        <v>47</v>
      </c>
      <c r="AF40" s="73">
        <v>35.299999999999997</v>
      </c>
      <c r="AG40" s="67">
        <v>70</v>
      </c>
      <c r="AH40" s="54">
        <f t="shared" si="2"/>
        <v>72.400000000000006</v>
      </c>
      <c r="AI40" s="55">
        <f t="shared" si="3"/>
        <v>26</v>
      </c>
      <c r="AK40" s="56"/>
    </row>
    <row r="41" spans="1:88" x14ac:dyDescent="0.25">
      <c r="A41" s="66" t="s">
        <v>49</v>
      </c>
      <c r="B41" s="61">
        <v>44.9</v>
      </c>
      <c r="C41" s="61">
        <v>40</v>
      </c>
      <c r="D41" s="61">
        <v>35</v>
      </c>
      <c r="E41" s="61">
        <v>35.5</v>
      </c>
      <c r="F41" s="61">
        <v>36.299999999999997</v>
      </c>
      <c r="G41" s="61">
        <v>40</v>
      </c>
      <c r="H41" s="61">
        <v>35.1</v>
      </c>
      <c r="I41" s="61">
        <v>45.5</v>
      </c>
      <c r="J41" s="61">
        <v>44.3</v>
      </c>
      <c r="K41" s="61">
        <v>59.6</v>
      </c>
      <c r="L41" s="61">
        <v>66.8</v>
      </c>
      <c r="M41" s="73">
        <v>68.599999999999994</v>
      </c>
      <c r="N41" s="73">
        <v>68.2</v>
      </c>
      <c r="O41" s="73">
        <v>67.400000000000006</v>
      </c>
      <c r="P41" s="73">
        <v>67</v>
      </c>
      <c r="Q41" s="73">
        <v>54.8</v>
      </c>
      <c r="R41" s="73">
        <v>51.8</v>
      </c>
      <c r="S41" s="73">
        <v>51.6</v>
      </c>
      <c r="T41" s="73">
        <v>51.6</v>
      </c>
      <c r="U41" s="73">
        <v>52.6</v>
      </c>
      <c r="V41" s="73">
        <v>68.5</v>
      </c>
      <c r="W41" s="73">
        <v>68.5</v>
      </c>
      <c r="X41" s="73">
        <v>68.7</v>
      </c>
      <c r="Y41" s="73">
        <v>68.7</v>
      </c>
      <c r="Z41" s="73">
        <v>68.7</v>
      </c>
      <c r="AA41" s="73">
        <v>68.900000000000006</v>
      </c>
      <c r="AB41" s="73">
        <v>68.2</v>
      </c>
      <c r="AC41" s="73">
        <v>68.2</v>
      </c>
      <c r="AD41" s="73">
        <v>67.8</v>
      </c>
      <c r="AE41" s="73">
        <v>51.9</v>
      </c>
      <c r="AF41" s="73">
        <v>44.3</v>
      </c>
      <c r="AG41" s="67">
        <v>69</v>
      </c>
      <c r="AH41" s="54">
        <f t="shared" si="2"/>
        <v>68.900000000000006</v>
      </c>
      <c r="AI41" s="55">
        <f t="shared" si="3"/>
        <v>35</v>
      </c>
      <c r="AK41" s="56"/>
    </row>
    <row r="42" spans="1:88" x14ac:dyDescent="0.25">
      <c r="A42" s="66" t="s">
        <v>50</v>
      </c>
      <c r="B42" s="61">
        <v>60.4</v>
      </c>
      <c r="C42" s="61">
        <v>60.4</v>
      </c>
      <c r="D42" s="61">
        <v>60.4</v>
      </c>
      <c r="E42" s="61">
        <v>60.4</v>
      </c>
      <c r="F42" s="61">
        <v>60.4</v>
      </c>
      <c r="G42" s="61">
        <v>60.4</v>
      </c>
      <c r="H42" s="61">
        <v>60.4</v>
      </c>
      <c r="I42" s="61">
        <v>60.4</v>
      </c>
      <c r="J42" s="61">
        <v>60.4</v>
      </c>
      <c r="K42" s="61">
        <v>60.4</v>
      </c>
      <c r="L42" s="61">
        <v>60.4</v>
      </c>
      <c r="M42" s="73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67">
        <v>60</v>
      </c>
      <c r="AH42" s="54">
        <f t="shared" si="2"/>
        <v>60.4</v>
      </c>
      <c r="AI42" s="55">
        <f t="shared" si="3"/>
        <v>60.4</v>
      </c>
      <c r="AK42" s="56"/>
    </row>
    <row r="43" spans="1:88" x14ac:dyDescent="0.25">
      <c r="A43" s="66" t="s">
        <v>51</v>
      </c>
      <c r="B43" s="61">
        <v>10</v>
      </c>
      <c r="C43" s="61">
        <v>10</v>
      </c>
      <c r="D43" s="61">
        <v>10</v>
      </c>
      <c r="E43" s="61">
        <v>0</v>
      </c>
      <c r="F43" s="61">
        <v>0</v>
      </c>
      <c r="G43" s="61">
        <v>10</v>
      </c>
      <c r="H43" s="61">
        <v>10</v>
      </c>
      <c r="I43" s="61">
        <v>15.4</v>
      </c>
      <c r="J43" s="61">
        <v>27.9</v>
      </c>
      <c r="K43" s="61">
        <v>27.9</v>
      </c>
      <c r="L43" s="61">
        <v>27.9</v>
      </c>
      <c r="M43" s="50">
        <v>27.3</v>
      </c>
      <c r="N43" s="50">
        <v>27.3</v>
      </c>
      <c r="O43" s="50">
        <v>26.8</v>
      </c>
      <c r="P43" s="50">
        <v>15.1</v>
      </c>
      <c r="Q43" s="50">
        <v>0</v>
      </c>
      <c r="R43" s="50">
        <v>0</v>
      </c>
      <c r="S43" s="50">
        <v>0</v>
      </c>
      <c r="T43" s="50">
        <v>0</v>
      </c>
      <c r="U43" s="50">
        <v>11.5</v>
      </c>
      <c r="V43" s="50">
        <v>11.5</v>
      </c>
      <c r="W43" s="50">
        <v>27.9</v>
      </c>
      <c r="X43" s="50">
        <v>27.9</v>
      </c>
      <c r="Y43" s="50">
        <v>27.9</v>
      </c>
      <c r="Z43" s="50">
        <v>27.9</v>
      </c>
      <c r="AA43" s="50">
        <v>27.9</v>
      </c>
      <c r="AB43" s="50">
        <v>27.9</v>
      </c>
      <c r="AC43" s="50">
        <v>14.9</v>
      </c>
      <c r="AD43" s="50">
        <v>14.9</v>
      </c>
      <c r="AE43" s="50">
        <v>10</v>
      </c>
      <c r="AF43" s="50">
        <v>10</v>
      </c>
      <c r="AG43" s="67">
        <v>30</v>
      </c>
      <c r="AH43" s="54">
        <f t="shared" si="2"/>
        <v>27.9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12</v>
      </c>
      <c r="C47" s="61">
        <v>12</v>
      </c>
      <c r="D47" s="61">
        <v>12</v>
      </c>
      <c r="E47" s="61">
        <v>12</v>
      </c>
      <c r="F47" s="61">
        <v>12</v>
      </c>
      <c r="G47" s="61">
        <v>12</v>
      </c>
      <c r="H47" s="61">
        <v>12</v>
      </c>
      <c r="I47" s="61">
        <v>12</v>
      </c>
      <c r="J47" s="61">
        <v>12</v>
      </c>
      <c r="K47" s="61">
        <v>12</v>
      </c>
      <c r="L47" s="61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7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7</v>
      </c>
      <c r="C48" s="61">
        <v>7</v>
      </c>
      <c r="D48" s="61">
        <v>7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7">
        <v>14</v>
      </c>
      <c r="AH48" s="54">
        <f t="shared" si="2"/>
        <v>7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9.6</v>
      </c>
      <c r="C49" s="61">
        <v>9.6</v>
      </c>
      <c r="D49" s="61">
        <v>9.6</v>
      </c>
      <c r="E49" s="61">
        <v>9.6</v>
      </c>
      <c r="F49" s="61">
        <v>9.6</v>
      </c>
      <c r="G49" s="61">
        <v>9.6</v>
      </c>
      <c r="H49" s="61">
        <v>9.6</v>
      </c>
      <c r="I49" s="61">
        <v>9.6</v>
      </c>
      <c r="J49" s="61">
        <v>9.6</v>
      </c>
      <c r="K49" s="61">
        <v>9.6</v>
      </c>
      <c r="L49" s="61">
        <v>9.6</v>
      </c>
      <c r="M49" s="50">
        <v>9.6</v>
      </c>
      <c r="N49" s="50">
        <v>9.6</v>
      </c>
      <c r="O49" s="50">
        <v>9.6</v>
      </c>
      <c r="P49" s="50">
        <v>0</v>
      </c>
      <c r="Q49" s="50">
        <v>0</v>
      </c>
      <c r="R49" s="50">
        <v>9</v>
      </c>
      <c r="S49" s="50">
        <v>9</v>
      </c>
      <c r="T49" s="50">
        <v>9</v>
      </c>
      <c r="U49" s="50">
        <v>9</v>
      </c>
      <c r="V49" s="50">
        <v>9</v>
      </c>
      <c r="W49" s="50">
        <v>9</v>
      </c>
      <c r="X49" s="50">
        <v>9</v>
      </c>
      <c r="Y49" s="50">
        <v>9</v>
      </c>
      <c r="Z49" s="50">
        <v>9</v>
      </c>
      <c r="AA49" s="50">
        <v>9</v>
      </c>
      <c r="AB49" s="50">
        <v>9</v>
      </c>
      <c r="AC49" s="50">
        <v>9</v>
      </c>
      <c r="AD49" s="50">
        <v>9</v>
      </c>
      <c r="AE49" s="50">
        <v>9</v>
      </c>
      <c r="AF49" s="50">
        <v>9</v>
      </c>
      <c r="AG49" s="67">
        <v>10.050000000000001</v>
      </c>
      <c r="AH49" s="54">
        <f t="shared" si="2"/>
        <v>9.6</v>
      </c>
      <c r="AI49" s="55">
        <f t="shared" si="3"/>
        <v>0</v>
      </c>
      <c r="AK49" s="56"/>
    </row>
    <row r="50" spans="1:37" x14ac:dyDescent="0.25">
      <c r="A50" s="66" t="s">
        <v>58</v>
      </c>
      <c r="B50" s="61">
        <v>6.2</v>
      </c>
      <c r="C50" s="61">
        <v>6.2</v>
      </c>
      <c r="D50" s="61">
        <v>6.2</v>
      </c>
      <c r="E50" s="61">
        <v>6.2</v>
      </c>
      <c r="F50" s="61">
        <v>6.2</v>
      </c>
      <c r="G50" s="61">
        <v>6.2</v>
      </c>
      <c r="H50" s="61">
        <v>6.2</v>
      </c>
      <c r="I50" s="61">
        <v>6.2</v>
      </c>
      <c r="J50" s="61">
        <v>6.2</v>
      </c>
      <c r="K50" s="61">
        <v>6.2</v>
      </c>
      <c r="L50" s="61">
        <v>6.2</v>
      </c>
      <c r="M50" s="50">
        <v>6.2</v>
      </c>
      <c r="N50" s="50">
        <v>6.2</v>
      </c>
      <c r="O50" s="50">
        <v>6.2</v>
      </c>
      <c r="P50" s="50">
        <v>6.2</v>
      </c>
      <c r="Q50" s="50">
        <v>6.2</v>
      </c>
      <c r="R50" s="50">
        <v>6.2</v>
      </c>
      <c r="S50" s="50">
        <v>6.2</v>
      </c>
      <c r="T50" s="50">
        <v>6.2</v>
      </c>
      <c r="U50" s="50">
        <v>6.2</v>
      </c>
      <c r="V50" s="50">
        <v>6.2</v>
      </c>
      <c r="W50" s="50">
        <v>6.2</v>
      </c>
      <c r="X50" s="50">
        <v>6.2</v>
      </c>
      <c r="Y50" s="50">
        <v>6.2</v>
      </c>
      <c r="Z50" s="50">
        <v>6.2</v>
      </c>
      <c r="AA50" s="50">
        <v>6.2</v>
      </c>
      <c r="AB50" s="50">
        <v>6.2</v>
      </c>
      <c r="AC50" s="50">
        <v>6.2</v>
      </c>
      <c r="AD50" s="50">
        <v>6.2</v>
      </c>
      <c r="AE50" s="50">
        <v>6.2</v>
      </c>
      <c r="AF50" s="50">
        <v>6.2</v>
      </c>
      <c r="AG50" s="67">
        <v>6.2</v>
      </c>
      <c r="AH50" s="54">
        <f t="shared" si="2"/>
        <v>6.2</v>
      </c>
      <c r="AI50" s="55">
        <f t="shared" si="3"/>
        <v>6.2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267.84000000000003</v>
      </c>
      <c r="C52" s="72">
        <f t="shared" ref="C52:AF52" si="6">SUM(C39:C51)</f>
        <v>233.48</v>
      </c>
      <c r="D52" s="72">
        <f t="shared" si="6"/>
        <v>222.23999999999998</v>
      </c>
      <c r="E52" s="72">
        <f t="shared" si="6"/>
        <v>205.53999999999996</v>
      </c>
      <c r="F52" s="72">
        <f t="shared" si="6"/>
        <v>211.73999999999995</v>
      </c>
      <c r="G52" s="72">
        <f t="shared" si="6"/>
        <v>253.93999999999997</v>
      </c>
      <c r="H52" s="72">
        <f t="shared" si="6"/>
        <v>266.84000000000003</v>
      </c>
      <c r="I52" s="72">
        <f t="shared" si="6"/>
        <v>305.24</v>
      </c>
      <c r="J52" s="72">
        <f t="shared" si="6"/>
        <v>332.34000000000003</v>
      </c>
      <c r="K52" s="72">
        <f t="shared" si="6"/>
        <v>409.64</v>
      </c>
      <c r="L52" s="72">
        <f t="shared" si="6"/>
        <v>417.73999999999995</v>
      </c>
      <c r="M52" s="72">
        <f t="shared" si="6"/>
        <v>417.44</v>
      </c>
      <c r="N52" s="72">
        <f t="shared" si="6"/>
        <v>417.04</v>
      </c>
      <c r="O52" s="72">
        <f t="shared" si="6"/>
        <v>416.34000000000003</v>
      </c>
      <c r="P52" s="72">
        <f t="shared" si="6"/>
        <v>373.84000000000003</v>
      </c>
      <c r="Q52" s="72">
        <f t="shared" si="6"/>
        <v>308.33999999999997</v>
      </c>
      <c r="R52" s="72">
        <f t="shared" si="6"/>
        <v>321.24</v>
      </c>
      <c r="S52" s="72">
        <f t="shared" si="6"/>
        <v>341.44</v>
      </c>
      <c r="T52" s="72">
        <f t="shared" si="6"/>
        <v>322.33999999999997</v>
      </c>
      <c r="U52" s="72">
        <f t="shared" si="6"/>
        <v>329.24</v>
      </c>
      <c r="V52" s="72">
        <f t="shared" si="6"/>
        <v>340.14</v>
      </c>
      <c r="W52" s="72">
        <f t="shared" si="6"/>
        <v>412.93999999999994</v>
      </c>
      <c r="X52" s="72">
        <v>421.14</v>
      </c>
      <c r="Y52" s="72">
        <f t="shared" si="6"/>
        <v>420.84</v>
      </c>
      <c r="Z52" s="72">
        <f t="shared" si="6"/>
        <v>420.84</v>
      </c>
      <c r="AA52" s="72">
        <f t="shared" si="6"/>
        <v>419.84</v>
      </c>
      <c r="AB52" s="72">
        <f t="shared" si="6"/>
        <v>419.14</v>
      </c>
      <c r="AC52" s="72">
        <f t="shared" si="6"/>
        <v>354.63999999999993</v>
      </c>
      <c r="AD52" s="72">
        <f t="shared" si="6"/>
        <v>336.84</v>
      </c>
      <c r="AE52" s="72">
        <f t="shared" si="6"/>
        <v>288.54000000000002</v>
      </c>
      <c r="AF52" s="72">
        <f t="shared" si="6"/>
        <v>259.74</v>
      </c>
      <c r="AG52" s="78">
        <f>SUM(AG39:AG51)</f>
        <v>489.91</v>
      </c>
      <c r="AH52" s="54">
        <f t="shared" si="2"/>
        <v>421.14</v>
      </c>
      <c r="AI52" s="55">
        <f t="shared" si="3"/>
        <v>205.53999999999996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20</v>
      </c>
      <c r="M53" s="79">
        <v>33.200000000000003</v>
      </c>
      <c r="N53" s="79">
        <v>44.3</v>
      </c>
      <c r="O53" s="79">
        <v>55.6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14</v>
      </c>
      <c r="X53" s="50">
        <v>57</v>
      </c>
      <c r="Y53" s="50">
        <v>40.200000000000003</v>
      </c>
      <c r="Z53" s="50">
        <v>30</v>
      </c>
      <c r="AA53" s="50">
        <v>29.5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11.2</v>
      </c>
      <c r="M54" s="79">
        <v>15.8</v>
      </c>
      <c r="N54" s="79">
        <v>20.6</v>
      </c>
      <c r="O54" s="79">
        <v>26.2</v>
      </c>
      <c r="P54" s="79">
        <v>9.6999999999999993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50">
        <v>0</v>
      </c>
      <c r="W54" s="73">
        <v>7.3</v>
      </c>
      <c r="X54" s="73">
        <v>30</v>
      </c>
      <c r="Y54" s="73">
        <v>20.3</v>
      </c>
      <c r="Z54" s="73">
        <v>17</v>
      </c>
      <c r="AA54" s="73">
        <v>15</v>
      </c>
      <c r="AB54" s="73">
        <v>5.0999999999999996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4.0999999999999996</v>
      </c>
      <c r="M55" s="81">
        <v>5.8</v>
      </c>
      <c r="N55" s="81">
        <v>7.5</v>
      </c>
      <c r="O55" s="81">
        <v>9.6</v>
      </c>
      <c r="P55" s="81">
        <v>3.6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50">
        <v>0</v>
      </c>
      <c r="W55" s="80">
        <v>2.7</v>
      </c>
      <c r="X55" s="80">
        <v>11.7</v>
      </c>
      <c r="Y55" s="80">
        <v>7.3</v>
      </c>
      <c r="Z55" s="80">
        <v>6.2</v>
      </c>
      <c r="AA55" s="80">
        <v>3.6</v>
      </c>
      <c r="AB55" s="80">
        <v>1.8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11.7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35.299999999999997</v>
      </c>
      <c r="M56" s="72">
        <f t="shared" si="7"/>
        <v>54.8</v>
      </c>
      <c r="N56" s="72">
        <f t="shared" si="7"/>
        <v>72.400000000000006</v>
      </c>
      <c r="O56" s="72">
        <f t="shared" si="7"/>
        <v>91.399999999999991</v>
      </c>
      <c r="P56" s="72">
        <f t="shared" si="7"/>
        <v>13.299999999999999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24</v>
      </c>
      <c r="X56" s="72">
        <v>98.7</v>
      </c>
      <c r="Y56" s="72">
        <f t="shared" si="7"/>
        <v>67.8</v>
      </c>
      <c r="Z56" s="72">
        <f t="shared" si="7"/>
        <v>53.2</v>
      </c>
      <c r="AA56" s="72">
        <f t="shared" si="7"/>
        <v>48.1</v>
      </c>
      <c r="AB56" s="72">
        <f t="shared" si="7"/>
        <v>6.8999999999999995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98.7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32.200000000000003</v>
      </c>
      <c r="C57" s="50">
        <v>32.200000000000003</v>
      </c>
      <c r="D57" s="50">
        <v>32.200000000000003</v>
      </c>
      <c r="E57" s="50">
        <v>38.299999999999997</v>
      </c>
      <c r="F57" s="50">
        <v>39.1</v>
      </c>
      <c r="G57" s="50">
        <v>34.200000000000003</v>
      </c>
      <c r="H57" s="50">
        <v>38.4</v>
      </c>
      <c r="I57" s="50">
        <v>42.8</v>
      </c>
      <c r="J57" s="50">
        <v>37.700000000000003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42.8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98.3</v>
      </c>
      <c r="C59" s="73">
        <v>89.5</v>
      </c>
      <c r="D59" s="73">
        <v>95.22</v>
      </c>
      <c r="E59" s="73">
        <v>101</v>
      </c>
      <c r="F59" s="73">
        <v>112</v>
      </c>
      <c r="G59" s="73">
        <v>122</v>
      </c>
      <c r="H59" s="73">
        <v>150</v>
      </c>
      <c r="I59" s="50">
        <v>177.1</v>
      </c>
      <c r="J59" s="50">
        <v>209</v>
      </c>
      <c r="K59" s="50">
        <v>177</v>
      </c>
      <c r="L59" s="50">
        <v>85.2</v>
      </c>
      <c r="M59" s="73">
        <v>134.6</v>
      </c>
      <c r="N59" s="73">
        <v>93.7</v>
      </c>
      <c r="O59" s="73">
        <v>111.4</v>
      </c>
      <c r="P59" s="73">
        <v>131</v>
      </c>
      <c r="Q59" s="73">
        <v>157.1</v>
      </c>
      <c r="R59" s="73">
        <v>116</v>
      </c>
      <c r="S59" s="73">
        <v>110</v>
      </c>
      <c r="T59" s="73">
        <v>138</v>
      </c>
      <c r="U59" s="73">
        <v>168</v>
      </c>
      <c r="V59" s="73">
        <v>83.9</v>
      </c>
      <c r="W59" s="73">
        <v>96.6</v>
      </c>
      <c r="X59" s="84">
        <v>-2</v>
      </c>
      <c r="Y59" s="84">
        <v>0</v>
      </c>
      <c r="Z59" s="84">
        <v>0</v>
      </c>
      <c r="AA59" s="84">
        <v>-3</v>
      </c>
      <c r="AB59" s="84">
        <v>16</v>
      </c>
      <c r="AC59" s="84">
        <v>-6.4</v>
      </c>
      <c r="AD59" s="84">
        <v>30</v>
      </c>
      <c r="AE59" s="84">
        <v>24</v>
      </c>
      <c r="AF59" s="84">
        <v>20</v>
      </c>
      <c r="AG59" s="85"/>
      <c r="AH59" s="54">
        <f t="shared" si="2"/>
        <v>209</v>
      </c>
      <c r="AI59" s="55">
        <f t="shared" si="3"/>
        <v>-6.4</v>
      </c>
      <c r="AK59" s="56"/>
    </row>
    <row r="60" spans="1:37" x14ac:dyDescent="0.25">
      <c r="A60" s="66" t="s">
        <v>68</v>
      </c>
      <c r="B60" s="73">
        <v>0</v>
      </c>
      <c r="C60" s="73">
        <v>0</v>
      </c>
      <c r="D60" s="73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42</v>
      </c>
      <c r="N60" s="73">
        <v>37</v>
      </c>
      <c r="O60" s="73">
        <v>28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20</v>
      </c>
      <c r="Y60" s="73">
        <v>22</v>
      </c>
      <c r="Z60" s="73">
        <v>10</v>
      </c>
      <c r="AA60" s="73">
        <v>13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42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66.8</v>
      </c>
      <c r="Y61" s="50">
        <v>75</v>
      </c>
      <c r="Z61" s="50">
        <v>64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130.5</v>
      </c>
      <c r="C68" s="72">
        <f>SUM(C57:C67)</f>
        <v>121.7</v>
      </c>
      <c r="D68" s="72">
        <f t="shared" ref="D68:AF68" si="8">SUM(D57:D67)</f>
        <v>127.42</v>
      </c>
      <c r="E68" s="72">
        <f t="shared" si="8"/>
        <v>139.30000000000001</v>
      </c>
      <c r="F68" s="72">
        <f t="shared" si="8"/>
        <v>151.1</v>
      </c>
      <c r="G68" s="72">
        <f t="shared" si="8"/>
        <v>156.19999999999999</v>
      </c>
      <c r="H68" s="72">
        <f t="shared" si="8"/>
        <v>188.4</v>
      </c>
      <c r="I68" s="72">
        <f t="shared" si="8"/>
        <v>219.89999999999998</v>
      </c>
      <c r="J68" s="72">
        <f t="shared" si="8"/>
        <v>246.7</v>
      </c>
      <c r="K68" s="72">
        <f t="shared" si="8"/>
        <v>177</v>
      </c>
      <c r="L68" s="72">
        <f t="shared" si="8"/>
        <v>85.2</v>
      </c>
      <c r="M68" s="72">
        <f t="shared" si="8"/>
        <v>176.6</v>
      </c>
      <c r="N68" s="72">
        <f t="shared" si="8"/>
        <v>130.69999999999999</v>
      </c>
      <c r="O68" s="72">
        <f t="shared" si="8"/>
        <v>139.4</v>
      </c>
      <c r="P68" s="72">
        <f t="shared" si="8"/>
        <v>131</v>
      </c>
      <c r="Q68" s="72">
        <f t="shared" si="8"/>
        <v>157.1</v>
      </c>
      <c r="R68" s="72">
        <f t="shared" si="8"/>
        <v>116</v>
      </c>
      <c r="S68" s="72">
        <f t="shared" si="8"/>
        <v>110</v>
      </c>
      <c r="T68" s="72">
        <f t="shared" si="8"/>
        <v>138</v>
      </c>
      <c r="U68" s="72">
        <f t="shared" si="8"/>
        <v>168</v>
      </c>
      <c r="V68" s="72">
        <f t="shared" si="8"/>
        <v>83.9</v>
      </c>
      <c r="W68" s="72">
        <f t="shared" si="8"/>
        <v>96.6</v>
      </c>
      <c r="X68" s="72">
        <f t="shared" si="8"/>
        <v>84.8</v>
      </c>
      <c r="Y68" s="72">
        <f t="shared" si="8"/>
        <v>97</v>
      </c>
      <c r="Z68" s="72">
        <f t="shared" si="8"/>
        <v>74</v>
      </c>
      <c r="AA68" s="72">
        <f t="shared" si="8"/>
        <v>10</v>
      </c>
      <c r="AB68" s="72">
        <f t="shared" si="8"/>
        <v>16</v>
      </c>
      <c r="AC68" s="72">
        <f t="shared" si="8"/>
        <v>-6.4</v>
      </c>
      <c r="AD68" s="72">
        <f t="shared" si="8"/>
        <v>30</v>
      </c>
      <c r="AE68" s="72">
        <f t="shared" si="8"/>
        <v>24</v>
      </c>
      <c r="AF68" s="72">
        <f t="shared" si="8"/>
        <v>20</v>
      </c>
      <c r="AG68" s="78">
        <f>SUM(AG57:AG67)</f>
        <v>0</v>
      </c>
      <c r="AH68" s="54">
        <f t="shared" si="2"/>
        <v>246.7</v>
      </c>
      <c r="AI68" s="55">
        <f t="shared" si="3"/>
        <v>-6.4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906.83999999999992</v>
      </c>
      <c r="C73" s="89">
        <f>C68+C56+C52+C38+C72</f>
        <v>863.68</v>
      </c>
      <c r="D73" s="89">
        <f t="shared" ref="D73:AG73" si="10">D68+D56+D52+D38+D72</f>
        <v>858.15999999999985</v>
      </c>
      <c r="E73" s="89">
        <f t="shared" si="10"/>
        <v>853.33999999999992</v>
      </c>
      <c r="F73" s="89">
        <f t="shared" si="10"/>
        <v>871.33999999999992</v>
      </c>
      <c r="G73" s="89">
        <f t="shared" si="10"/>
        <v>928.64</v>
      </c>
      <c r="H73" s="89">
        <f t="shared" si="10"/>
        <v>982.83999999999992</v>
      </c>
      <c r="I73" s="89">
        <f t="shared" si="10"/>
        <v>1083.6399999999999</v>
      </c>
      <c r="J73" s="89">
        <f t="shared" si="10"/>
        <v>1170.4399999999998</v>
      </c>
      <c r="K73" s="89">
        <f t="shared" si="10"/>
        <v>1235.1399999999999</v>
      </c>
      <c r="L73" s="89">
        <f t="shared" si="10"/>
        <v>1288.74</v>
      </c>
      <c r="M73" s="89">
        <f t="shared" si="10"/>
        <v>1375.44</v>
      </c>
      <c r="N73" s="89">
        <f t="shared" si="10"/>
        <v>1343.74</v>
      </c>
      <c r="O73" s="89">
        <f t="shared" si="10"/>
        <v>1268.74</v>
      </c>
      <c r="P73" s="89">
        <f t="shared" si="10"/>
        <v>1149.74</v>
      </c>
      <c r="Q73" s="89">
        <f t="shared" si="10"/>
        <v>1095.6399999999999</v>
      </c>
      <c r="R73" s="89">
        <f t="shared" si="10"/>
        <v>1072.44</v>
      </c>
      <c r="S73" s="89">
        <f t="shared" si="10"/>
        <v>1039.1400000000001</v>
      </c>
      <c r="T73" s="89">
        <f t="shared" si="10"/>
        <v>1097.54</v>
      </c>
      <c r="U73" s="89">
        <f t="shared" si="10"/>
        <v>1093.44</v>
      </c>
      <c r="V73" s="89">
        <f t="shared" si="10"/>
        <v>1182.24</v>
      </c>
      <c r="W73" s="89">
        <f t="shared" si="10"/>
        <v>1309.74</v>
      </c>
      <c r="X73" s="89">
        <f t="shared" si="10"/>
        <v>1475.8400000000001</v>
      </c>
      <c r="Y73" s="89">
        <f t="shared" si="10"/>
        <v>1441.8400000000001</v>
      </c>
      <c r="Z73" s="89">
        <f t="shared" si="10"/>
        <v>1374.24</v>
      </c>
      <c r="AA73" s="89">
        <f t="shared" si="10"/>
        <v>1254.1400000000001</v>
      </c>
      <c r="AB73" s="89">
        <f t="shared" si="10"/>
        <v>1298.24</v>
      </c>
      <c r="AC73" s="89">
        <f t="shared" si="10"/>
        <v>1144.44</v>
      </c>
      <c r="AD73" s="89">
        <f t="shared" si="10"/>
        <v>1063.04</v>
      </c>
      <c r="AE73" s="89">
        <f t="shared" si="10"/>
        <v>938.74</v>
      </c>
      <c r="AF73" s="89">
        <f t="shared" si="10"/>
        <v>875.94</v>
      </c>
      <c r="AG73" s="89">
        <f t="shared" si="10"/>
        <v>2144.14</v>
      </c>
      <c r="AH73" s="54">
        <f t="shared" si="2"/>
        <v>1475.8400000000001</v>
      </c>
      <c r="AI73" s="55">
        <f t="shared" si="3"/>
        <v>853.33999999999992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>
        <v>30</v>
      </c>
      <c r="Q74" s="91">
        <v>30</v>
      </c>
      <c r="R74" s="91">
        <v>20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906.83999999999992</v>
      </c>
      <c r="C75" s="89">
        <f>C73+C74</f>
        <v>863.68</v>
      </c>
      <c r="D75" s="89">
        <f t="shared" ref="D75:AF75" si="11">D72+D68+D56+D52+D38+D74</f>
        <v>858.15999999999985</v>
      </c>
      <c r="E75" s="89">
        <f t="shared" si="11"/>
        <v>853.33999999999992</v>
      </c>
      <c r="F75" s="89">
        <f t="shared" si="11"/>
        <v>871.33999999999992</v>
      </c>
      <c r="G75" s="89">
        <f t="shared" si="11"/>
        <v>928.64</v>
      </c>
      <c r="H75" s="89">
        <f t="shared" si="11"/>
        <v>982.83999999999992</v>
      </c>
      <c r="I75" s="89">
        <f t="shared" si="11"/>
        <v>1083.6399999999999</v>
      </c>
      <c r="J75" s="89">
        <f t="shared" si="11"/>
        <v>1170.4399999999998</v>
      </c>
      <c r="K75" s="89">
        <f t="shared" si="11"/>
        <v>1235.1399999999999</v>
      </c>
      <c r="L75" s="89">
        <f t="shared" si="11"/>
        <v>1288.74</v>
      </c>
      <c r="M75" s="89">
        <f t="shared" si="11"/>
        <v>1375.44</v>
      </c>
      <c r="N75" s="89">
        <f t="shared" si="11"/>
        <v>1343.74</v>
      </c>
      <c r="O75" s="89">
        <f t="shared" si="11"/>
        <v>1268.74</v>
      </c>
      <c r="P75" s="89">
        <f t="shared" si="11"/>
        <v>1179.74</v>
      </c>
      <c r="Q75" s="89">
        <f t="shared" si="11"/>
        <v>1125.6399999999999</v>
      </c>
      <c r="R75" s="89">
        <f t="shared" si="11"/>
        <v>1092.44</v>
      </c>
      <c r="S75" s="89">
        <f t="shared" si="11"/>
        <v>1039.1400000000001</v>
      </c>
      <c r="T75" s="89">
        <f t="shared" si="11"/>
        <v>1097.54</v>
      </c>
      <c r="U75" s="89">
        <f t="shared" si="11"/>
        <v>1093.44</v>
      </c>
      <c r="V75" s="89">
        <f t="shared" si="11"/>
        <v>1182.24</v>
      </c>
      <c r="W75" s="89">
        <f t="shared" si="11"/>
        <v>1309.74</v>
      </c>
      <c r="X75" s="89">
        <f t="shared" si="11"/>
        <v>1475.8400000000001</v>
      </c>
      <c r="Y75" s="89">
        <f t="shared" si="11"/>
        <v>1441.8400000000001</v>
      </c>
      <c r="Z75" s="89">
        <f t="shared" si="11"/>
        <v>1374.24</v>
      </c>
      <c r="AA75" s="89">
        <f t="shared" si="11"/>
        <v>1254.1400000000001</v>
      </c>
      <c r="AB75" s="89">
        <f t="shared" si="11"/>
        <v>1298.24</v>
      </c>
      <c r="AC75" s="89">
        <f t="shared" si="11"/>
        <v>1144.44</v>
      </c>
      <c r="AD75" s="89">
        <f t="shared" si="11"/>
        <v>1063.04</v>
      </c>
      <c r="AE75" s="89">
        <f t="shared" si="11"/>
        <v>938.74</v>
      </c>
      <c r="AF75" s="89">
        <f t="shared" si="11"/>
        <v>875.94</v>
      </c>
      <c r="AG75" s="78">
        <f>AG72+AG68+AG56+AG52+AG38+AG74</f>
        <v>2144.14</v>
      </c>
      <c r="AH75" s="54">
        <f t="shared" si="2"/>
        <v>1475.8400000000001</v>
      </c>
      <c r="AI75" s="55">
        <f t="shared" si="3"/>
        <v>853.33999999999992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2</v>
      </c>
      <c r="Y79" s="58">
        <f t="shared" si="17"/>
        <v>0</v>
      </c>
      <c r="Z79" s="58">
        <f t="shared" si="17"/>
        <v>0</v>
      </c>
      <c r="AA79" s="58">
        <f t="shared" si="17"/>
        <v>3</v>
      </c>
      <c r="AB79" s="58">
        <f t="shared" si="17"/>
        <v>0</v>
      </c>
      <c r="AC79" s="58">
        <f t="shared" si="17"/>
        <v>6.4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6.4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2</v>
      </c>
      <c r="Y82" s="72">
        <f t="shared" si="19"/>
        <v>0</v>
      </c>
      <c r="Z82" s="72">
        <f t="shared" si="19"/>
        <v>0</v>
      </c>
      <c r="AA82" s="72">
        <f t="shared" si="19"/>
        <v>3</v>
      </c>
      <c r="AB82" s="72">
        <f t="shared" si="19"/>
        <v>0</v>
      </c>
      <c r="AC82" s="72">
        <f t="shared" si="19"/>
        <v>6.4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6.4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1813.6799999999998</v>
      </c>
      <c r="C83" s="72">
        <f t="shared" ref="C83:AG83" si="20">SUM(C70:C82)</f>
        <v>1727.36</v>
      </c>
      <c r="D83" s="72">
        <f t="shared" si="20"/>
        <v>1716.3199999999997</v>
      </c>
      <c r="E83" s="72">
        <f t="shared" si="20"/>
        <v>1706.6799999999998</v>
      </c>
      <c r="F83" s="72">
        <f t="shared" si="20"/>
        <v>1742.6799999999998</v>
      </c>
      <c r="G83" s="72">
        <f t="shared" si="20"/>
        <v>1857.28</v>
      </c>
      <c r="H83" s="72">
        <f t="shared" si="20"/>
        <v>1965.6799999999998</v>
      </c>
      <c r="I83" s="72">
        <f t="shared" si="20"/>
        <v>2167.2799999999997</v>
      </c>
      <c r="J83" s="72">
        <f t="shared" si="20"/>
        <v>2340.8799999999997</v>
      </c>
      <c r="K83" s="72">
        <f t="shared" si="20"/>
        <v>2470.2799999999997</v>
      </c>
      <c r="L83" s="72">
        <f t="shared" si="20"/>
        <v>2577.48</v>
      </c>
      <c r="M83" s="72">
        <f>SUM(M70:M82)</f>
        <v>2750.88</v>
      </c>
      <c r="N83" s="72">
        <f t="shared" si="20"/>
        <v>2687.48</v>
      </c>
      <c r="O83" s="72">
        <f t="shared" si="20"/>
        <v>2537.48</v>
      </c>
      <c r="P83" s="72">
        <f t="shared" si="20"/>
        <v>2359.48</v>
      </c>
      <c r="Q83" s="72">
        <f t="shared" si="20"/>
        <v>2251.2799999999997</v>
      </c>
      <c r="R83" s="72">
        <f t="shared" si="20"/>
        <v>2184.88</v>
      </c>
      <c r="S83" s="72">
        <f t="shared" si="20"/>
        <v>2078.2800000000002</v>
      </c>
      <c r="T83" s="72">
        <f t="shared" si="20"/>
        <v>2195.08</v>
      </c>
      <c r="U83" s="72">
        <f t="shared" si="20"/>
        <v>2186.88</v>
      </c>
      <c r="V83" s="72">
        <f t="shared" si="20"/>
        <v>2364.48</v>
      </c>
      <c r="W83" s="72">
        <f t="shared" si="20"/>
        <v>2619.48</v>
      </c>
      <c r="X83" s="72">
        <f t="shared" si="20"/>
        <v>2955.6800000000003</v>
      </c>
      <c r="Y83" s="72">
        <f t="shared" si="20"/>
        <v>2883.6800000000003</v>
      </c>
      <c r="Z83" s="72">
        <f t="shared" si="20"/>
        <v>2748.48</v>
      </c>
      <c r="AA83" s="72">
        <f t="shared" si="20"/>
        <v>2514.2800000000002</v>
      </c>
      <c r="AB83" s="72">
        <f t="shared" si="20"/>
        <v>2596.48</v>
      </c>
      <c r="AC83" s="72">
        <f t="shared" si="20"/>
        <v>2301.6800000000003</v>
      </c>
      <c r="AD83" s="72">
        <f t="shared" si="20"/>
        <v>2126.08</v>
      </c>
      <c r="AE83" s="72">
        <f t="shared" si="20"/>
        <v>1877.48</v>
      </c>
      <c r="AF83" s="72">
        <f t="shared" si="20"/>
        <v>1751.88</v>
      </c>
      <c r="AG83" s="78">
        <f t="shared" si="20"/>
        <v>4360.08</v>
      </c>
      <c r="AH83" s="54">
        <f t="shared" si="13"/>
        <v>2955.6800000000003</v>
      </c>
      <c r="AI83" s="55">
        <f t="shared" si="14"/>
        <v>1706.6799999999998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50.02</v>
      </c>
      <c r="C84" s="95">
        <v>50.1</v>
      </c>
      <c r="D84" s="95">
        <v>50.1</v>
      </c>
      <c r="E84" s="95">
        <v>50.146999999999998</v>
      </c>
      <c r="F84" s="95">
        <v>50.018999999999998</v>
      </c>
      <c r="G84" s="95">
        <v>50.034999999999997</v>
      </c>
      <c r="H84" s="95">
        <v>50.009</v>
      </c>
      <c r="I84" s="95">
        <v>49.991</v>
      </c>
      <c r="J84" s="95">
        <v>50.164999999999999</v>
      </c>
      <c r="K84" s="95">
        <v>49.997999999999998</v>
      </c>
      <c r="L84" s="95">
        <v>49.96</v>
      </c>
      <c r="M84" s="95">
        <v>49.981999999999999</v>
      </c>
      <c r="N84" s="95">
        <v>50.01</v>
      </c>
      <c r="O84" s="95">
        <v>49.968000000000004</v>
      </c>
      <c r="P84" s="95">
        <v>49.99</v>
      </c>
      <c r="Q84" s="95">
        <v>50.015999999999998</v>
      </c>
      <c r="R84" s="95">
        <v>50.021000000000001</v>
      </c>
      <c r="S84" s="95">
        <v>50.031999999999996</v>
      </c>
      <c r="T84" s="95">
        <v>49.945999999999998</v>
      </c>
      <c r="U84" s="95">
        <v>49.960999999999999</v>
      </c>
      <c r="V84" s="95">
        <v>49.92</v>
      </c>
      <c r="W84" s="95">
        <v>50.064</v>
      </c>
      <c r="X84" s="95">
        <v>50.09</v>
      </c>
      <c r="Y84" s="95">
        <v>50.021000000000001</v>
      </c>
      <c r="Z84" s="95">
        <v>50</v>
      </c>
      <c r="AA84" s="95">
        <v>49.9283</v>
      </c>
      <c r="AB84" s="95">
        <v>50.04</v>
      </c>
      <c r="AC84" s="95">
        <v>49.99</v>
      </c>
      <c r="AD84" s="95">
        <v>50.06</v>
      </c>
      <c r="AE84" s="95">
        <v>50.03</v>
      </c>
      <c r="AF84" s="95">
        <v>49.99</v>
      </c>
      <c r="AG84" s="96"/>
      <c r="AH84" s="54">
        <f t="shared" si="13"/>
        <v>50.164999999999999</v>
      </c>
      <c r="AI84" s="55">
        <f t="shared" si="14"/>
        <v>49.92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127.5</v>
      </c>
      <c r="C85" s="73">
        <v>128.80000000000001</v>
      </c>
      <c r="D85" s="73">
        <v>128.80000000000001</v>
      </c>
      <c r="E85" s="73">
        <v>128.4</v>
      </c>
      <c r="F85" s="73">
        <v>128.4</v>
      </c>
      <c r="G85" s="73">
        <v>128.30000000000001</v>
      </c>
      <c r="H85" s="73">
        <v>127.6</v>
      </c>
      <c r="I85" s="73">
        <v>125.8</v>
      </c>
      <c r="J85" s="73">
        <v>124.4</v>
      </c>
      <c r="K85" s="73">
        <v>124.5</v>
      </c>
      <c r="L85" s="73">
        <v>124.3</v>
      </c>
      <c r="M85" s="73">
        <v>125.1</v>
      </c>
      <c r="N85" s="73">
        <v>125.3</v>
      </c>
      <c r="O85" s="73">
        <v>126.1</v>
      </c>
      <c r="P85" s="73">
        <v>125.4</v>
      </c>
      <c r="Q85" s="73">
        <v>126.8</v>
      </c>
      <c r="R85" s="73">
        <v>126.3</v>
      </c>
      <c r="S85" s="73">
        <v>127.1</v>
      </c>
      <c r="T85" s="73">
        <v>126.6</v>
      </c>
      <c r="U85" s="98">
        <v>127.1</v>
      </c>
      <c r="V85" s="98">
        <v>125.8</v>
      </c>
      <c r="W85" s="98">
        <v>123.9</v>
      </c>
      <c r="X85" s="98">
        <v>127.1</v>
      </c>
      <c r="Y85" s="98">
        <v>126.6</v>
      </c>
      <c r="Z85" s="98">
        <v>128.19999999999999</v>
      </c>
      <c r="AA85" s="98">
        <v>126</v>
      </c>
      <c r="AB85" s="98">
        <v>127</v>
      </c>
      <c r="AC85" s="98">
        <v>125.3</v>
      </c>
      <c r="AD85" s="98">
        <v>127.7</v>
      </c>
      <c r="AE85" s="98">
        <v>127.9</v>
      </c>
      <c r="AF85" s="73">
        <v>127.5</v>
      </c>
      <c r="AG85" s="99"/>
      <c r="AH85" s="54">
        <f t="shared" si="13"/>
        <v>128.80000000000001</v>
      </c>
      <c r="AI85" s="55">
        <f t="shared" si="14"/>
        <v>123.9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131.30000000000001</v>
      </c>
      <c r="C86" s="73">
        <v>132.19999999999999</v>
      </c>
      <c r="D86" s="73">
        <v>132.19999999999999</v>
      </c>
      <c r="E86" s="73">
        <v>132.1</v>
      </c>
      <c r="F86" s="73">
        <v>131.9</v>
      </c>
      <c r="G86" s="73">
        <v>131.80000000000001</v>
      </c>
      <c r="H86" s="73">
        <v>130.9</v>
      </c>
      <c r="I86" s="73">
        <v>129.19999999999999</v>
      </c>
      <c r="J86" s="73">
        <v>128</v>
      </c>
      <c r="K86" s="73">
        <v>127.2</v>
      </c>
      <c r="L86" s="73">
        <v>126.6</v>
      </c>
      <c r="M86" s="73">
        <v>127.3</v>
      </c>
      <c r="N86" s="73">
        <v>126.9</v>
      </c>
      <c r="O86" s="73">
        <v>127.9</v>
      </c>
      <c r="P86" s="73">
        <v>127.8</v>
      </c>
      <c r="Q86" s="73">
        <v>129.19999999999999</v>
      </c>
      <c r="R86" s="73">
        <v>129.19999999999999</v>
      </c>
      <c r="S86" s="73">
        <v>130</v>
      </c>
      <c r="T86" s="73">
        <v>129.4</v>
      </c>
      <c r="U86" s="98">
        <v>130.19999999999999</v>
      </c>
      <c r="V86" s="98">
        <v>128.6</v>
      </c>
      <c r="W86" s="98">
        <v>126.7</v>
      </c>
      <c r="X86" s="98">
        <v>128.30000000000001</v>
      </c>
      <c r="Y86" s="98">
        <v>127.9</v>
      </c>
      <c r="Z86" s="98">
        <v>129.19999999999999</v>
      </c>
      <c r="AA86" s="98">
        <v>127.7</v>
      </c>
      <c r="AB86" s="98">
        <v>128.5</v>
      </c>
      <c r="AC86" s="98">
        <v>128.1</v>
      </c>
      <c r="AD86" s="98">
        <v>130.5</v>
      </c>
      <c r="AE86" s="98">
        <v>130.80000000000001</v>
      </c>
      <c r="AF86" s="73">
        <v>131</v>
      </c>
      <c r="AG86" s="99"/>
      <c r="AH86" s="54">
        <f t="shared" si="13"/>
        <v>132.19999999999999</v>
      </c>
      <c r="AI86" s="55">
        <f t="shared" si="14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129.30000000000001</v>
      </c>
      <c r="C87" s="73">
        <v>130.6</v>
      </c>
      <c r="D87" s="73">
        <v>130.6</v>
      </c>
      <c r="E87" s="73">
        <v>132.19999999999999</v>
      </c>
      <c r="F87" s="73">
        <v>131</v>
      </c>
      <c r="G87" s="73">
        <v>130.19999999999999</v>
      </c>
      <c r="H87" s="73">
        <v>129.5</v>
      </c>
      <c r="I87" s="73">
        <v>128.4</v>
      </c>
      <c r="J87" s="73">
        <v>128.69999999999999</v>
      </c>
      <c r="K87" s="73">
        <v>129.1</v>
      </c>
      <c r="L87" s="73">
        <v>129.1</v>
      </c>
      <c r="M87" s="73">
        <v>127.2</v>
      </c>
      <c r="N87" s="73">
        <v>129.80000000000001</v>
      </c>
      <c r="O87" s="73">
        <v>129.1</v>
      </c>
      <c r="P87" s="73">
        <v>129.9</v>
      </c>
      <c r="Q87" s="73">
        <v>130.30000000000001</v>
      </c>
      <c r="R87" s="73">
        <v>131.1</v>
      </c>
      <c r="S87" s="73">
        <v>130.80000000000001</v>
      </c>
      <c r="T87" s="73">
        <v>129.19999999999999</v>
      </c>
      <c r="U87" s="73">
        <v>127.3</v>
      </c>
      <c r="V87" s="73">
        <v>128.19999999999999</v>
      </c>
      <c r="W87" s="73">
        <v>127.9</v>
      </c>
      <c r="X87" s="98">
        <v>131.1</v>
      </c>
      <c r="Y87" s="98">
        <v>129</v>
      </c>
      <c r="Z87" s="98">
        <v>132</v>
      </c>
      <c r="AA87" s="98">
        <v>130</v>
      </c>
      <c r="AB87" s="98">
        <v>131.5</v>
      </c>
      <c r="AC87" s="98">
        <v>128.80000000000001</v>
      </c>
      <c r="AD87" s="98">
        <v>130.80000000000001</v>
      </c>
      <c r="AE87" s="98">
        <v>131</v>
      </c>
      <c r="AF87" s="73">
        <v>129.80000000000001</v>
      </c>
      <c r="AG87" s="99"/>
      <c r="AH87" s="54">
        <f t="shared" si="13"/>
        <v>132.19999999999999</v>
      </c>
      <c r="AI87" s="55">
        <f t="shared" si="14"/>
        <v>127.2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132.19999999999999</v>
      </c>
      <c r="C88" s="73">
        <v>133.6</v>
      </c>
      <c r="D88" s="73">
        <v>133.6</v>
      </c>
      <c r="E88" s="73">
        <v>134.1</v>
      </c>
      <c r="F88" s="73">
        <v>133.19999999999999</v>
      </c>
      <c r="G88" s="73">
        <v>132.30000000000001</v>
      </c>
      <c r="H88" s="73">
        <v>131.5</v>
      </c>
      <c r="I88" s="73">
        <v>130.4</v>
      </c>
      <c r="J88" s="73">
        <v>131</v>
      </c>
      <c r="K88" s="73">
        <v>130.80000000000001</v>
      </c>
      <c r="L88" s="73">
        <v>130.80000000000001</v>
      </c>
      <c r="M88" s="73">
        <v>131.1</v>
      </c>
      <c r="N88" s="73">
        <v>134.5</v>
      </c>
      <c r="O88" s="73">
        <v>135.1</v>
      </c>
      <c r="P88" s="73">
        <v>134.30000000000001</v>
      </c>
      <c r="Q88" s="73">
        <v>135.30000000000001</v>
      </c>
      <c r="R88" s="73">
        <v>134.1</v>
      </c>
      <c r="S88" s="73">
        <v>134.6</v>
      </c>
      <c r="T88" s="73">
        <v>131.5</v>
      </c>
      <c r="U88" s="73">
        <v>130.9</v>
      </c>
      <c r="V88" s="73">
        <v>132.1</v>
      </c>
      <c r="W88" s="73">
        <v>131.80000000000001</v>
      </c>
      <c r="X88" s="98">
        <v>134.5</v>
      </c>
      <c r="Y88" s="98">
        <v>134.19999999999999</v>
      </c>
      <c r="Z88" s="98">
        <v>136.5</v>
      </c>
      <c r="AA88" s="98">
        <v>133.5</v>
      </c>
      <c r="AB88" s="98">
        <v>135.80000000000001</v>
      </c>
      <c r="AC88" s="98">
        <v>134</v>
      </c>
      <c r="AD88" s="98">
        <v>135.9</v>
      </c>
      <c r="AE88" s="98">
        <v>134.69999999999999</v>
      </c>
      <c r="AF88" s="73">
        <v>133.6</v>
      </c>
      <c r="AG88" s="99"/>
      <c r="AH88" s="54">
        <f t="shared" si="13"/>
        <v>136.5</v>
      </c>
      <c r="AI88" s="55">
        <f t="shared" si="14"/>
        <v>130.4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133.9</v>
      </c>
      <c r="C89" s="101">
        <v>131.1</v>
      </c>
      <c r="D89" s="101">
        <v>131.1</v>
      </c>
      <c r="E89" s="101">
        <v>129.69999999999999</v>
      </c>
      <c r="F89" s="101">
        <v>131.19999999999999</v>
      </c>
      <c r="G89" s="101">
        <v>132</v>
      </c>
      <c r="H89" s="101">
        <v>131.5</v>
      </c>
      <c r="I89" s="101">
        <v>133.5</v>
      </c>
      <c r="J89" s="101">
        <v>133.19999999999999</v>
      </c>
      <c r="K89" s="101">
        <v>131.4</v>
      </c>
      <c r="L89" s="101">
        <v>131.4</v>
      </c>
      <c r="M89" s="101"/>
      <c r="N89" s="101"/>
      <c r="O89" s="101"/>
      <c r="P89" s="101">
        <v>134.4</v>
      </c>
      <c r="Q89" s="101">
        <v>133.9</v>
      </c>
      <c r="R89" s="101">
        <v>132.9</v>
      </c>
      <c r="S89" s="101">
        <v>133.5</v>
      </c>
      <c r="T89" s="101">
        <v>134.5</v>
      </c>
      <c r="U89" s="101">
        <v>133.4</v>
      </c>
      <c r="V89" s="101">
        <v>135.19999999999999</v>
      </c>
      <c r="W89" s="101">
        <v>133</v>
      </c>
      <c r="X89" s="98">
        <v>132.6</v>
      </c>
      <c r="Y89" s="98">
        <v>134.4</v>
      </c>
      <c r="Z89" s="98">
        <v>137.30000000000001</v>
      </c>
      <c r="AA89" s="98">
        <v>134.1</v>
      </c>
      <c r="AB89" s="98">
        <v>132.4</v>
      </c>
      <c r="AC89" s="98">
        <v>132.9</v>
      </c>
      <c r="AD89" s="98">
        <v>131.9</v>
      </c>
      <c r="AE89" s="98">
        <v>132.69999999999999</v>
      </c>
      <c r="AF89" s="101">
        <v>127.8</v>
      </c>
      <c r="AG89" s="102"/>
      <c r="AH89" s="54">
        <f t="shared" si="13"/>
        <v>137.30000000000001</v>
      </c>
      <c r="AI89" s="55">
        <f t="shared" si="14"/>
        <v>127.8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138</v>
      </c>
      <c r="C90" s="73">
        <v>137</v>
      </c>
      <c r="D90" s="73">
        <v>137</v>
      </c>
      <c r="E90" s="73">
        <v>135.30000000000001</v>
      </c>
      <c r="F90" s="73">
        <v>135</v>
      </c>
      <c r="G90" s="73">
        <v>134</v>
      </c>
      <c r="H90" s="73">
        <v>132.69999999999999</v>
      </c>
      <c r="I90" s="73">
        <v>132.19999999999999</v>
      </c>
      <c r="J90" s="73">
        <v>134.1</v>
      </c>
      <c r="K90" s="73">
        <v>125.4</v>
      </c>
      <c r="L90" s="73">
        <v>125.4</v>
      </c>
      <c r="M90" s="73"/>
      <c r="N90" s="73"/>
      <c r="O90" s="73"/>
      <c r="P90" s="73">
        <v>130.9</v>
      </c>
      <c r="Q90" s="73">
        <v>134.4</v>
      </c>
      <c r="R90" s="73">
        <v>130.69999999999999</v>
      </c>
      <c r="S90" s="73">
        <v>133.5</v>
      </c>
      <c r="T90" s="73">
        <v>132.69999999999999</v>
      </c>
      <c r="U90" s="73">
        <v>132.30000000000001</v>
      </c>
      <c r="V90" s="73">
        <v>134.4</v>
      </c>
      <c r="W90" s="73">
        <v>135.5</v>
      </c>
      <c r="X90" s="98">
        <v>128.9</v>
      </c>
      <c r="Y90" s="98">
        <v>134</v>
      </c>
      <c r="Z90" s="98">
        <v>135.80000000000001</v>
      </c>
      <c r="AA90" s="98">
        <v>133.80000000000001</v>
      </c>
      <c r="AB90" s="98">
        <v>133.6</v>
      </c>
      <c r="AC90" s="98">
        <v>134.6</v>
      </c>
      <c r="AD90" s="98">
        <v>132.6</v>
      </c>
      <c r="AE90" s="98">
        <v>134.30000000000001</v>
      </c>
      <c r="AF90" s="73">
        <v>128.80000000000001</v>
      </c>
      <c r="AG90" s="99"/>
      <c r="AH90" s="54">
        <f t="shared" si="13"/>
        <v>138</v>
      </c>
      <c r="AI90" s="55">
        <f t="shared" si="14"/>
        <v>125.4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</v>
      </c>
      <c r="C91" s="103">
        <v>67.3</v>
      </c>
      <c r="D91" s="103">
        <v>67.3</v>
      </c>
      <c r="E91" s="103">
        <v>67.3</v>
      </c>
      <c r="F91" s="103">
        <v>67.2</v>
      </c>
      <c r="G91" s="103">
        <v>67</v>
      </c>
      <c r="H91" s="103">
        <v>66.400000000000006</v>
      </c>
      <c r="I91" s="103">
        <v>65.8</v>
      </c>
      <c r="J91" s="103">
        <v>64.900000000000006</v>
      </c>
      <c r="K91" s="103">
        <v>64.5</v>
      </c>
      <c r="L91" s="103">
        <v>64.5</v>
      </c>
      <c r="M91" s="103">
        <v>64.7</v>
      </c>
      <c r="N91" s="103">
        <v>64.7</v>
      </c>
      <c r="O91" s="103">
        <v>65.3</v>
      </c>
      <c r="P91" s="103">
        <v>65.099999999999994</v>
      </c>
      <c r="Q91" s="103">
        <v>66</v>
      </c>
      <c r="R91" s="103">
        <v>65.400000000000006</v>
      </c>
      <c r="S91" s="103">
        <v>66.5</v>
      </c>
      <c r="T91" s="103">
        <v>65.8</v>
      </c>
      <c r="U91" s="103">
        <v>66.3</v>
      </c>
      <c r="V91" s="103">
        <v>65.5</v>
      </c>
      <c r="W91" s="103">
        <v>64.599999999999994</v>
      </c>
      <c r="X91" s="103">
        <v>65.099999999999994</v>
      </c>
      <c r="Y91" s="103">
        <v>64.900000000000006</v>
      </c>
      <c r="Z91" s="103">
        <v>65.599999999999994</v>
      </c>
      <c r="AA91" s="103">
        <v>65</v>
      </c>
      <c r="AB91" s="103">
        <v>65.5</v>
      </c>
      <c r="AC91" s="103">
        <v>64.900000000000006</v>
      </c>
      <c r="AD91" s="103">
        <v>66.3</v>
      </c>
      <c r="AE91" s="103">
        <v>66.5</v>
      </c>
      <c r="AF91" s="103">
        <v>66.599999999999994</v>
      </c>
      <c r="AG91" s="104"/>
      <c r="AH91" s="54">
        <f t="shared" si="13"/>
        <v>67.3</v>
      </c>
      <c r="AI91" s="55">
        <f t="shared" si="14"/>
        <v>64.5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200.03999999999996</v>
      </c>
      <c r="C93" s="110" t="e">
        <f>SUM(C15,C18,C21:C22,C42,C44:C45,C47,C49,#REF!,C102,C108,C114,C123,C125,C137,C144,C147:C148,C155,C157,C159,C163:C165,C167:C169,C174,C180:C181,C183:C185,C193,C198)</f>
        <v>#REF!</v>
      </c>
      <c r="D93" s="110">
        <f t="shared" ref="D93:AF93" si="21">SUM(D15,D18,D21:D22,D42,D44:D45,D47,D49,D94:D97,D102,D108,D114,D123,D125,D137,D144,D147:D148,D155,D157,D159,D163:D165,D167:D169,D174,D180:D181,D183:D185,D193,D198)</f>
        <v>176.93999999999997</v>
      </c>
      <c r="E93" s="110">
        <f>SUM(E15,E18,E21:E22,E42,E44:E45,E47,E49,C94:C97,E102,E108,E114,E123,E125,E137,E144,E147:E148,E155,E157,E159,E163:E165,E167:E169,E174,E180:E181,E183:E185,E193,E198)</f>
        <v>175.93999999999997</v>
      </c>
      <c r="F93" s="110">
        <f t="shared" si="21"/>
        <v>176.14</v>
      </c>
      <c r="G93" s="109">
        <f t="shared" si="21"/>
        <v>200.03999999999996</v>
      </c>
      <c r="H93" s="109">
        <f t="shared" si="21"/>
        <v>220.03999999999996</v>
      </c>
      <c r="I93" s="109">
        <f t="shared" si="21"/>
        <v>246.93999999999994</v>
      </c>
      <c r="J93" s="109">
        <f t="shared" si="21"/>
        <v>288.83999999999997</v>
      </c>
      <c r="K93" s="109">
        <f t="shared" si="21"/>
        <v>344.44000000000005</v>
      </c>
      <c r="L93" s="109">
        <f t="shared" si="21"/>
        <v>399.64000000000004</v>
      </c>
      <c r="M93" s="109">
        <f t="shared" si="21"/>
        <v>402.14</v>
      </c>
      <c r="N93" s="109">
        <f t="shared" si="21"/>
        <v>313.74</v>
      </c>
      <c r="O93" s="109">
        <f t="shared" si="21"/>
        <v>314.94</v>
      </c>
      <c r="P93" s="109">
        <f t="shared" si="21"/>
        <v>332.64000000000004</v>
      </c>
      <c r="Q93" s="109">
        <f t="shared" si="21"/>
        <v>299.64</v>
      </c>
      <c r="R93" s="109">
        <f t="shared" si="21"/>
        <v>294.54000000000002</v>
      </c>
      <c r="S93" s="109">
        <f t="shared" si="21"/>
        <v>305.04000000000002</v>
      </c>
      <c r="T93" s="109">
        <f t="shared" si="21"/>
        <v>318.24</v>
      </c>
      <c r="U93" s="109">
        <f t="shared" si="21"/>
        <v>308.04000000000002</v>
      </c>
      <c r="V93" s="109">
        <f t="shared" si="21"/>
        <v>337.34000000000003</v>
      </c>
      <c r="W93" s="109">
        <f t="shared" si="21"/>
        <v>387.24</v>
      </c>
      <c r="X93" s="109">
        <f t="shared" si="21"/>
        <v>437.94000000000005</v>
      </c>
      <c r="Y93" s="109">
        <f t="shared" si="21"/>
        <v>444.44000000000005</v>
      </c>
      <c r="Z93" s="109">
        <f t="shared" si="21"/>
        <v>435.94</v>
      </c>
      <c r="AA93" s="109">
        <f t="shared" si="21"/>
        <v>428.54</v>
      </c>
      <c r="AB93" s="109">
        <f t="shared" si="21"/>
        <v>406.84000000000003</v>
      </c>
      <c r="AC93" s="109">
        <f t="shared" si="21"/>
        <v>367.84000000000003</v>
      </c>
      <c r="AD93" s="109">
        <f t="shared" si="21"/>
        <v>329.04</v>
      </c>
      <c r="AE93" s="109">
        <f t="shared" si="21"/>
        <v>259.34000000000003</v>
      </c>
      <c r="AF93" s="109">
        <f t="shared" si="21"/>
        <v>210.33999999999997</v>
      </c>
      <c r="AG93" s="111"/>
      <c r="AH93" s="54" t="e">
        <f>MAX(C93:AF93)</f>
        <v>#REF!</v>
      </c>
      <c r="AI93" s="55" t="e">
        <f>MIN(C93:AF93)</f>
        <v>#REF!</v>
      </c>
    </row>
    <row r="94" spans="1:88" x14ac:dyDescent="0.25">
      <c r="A94" s="112" t="s">
        <v>98</v>
      </c>
      <c r="B94" s="175">
        <v>16.8</v>
      </c>
      <c r="C94" s="175">
        <v>13.6</v>
      </c>
      <c r="D94" s="175">
        <v>14.6</v>
      </c>
      <c r="E94" s="175">
        <v>15.6</v>
      </c>
      <c r="F94" s="58">
        <v>15.4</v>
      </c>
      <c r="G94" s="114">
        <v>26.4</v>
      </c>
      <c r="H94" s="114">
        <v>23.8</v>
      </c>
      <c r="I94" s="114">
        <v>27.9</v>
      </c>
      <c r="J94" s="114">
        <v>23.7</v>
      </c>
      <c r="K94" s="114">
        <v>37.4</v>
      </c>
      <c r="L94" s="114">
        <v>51</v>
      </c>
      <c r="M94" s="113">
        <v>50.5</v>
      </c>
      <c r="N94" s="114">
        <v>55.3</v>
      </c>
      <c r="O94" s="114">
        <v>59.4</v>
      </c>
      <c r="P94" s="114">
        <v>45.9</v>
      </c>
      <c r="Q94" s="114">
        <v>26.1</v>
      </c>
      <c r="R94" s="114">
        <v>31.7</v>
      </c>
      <c r="S94" s="114">
        <v>42.2</v>
      </c>
      <c r="T94" s="114">
        <v>36.700000000000003</v>
      </c>
      <c r="U94" s="113">
        <v>35.6</v>
      </c>
      <c r="V94" s="113">
        <v>28.3</v>
      </c>
      <c r="W94" s="113">
        <v>58.4</v>
      </c>
      <c r="X94" s="114">
        <v>35</v>
      </c>
      <c r="Y94" s="114">
        <v>43.9</v>
      </c>
      <c r="Z94" s="114">
        <v>53.5</v>
      </c>
      <c r="AA94" s="114">
        <v>64</v>
      </c>
      <c r="AB94" s="114">
        <v>60.5</v>
      </c>
      <c r="AC94" s="113">
        <v>55.9</v>
      </c>
      <c r="AD94" s="113">
        <v>53.6</v>
      </c>
      <c r="AE94" s="113">
        <v>37.9</v>
      </c>
      <c r="AF94" s="113">
        <v>25.4</v>
      </c>
      <c r="AG94" s="115">
        <v>75</v>
      </c>
      <c r="AH94" s="54">
        <f t="shared" ref="AH94:AH99" si="22">IF(ABS(MAX(C94:AF94))&gt;ABS(MIN(C94:AF94)),MAX(C94:AF94),MIN(C94:AF94))</f>
        <v>64</v>
      </c>
      <c r="AI94" s="116">
        <f t="shared" ref="AI94:AI99" si="23">INDEX($C$9:$AF$9,1,MATCH(AH94,C94:AF94,0))</f>
        <v>0.8125</v>
      </c>
    </row>
    <row r="95" spans="1:88" x14ac:dyDescent="0.25">
      <c r="A95" s="117" t="s">
        <v>99</v>
      </c>
      <c r="B95" s="176">
        <v>-45.8</v>
      </c>
      <c r="C95" s="176">
        <f>-31-34.5</f>
        <v>-65.5</v>
      </c>
      <c r="D95" s="176">
        <f>-31-34.5</f>
        <v>-65.5</v>
      </c>
      <c r="E95" s="176">
        <f>-31-34.5</f>
        <v>-65.5</v>
      </c>
      <c r="F95" s="60">
        <v>-67</v>
      </c>
      <c r="G95" s="60">
        <v>-60</v>
      </c>
      <c r="H95" s="60">
        <v>-53</v>
      </c>
      <c r="I95" s="60">
        <v>-47</v>
      </c>
      <c r="J95" s="60">
        <v>-32</v>
      </c>
      <c r="K95" s="60">
        <v>-18</v>
      </c>
      <c r="L95" s="60">
        <v>2</v>
      </c>
      <c r="M95" s="60">
        <v>5.7</v>
      </c>
      <c r="N95" s="60">
        <v>5.2</v>
      </c>
      <c r="O95" s="60">
        <v>0.2</v>
      </c>
      <c r="P95" s="60">
        <v>-15.1</v>
      </c>
      <c r="Q95" s="60">
        <v>-20.3</v>
      </c>
      <c r="R95" s="60">
        <v>-30</v>
      </c>
      <c r="S95" s="60">
        <v>-30</v>
      </c>
      <c r="T95" s="60">
        <v>-18</v>
      </c>
      <c r="U95" s="60">
        <v>-22.4</v>
      </c>
      <c r="V95" s="60">
        <v>-14</v>
      </c>
      <c r="W95" s="60">
        <v>-5</v>
      </c>
      <c r="X95" s="60">
        <v>35</v>
      </c>
      <c r="Y95" s="60">
        <v>36</v>
      </c>
      <c r="Z95" s="60">
        <v>31</v>
      </c>
      <c r="AA95" s="60">
        <v>12</v>
      </c>
      <c r="AB95" s="60">
        <f>6+5.4</f>
        <v>11.4</v>
      </c>
      <c r="AC95" s="73">
        <f>-3.3-4.7</f>
        <v>-8</v>
      </c>
      <c r="AD95" s="73">
        <f>-7.4-9.1</f>
        <v>-16.5</v>
      </c>
      <c r="AE95" s="73">
        <f>-18.1-21.4</f>
        <v>-39.5</v>
      </c>
      <c r="AF95" s="73">
        <f>-26-30.6</f>
        <v>-56.6</v>
      </c>
      <c r="AG95" s="115">
        <v>240</v>
      </c>
      <c r="AH95" s="54">
        <f t="shared" si="22"/>
        <v>-67</v>
      </c>
      <c r="AI95" s="116">
        <f t="shared" si="23"/>
        <v>0.16666666666666699</v>
      </c>
    </row>
    <row r="96" spans="1:88" x14ac:dyDescent="0.25">
      <c r="A96" s="117" t="s">
        <v>100</v>
      </c>
      <c r="B96" s="176">
        <v>5.6</v>
      </c>
      <c r="C96" s="176">
        <v>4.4000000000000004</v>
      </c>
      <c r="D96" s="176">
        <v>4.4000000000000004</v>
      </c>
      <c r="E96" s="176">
        <v>4.4000000000000004</v>
      </c>
      <c r="F96" s="60">
        <v>4.7</v>
      </c>
      <c r="G96" s="60">
        <v>7.1</v>
      </c>
      <c r="H96" s="60">
        <v>8.6</v>
      </c>
      <c r="I96" s="60">
        <v>10.7</v>
      </c>
      <c r="J96" s="60">
        <v>15.2</v>
      </c>
      <c r="K96" s="60">
        <v>28</v>
      </c>
      <c r="L96" s="60">
        <v>42.6</v>
      </c>
      <c r="M96" s="60">
        <v>45.8</v>
      </c>
      <c r="N96" s="60">
        <v>54.2</v>
      </c>
      <c r="O96" s="60">
        <v>56.3</v>
      </c>
      <c r="P96" s="60">
        <v>25.7</v>
      </c>
      <c r="Q96" s="60">
        <v>23.7</v>
      </c>
      <c r="R96" s="60">
        <v>18.899999999999999</v>
      </c>
      <c r="S96" s="60">
        <v>18.899999999999999</v>
      </c>
      <c r="T96" s="60">
        <v>20.2</v>
      </c>
      <c r="U96" s="60">
        <v>19.5</v>
      </c>
      <c r="V96" s="60">
        <v>22.3</v>
      </c>
      <c r="W96" s="60">
        <v>33.799999999999997</v>
      </c>
      <c r="X96" s="60">
        <v>65</v>
      </c>
      <c r="Y96" s="60">
        <v>57.5</v>
      </c>
      <c r="Z96" s="60">
        <v>53.4</v>
      </c>
      <c r="AA96" s="60">
        <v>47.5</v>
      </c>
      <c r="AB96" s="60">
        <v>32.1</v>
      </c>
      <c r="AC96" s="73">
        <v>27.3</v>
      </c>
      <c r="AD96" s="73">
        <v>24.1</v>
      </c>
      <c r="AE96" s="73">
        <v>16.100000000000001</v>
      </c>
      <c r="AF96" s="73">
        <v>9.6</v>
      </c>
      <c r="AG96" s="115">
        <v>60</v>
      </c>
      <c r="AH96" s="54">
        <f t="shared" si="22"/>
        <v>65</v>
      </c>
      <c r="AI96" s="116">
        <f t="shared" si="23"/>
        <v>0.75</v>
      </c>
    </row>
    <row r="97" spans="1:37" x14ac:dyDescent="0.25">
      <c r="A97" s="118" t="s">
        <v>101</v>
      </c>
      <c r="B97" s="177">
        <v>24.4</v>
      </c>
      <c r="C97" s="177">
        <v>24.4</v>
      </c>
      <c r="D97" s="177">
        <v>24.4</v>
      </c>
      <c r="E97" s="177">
        <v>24.4</v>
      </c>
      <c r="F97" s="63">
        <v>24</v>
      </c>
      <c r="G97" s="63">
        <v>27.5</v>
      </c>
      <c r="H97" s="63">
        <v>41.6</v>
      </c>
      <c r="I97" s="63">
        <v>56.3</v>
      </c>
      <c r="J97" s="63">
        <v>82.9</v>
      </c>
      <c r="K97" s="63">
        <v>98</v>
      </c>
      <c r="L97" s="63">
        <v>105</v>
      </c>
      <c r="M97" s="63">
        <v>101.1</v>
      </c>
      <c r="N97" s="63"/>
      <c r="O97" s="63"/>
      <c r="P97" s="63">
        <v>86.7</v>
      </c>
      <c r="Q97" s="63">
        <v>82.1</v>
      </c>
      <c r="R97" s="63">
        <v>76.900000000000006</v>
      </c>
      <c r="S97" s="63">
        <v>76.900000000000006</v>
      </c>
      <c r="T97" s="63">
        <v>82.3</v>
      </c>
      <c r="U97" s="63">
        <v>78.3</v>
      </c>
      <c r="V97" s="63">
        <v>103.7</v>
      </c>
      <c r="W97" s="63">
        <v>103</v>
      </c>
      <c r="X97" s="63">
        <v>105.9</v>
      </c>
      <c r="Y97" s="63">
        <v>110</v>
      </c>
      <c r="Z97" s="63">
        <v>101</v>
      </c>
      <c r="AA97" s="63">
        <v>108</v>
      </c>
      <c r="AB97" s="63">
        <v>105.8</v>
      </c>
      <c r="AC97" s="119">
        <v>95.6</v>
      </c>
      <c r="AD97" s="119">
        <v>70.8</v>
      </c>
      <c r="AE97" s="119">
        <v>47.8</v>
      </c>
      <c r="AF97" s="119">
        <v>34.9</v>
      </c>
      <c r="AG97" s="120">
        <v>120</v>
      </c>
      <c r="AH97" s="54">
        <f t="shared" si="22"/>
        <v>110</v>
      </c>
      <c r="AI97" s="116">
        <f t="shared" si="23"/>
        <v>0.77083333333333337</v>
      </c>
    </row>
    <row r="98" spans="1:37" x14ac:dyDescent="0.25">
      <c r="A98" s="118" t="s">
        <v>102</v>
      </c>
      <c r="B98" s="177">
        <v>42.6</v>
      </c>
      <c r="C98" s="177">
        <v>42.6</v>
      </c>
      <c r="D98" s="177">
        <v>42.6</v>
      </c>
      <c r="E98" s="177">
        <v>42.6</v>
      </c>
      <c r="F98" s="63">
        <v>42.2</v>
      </c>
      <c r="G98" s="63">
        <v>41.4</v>
      </c>
      <c r="H98" s="63">
        <v>52.5</v>
      </c>
      <c r="I98" s="63">
        <v>65.8</v>
      </c>
      <c r="J98" s="63">
        <v>83.1</v>
      </c>
      <c r="K98" s="63">
        <v>84</v>
      </c>
      <c r="L98" s="63">
        <v>82.4</v>
      </c>
      <c r="M98" s="63">
        <v>83.3</v>
      </c>
      <c r="N98" s="63">
        <v>72</v>
      </c>
      <c r="O98" s="63">
        <v>56.7</v>
      </c>
      <c r="P98" s="63">
        <v>85.1</v>
      </c>
      <c r="Q98" s="63">
        <v>80.099999999999994</v>
      </c>
      <c r="R98" s="63">
        <v>77.7</v>
      </c>
      <c r="S98" s="63">
        <v>77.7</v>
      </c>
      <c r="T98" s="63">
        <v>79</v>
      </c>
      <c r="U98" s="63">
        <v>79</v>
      </c>
      <c r="V98" s="63">
        <v>88.8</v>
      </c>
      <c r="W98" s="63">
        <v>85.8</v>
      </c>
      <c r="X98" s="63">
        <v>65.8</v>
      </c>
      <c r="Y98" s="63">
        <v>70.400000000000006</v>
      </c>
      <c r="Z98" s="63">
        <v>65.599999999999994</v>
      </c>
      <c r="AA98" s="63">
        <v>79.900000000000006</v>
      </c>
      <c r="AB98" s="63">
        <v>80.099999999999994</v>
      </c>
      <c r="AC98" s="119">
        <v>77.5</v>
      </c>
      <c r="AD98" s="119">
        <v>60.2</v>
      </c>
      <c r="AE98" s="119">
        <v>48</v>
      </c>
      <c r="AF98" s="119">
        <v>43.6</v>
      </c>
      <c r="AG98" s="120"/>
      <c r="AH98" s="54">
        <f t="shared" si="22"/>
        <v>88.8</v>
      </c>
      <c r="AI98" s="116">
        <f t="shared" si="23"/>
        <v>0.70833333333333304</v>
      </c>
    </row>
    <row r="99" spans="1:37" ht="15.75" thickBot="1" x14ac:dyDescent="0.3">
      <c r="A99" s="118" t="s">
        <v>217</v>
      </c>
      <c r="B99" s="177">
        <v>62</v>
      </c>
      <c r="C99" s="63">
        <v>55.5</v>
      </c>
      <c r="D99" s="63">
        <v>55.5</v>
      </c>
      <c r="E99" s="63">
        <v>55.5</v>
      </c>
      <c r="F99" s="63">
        <v>67</v>
      </c>
      <c r="G99" s="63">
        <v>65</v>
      </c>
      <c r="H99" s="63">
        <v>68</v>
      </c>
      <c r="I99" s="63">
        <v>69</v>
      </c>
      <c r="J99" s="63">
        <v>68</v>
      </c>
      <c r="K99" s="63">
        <v>75</v>
      </c>
      <c r="L99" s="63">
        <v>62</v>
      </c>
      <c r="M99" s="63"/>
      <c r="N99" s="63"/>
      <c r="O99" s="63"/>
      <c r="P99" s="63">
        <v>62</v>
      </c>
      <c r="Q99" s="63">
        <v>77.099999999999994</v>
      </c>
      <c r="R99" s="63">
        <v>68.3</v>
      </c>
      <c r="S99" s="63">
        <v>68.3</v>
      </c>
      <c r="T99" s="63">
        <v>70</v>
      </c>
      <c r="U99" s="63">
        <v>57.1</v>
      </c>
      <c r="V99" s="63">
        <v>66.5</v>
      </c>
      <c r="W99" s="63">
        <v>34.4</v>
      </c>
      <c r="X99" s="63">
        <v>61.4</v>
      </c>
      <c r="Y99" s="63">
        <v>59.8</v>
      </c>
      <c r="Z99" s="63">
        <v>51.2</v>
      </c>
      <c r="AA99" s="63">
        <v>39</v>
      </c>
      <c r="AB99" s="63">
        <v>49</v>
      </c>
      <c r="AC99" s="119">
        <v>55.2</v>
      </c>
      <c r="AD99" s="119">
        <v>35.299999999999997</v>
      </c>
      <c r="AE99" s="119">
        <v>53.2</v>
      </c>
      <c r="AF99" s="119">
        <v>62.9</v>
      </c>
      <c r="AG99" s="121"/>
      <c r="AH99" s="54">
        <f t="shared" si="22"/>
        <v>77.099999999999994</v>
      </c>
      <c r="AI99" s="116">
        <f t="shared" si="23"/>
        <v>0.5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1375.44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2078/08/3)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906.83999999999992</v>
      </c>
      <c r="U213" s="167">
        <f t="shared" si="60"/>
        <v>863.68</v>
      </c>
      <c r="V213" s="167">
        <f t="shared" si="60"/>
        <v>858.15999999999985</v>
      </c>
      <c r="W213" s="167">
        <f t="shared" si="60"/>
        <v>853.33999999999992</v>
      </c>
      <c r="X213" s="167">
        <f t="shared" si="60"/>
        <v>871.33999999999992</v>
      </c>
      <c r="Y213" s="167">
        <f t="shared" si="60"/>
        <v>928.64</v>
      </c>
      <c r="Z213" s="167">
        <f t="shared" si="60"/>
        <v>982.83999999999992</v>
      </c>
      <c r="AA213" s="167">
        <f t="shared" si="60"/>
        <v>1083.6399999999999</v>
      </c>
      <c r="AB213" s="167">
        <f t="shared" si="60"/>
        <v>1170.4399999999998</v>
      </c>
      <c r="AC213" s="167">
        <f t="shared" si="60"/>
        <v>1235.1399999999999</v>
      </c>
      <c r="AD213" s="167">
        <f t="shared" si="60"/>
        <v>1288.74</v>
      </c>
      <c r="AE213" s="167">
        <f t="shared" si="60"/>
        <v>1375.44</v>
      </c>
      <c r="AF213" s="167">
        <f t="shared" si="60"/>
        <v>1343.74</v>
      </c>
      <c r="AG213" s="167">
        <f t="shared" si="60"/>
        <v>1268.74</v>
      </c>
      <c r="AH213" s="167">
        <f t="shared" si="60"/>
        <v>1179.74</v>
      </c>
      <c r="AI213" s="167">
        <f t="shared" si="60"/>
        <v>1125.6399999999999</v>
      </c>
      <c r="AJ213" s="167">
        <f t="shared" si="60"/>
        <v>1092.44</v>
      </c>
      <c r="AK213" s="167">
        <f t="shared" si="60"/>
        <v>1039.1400000000001</v>
      </c>
      <c r="AL213" s="167">
        <f t="shared" si="60"/>
        <v>1097.54</v>
      </c>
      <c r="AM213" s="167">
        <f t="shared" si="60"/>
        <v>1093.44</v>
      </c>
      <c r="AN213" s="167">
        <f t="shared" si="60"/>
        <v>1182.24</v>
      </c>
      <c r="AO213" s="167">
        <f t="shared" si="60"/>
        <v>1309.74</v>
      </c>
      <c r="AP213" s="167">
        <f t="shared" si="60"/>
        <v>1475.8400000000001</v>
      </c>
      <c r="AQ213" s="167">
        <f t="shared" si="60"/>
        <v>1441.8400000000001</v>
      </c>
      <c r="AR213" s="167">
        <f t="shared" si="60"/>
        <v>1374.24</v>
      </c>
      <c r="AS213" s="167">
        <f t="shared" si="60"/>
        <v>1254.1400000000001</v>
      </c>
      <c r="AT213" s="167">
        <f t="shared" si="60"/>
        <v>1298.24</v>
      </c>
      <c r="AU213" s="167">
        <f t="shared" si="60"/>
        <v>1144.44</v>
      </c>
      <c r="AV213" s="167">
        <f t="shared" si="60"/>
        <v>1063.04</v>
      </c>
      <c r="AW213" s="167">
        <f t="shared" si="60"/>
        <v>938.74</v>
      </c>
      <c r="AX213" s="167">
        <f t="shared" si="60"/>
        <v>875.94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N62:N67 P39:R39 O61:O67 P40:Q42 R42 P60:R67 AB81:AF81 B81:R81 C56:AF56 D193:AF199 B193:B199 B84:B91 B9:AF10 B191:AF191 B53:B56 AG73 U212:AF212 B68:AF80 B94:B99 C53:D55 B82:AF83 M60:O60 M61:N61 E57:L61 B36:L36 M39:O42 R11:AC11 M11:Q12 Q39:Q42 N45:R48 R12 M37:R37 R40:T41 M58:W59 U40:Z42 AA12:AC13 X85:AD91 AC84:AF91 AC94:AF99 S18:AF30 S36:AF36 AD11:AF13 Z40:AF43 M53:AF55">
    <cfRule type="expression" dxfId="8508" priority="291">
      <formula>B$9&gt;=20/24</formula>
    </cfRule>
    <cfRule type="expression" dxfId="8507" priority="292">
      <formula>AND(B$9&gt;=14/24,B$9&lt;20/24)</formula>
    </cfRule>
    <cfRule type="expression" dxfId="8506" priority="293">
      <formula>AND(B$9&gt;=8/24,B$9&lt;14/24)</formula>
    </cfRule>
    <cfRule type="expression" dxfId="8505" priority="294">
      <formula>B$9&lt;8/24</formula>
    </cfRule>
  </conditionalFormatting>
  <conditionalFormatting sqref="AL4:AL6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504" priority="286">
      <formula>M$9&gt;=20/24</formula>
    </cfRule>
    <cfRule type="expression" dxfId="8503" priority="287">
      <formula>AND(M$9&gt;=14/24,M$9&lt;20/24)</formula>
    </cfRule>
    <cfRule type="expression" dxfId="8502" priority="288">
      <formula>AND(M$9&gt;=8/24,M$9&lt;14/24)</formula>
    </cfRule>
    <cfRule type="expression" dxfId="8501" priority="289">
      <formula>M$9&lt;8/24</formula>
    </cfRule>
  </conditionalFormatting>
  <conditionalFormatting sqref="M43:R43">
    <cfRule type="expression" dxfId="8500" priority="282">
      <formula>M$9&gt;=20/24</formula>
    </cfRule>
    <cfRule type="expression" dxfId="8499" priority="283">
      <formula>AND(M$9&gt;=14/24,M$9&lt;20/24)</formula>
    </cfRule>
    <cfRule type="expression" dxfId="8498" priority="284">
      <formula>AND(M$9&gt;=8/24,M$9&lt;14/24)</formula>
    </cfRule>
    <cfRule type="expression" dxfId="8497" priority="285">
      <formula>M$9&lt;8/24</formula>
    </cfRule>
  </conditionalFormatting>
  <conditionalFormatting sqref="S39:AF39">
    <cfRule type="expression" dxfId="8496" priority="274">
      <formula>S$9&gt;=20/24</formula>
    </cfRule>
    <cfRule type="expression" dxfId="8495" priority="275">
      <formula>AND(S$9&gt;=14/24,S$9&lt;20/24)</formula>
    </cfRule>
    <cfRule type="expression" dxfId="8494" priority="276">
      <formula>AND(S$9&gt;=8/24,S$9&lt;14/24)</formula>
    </cfRule>
    <cfRule type="expression" dxfId="8493" priority="277">
      <formula>S$9&lt;8/24</formula>
    </cfRule>
  </conditionalFormatting>
  <conditionalFormatting sqref="S57:AF57">
    <cfRule type="expression" dxfId="8492" priority="270">
      <formula>S$9&gt;=20/24</formula>
    </cfRule>
    <cfRule type="expression" dxfId="8491" priority="271">
      <formula>AND(S$9&gt;=14/24,S$9&lt;20/24)</formula>
    </cfRule>
    <cfRule type="expression" dxfId="8490" priority="272">
      <formula>AND(S$9&gt;=8/24,S$9&lt;14/24)</formula>
    </cfRule>
    <cfRule type="expression" dxfId="8489" priority="273">
      <formula>S$9&lt;8/24</formula>
    </cfRule>
  </conditionalFormatting>
  <conditionalFormatting sqref="S81:AA81">
    <cfRule type="expression" dxfId="8488" priority="266">
      <formula>S$9&gt;=20/24</formula>
    </cfRule>
    <cfRule type="expression" dxfId="8487" priority="267">
      <formula>AND(S$9&gt;=14/24,S$9&lt;20/24)</formula>
    </cfRule>
    <cfRule type="expression" dxfId="8486" priority="268">
      <formula>AND(S$9&gt;=8/24,S$9&lt;14/24)</formula>
    </cfRule>
    <cfRule type="expression" dxfId="8485" priority="269">
      <formula>S$9&lt;8/24</formula>
    </cfRule>
  </conditionalFormatting>
  <conditionalFormatting sqref="U84:AB84">
    <cfRule type="expression" dxfId="8484" priority="262">
      <formula>U$9&gt;=20/24</formula>
    </cfRule>
    <cfRule type="expression" dxfId="8483" priority="263">
      <formula>AND(U$9&gt;=14/24,U$9&lt;20/24)</formula>
    </cfRule>
    <cfRule type="expression" dxfId="8482" priority="264">
      <formula>AND(U$9&gt;=8/24,U$9&lt;14/24)</formula>
    </cfRule>
    <cfRule type="expression" dxfId="8481" priority="265">
      <formula>U$9&lt;8/24</formula>
    </cfRule>
  </conditionalFormatting>
  <conditionalFormatting sqref="M49:W49">
    <cfRule type="expression" dxfId="8480" priority="254">
      <formula>M$9&gt;=20/24</formula>
    </cfRule>
    <cfRule type="expression" dxfId="8479" priority="255">
      <formula>AND(M$9&gt;=14/24,M$9&lt;20/24)</formula>
    </cfRule>
    <cfRule type="expression" dxfId="8478" priority="256">
      <formula>AND(M$9&gt;=8/24,M$9&lt;14/24)</formula>
    </cfRule>
    <cfRule type="expression" dxfId="8477" priority="257">
      <formula>M$9&lt;8/24</formula>
    </cfRule>
  </conditionalFormatting>
  <conditionalFormatting sqref="M50:R50">
    <cfRule type="expression" dxfId="8476" priority="250">
      <formula>M$9&gt;=20/24</formula>
    </cfRule>
    <cfRule type="expression" dxfId="8475" priority="251">
      <formula>AND(M$9&gt;=14/24,M$9&lt;20/24)</formula>
    </cfRule>
    <cfRule type="expression" dxfId="8474" priority="252">
      <formula>AND(M$9&gt;=8/24,M$9&lt;14/24)</formula>
    </cfRule>
    <cfRule type="expression" dxfId="8473" priority="253">
      <formula>M$9&lt;8/24</formula>
    </cfRule>
  </conditionalFormatting>
  <conditionalFormatting sqref="M45:R48">
    <cfRule type="expression" dxfId="8472" priority="246">
      <formula>M$9&gt;=20/24</formula>
    </cfRule>
    <cfRule type="expression" dxfId="8471" priority="247">
      <formula>AND(M$9&gt;=14/24,M$9&lt;20/24)</formula>
    </cfRule>
    <cfRule type="expression" dxfId="8470" priority="248">
      <formula>AND(M$9&gt;=8/24,M$9&lt;14/24)</formula>
    </cfRule>
    <cfRule type="expression" dxfId="8469" priority="249">
      <formula>M$9&lt;8/24</formula>
    </cfRule>
  </conditionalFormatting>
  <conditionalFormatting sqref="S37:AF37">
    <cfRule type="expression" dxfId="8468" priority="242">
      <formula>S$9&gt;=20/24</formula>
    </cfRule>
    <cfRule type="expression" dxfId="8467" priority="243">
      <formula>AND(S$9&gt;=14/24,S$9&lt;20/24)</formula>
    </cfRule>
    <cfRule type="expression" dxfId="8466" priority="244">
      <formula>AND(S$9&gt;=8/24,S$9&lt;14/24)</formula>
    </cfRule>
    <cfRule type="expression" dxfId="8465" priority="245">
      <formula>S$9&lt;8/24</formula>
    </cfRule>
  </conditionalFormatting>
  <conditionalFormatting sqref="S31:AF32 S35:AF35">
    <cfRule type="expression" dxfId="8464" priority="238">
      <formula>S$9&gt;=20/24</formula>
    </cfRule>
    <cfRule type="expression" dxfId="8463" priority="239">
      <formula>AND(S$9&gt;=14/24,S$9&lt;20/24)</formula>
    </cfRule>
    <cfRule type="expression" dxfId="8462" priority="240">
      <formula>AND(S$9&gt;=8/24,S$9&lt;14/24)</formula>
    </cfRule>
    <cfRule type="expression" dxfId="8461" priority="241">
      <formula>S$9&lt;8/24</formula>
    </cfRule>
  </conditionalFormatting>
  <conditionalFormatting sqref="S42:T43 U43:AF43 S45:AF48">
    <cfRule type="expression" dxfId="8460" priority="234">
      <formula>S$9&gt;=20/24</formula>
    </cfRule>
    <cfRule type="expression" dxfId="8459" priority="235">
      <formula>AND(S$9&gt;=14/24,S$9&lt;20/24)</formula>
    </cfRule>
    <cfRule type="expression" dxfId="8458" priority="236">
      <formula>AND(S$9&gt;=8/24,S$9&lt;14/24)</formula>
    </cfRule>
    <cfRule type="expression" dxfId="8457" priority="237">
      <formula>S$9&lt;8/24</formula>
    </cfRule>
  </conditionalFormatting>
  <conditionalFormatting sqref="S49:AF49">
    <cfRule type="expression" dxfId="8456" priority="230">
      <formula>S$9&gt;=20/24</formula>
    </cfRule>
    <cfRule type="expression" dxfId="8455" priority="231">
      <formula>AND(S$9&gt;=14/24,S$9&lt;20/24)</formula>
    </cfRule>
    <cfRule type="expression" dxfId="8454" priority="232">
      <formula>AND(S$9&gt;=8/24,S$9&lt;14/24)</formula>
    </cfRule>
    <cfRule type="expression" dxfId="8453" priority="233">
      <formula>S$9&lt;8/24</formula>
    </cfRule>
  </conditionalFormatting>
  <conditionalFormatting sqref="S50:AF50">
    <cfRule type="expression" dxfId="8452" priority="226">
      <formula>S$9&gt;=20/24</formula>
    </cfRule>
    <cfRule type="expression" dxfId="8451" priority="227">
      <formula>AND(S$9&gt;=14/24,S$9&lt;20/24)</formula>
    </cfRule>
    <cfRule type="expression" dxfId="8450" priority="228">
      <formula>AND(S$9&gt;=8/24,S$9&lt;14/24)</formula>
    </cfRule>
    <cfRule type="expression" dxfId="8449" priority="229">
      <formula>S$9&lt;8/24</formula>
    </cfRule>
  </conditionalFormatting>
  <conditionalFormatting sqref="S60:AF67">
    <cfRule type="expression" dxfId="8448" priority="222">
      <formula>S$9&gt;=20/24</formula>
    </cfRule>
    <cfRule type="expression" dxfId="8447" priority="223">
      <formula>AND(S$9&gt;=14/24,S$9&lt;20/24)</formula>
    </cfRule>
    <cfRule type="expression" dxfId="8446" priority="224">
      <formula>AND(S$9&gt;=8/24,S$9&lt;14/24)</formula>
    </cfRule>
    <cfRule type="expression" dxfId="8445" priority="225">
      <formula>S$9&lt;8/24</formula>
    </cfRule>
  </conditionalFormatting>
  <conditionalFormatting sqref="U94:AB97">
    <cfRule type="expression" dxfId="8444" priority="214">
      <formula>U$9&gt;=20/24</formula>
    </cfRule>
    <cfRule type="expression" dxfId="8443" priority="215">
      <formula>AND(U$9&gt;=14/24,U$9&lt;20/24)</formula>
    </cfRule>
    <cfRule type="expression" dxfId="8442" priority="216">
      <formula>AND(U$9&gt;=8/24,U$9&lt;14/24)</formula>
    </cfRule>
    <cfRule type="expression" dxfId="8441" priority="217">
      <formula>U$9&lt;8/24</formula>
    </cfRule>
  </conditionalFormatting>
  <conditionalFormatting sqref="AG51 B34:L36 R11:AC11 M11:Q12 B11:L32 R12 B37:R37 AA12:AC13 AD11:AF13 S18:AF32 S34:AF37 B38:AF56">
    <cfRule type="expression" dxfId="8440" priority="213">
      <formula>B11&gt;$AG11</formula>
    </cfRule>
  </conditionalFormatting>
  <conditionalFormatting sqref="A100:A156 A84:A97 A11:A14 A16:A32 A45:A72 A80:A82 A74:A78 A35:A43 A169:A199">
    <cfRule type="expression" dxfId="8439" priority="212">
      <formula>$AH11=0</formula>
    </cfRule>
  </conditionalFormatting>
  <conditionalFormatting sqref="U98:AB98">
    <cfRule type="expression" dxfId="8438" priority="208">
      <formula>U$9&gt;=20/24</formula>
    </cfRule>
    <cfRule type="expression" dxfId="8437" priority="209">
      <formula>AND(U$9&gt;=14/24,U$9&lt;20/24)</formula>
    </cfRule>
    <cfRule type="expression" dxfId="8436" priority="210">
      <formula>AND(U$9&gt;=8/24,U$9&lt;14/24)</formula>
    </cfRule>
    <cfRule type="expression" dxfId="8435" priority="211">
      <formula>U$9&lt;8/24</formula>
    </cfRule>
  </conditionalFormatting>
  <conditionalFormatting sqref="A98">
    <cfRule type="expression" dxfId="8434" priority="207">
      <formula>$AH98=0</formula>
    </cfRule>
  </conditionalFormatting>
  <conditionalFormatting sqref="M62:M67">
    <cfRule type="expression" dxfId="8433" priority="195">
      <formula>M$9&gt;=20/24</formula>
    </cfRule>
    <cfRule type="expression" dxfId="8432" priority="196">
      <formula>AND(M$9&gt;=14/24,M$9&lt;20/24)</formula>
    </cfRule>
    <cfRule type="expression" dxfId="8431" priority="197">
      <formula>AND(M$9&gt;=8/24,M$9&lt;14/24)</formula>
    </cfRule>
    <cfRule type="expression" dxfId="8430" priority="198">
      <formula>M$9&lt;8/24</formula>
    </cfRule>
  </conditionalFormatting>
  <conditionalFormatting sqref="AL32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8429" priority="182">
      <formula>S$9&gt;=20/24</formula>
    </cfRule>
    <cfRule type="expression" dxfId="8428" priority="183">
      <formula>AND(S$9&gt;=14/24,S$9&lt;20/24)</formula>
    </cfRule>
    <cfRule type="expression" dxfId="8427" priority="184">
      <formula>AND(S$9&gt;=8/24,S$9&lt;14/24)</formula>
    </cfRule>
    <cfRule type="expression" dxfId="8426" priority="185">
      <formula>S$9&lt;8/24</formula>
    </cfRule>
  </conditionalFormatting>
  <conditionalFormatting sqref="A34">
    <cfRule type="expression" dxfId="8425" priority="181">
      <formula>$AH34=0</formula>
    </cfRule>
  </conditionalFormatting>
  <conditionalFormatting sqref="A83">
    <cfRule type="expression" dxfId="8424" priority="180">
      <formula>$AH83=0</formula>
    </cfRule>
  </conditionalFormatting>
  <conditionalFormatting sqref="A15">
    <cfRule type="expression" dxfId="8423" priority="170">
      <formula>$AH15=0</formula>
    </cfRule>
  </conditionalFormatting>
  <conditionalFormatting sqref="A163:A168">
    <cfRule type="expression" dxfId="8422" priority="169">
      <formula>$AH163=0</formula>
    </cfRule>
  </conditionalFormatting>
  <conditionalFormatting sqref="A157:A162">
    <cfRule type="expression" dxfId="8421" priority="168">
      <formula>$AH157=0</formula>
    </cfRule>
  </conditionalFormatting>
  <conditionalFormatting sqref="Z44:AF44">
    <cfRule type="expression" dxfId="8420" priority="164">
      <formula>Z$9&gt;=20/24</formula>
    </cfRule>
    <cfRule type="expression" dxfId="8419" priority="165">
      <formula>AND(Z$9&gt;=14/24,Z$9&lt;20/24)</formula>
    </cfRule>
    <cfRule type="expression" dxfId="8418" priority="166">
      <formula>AND(Z$9&gt;=8/24,Z$9&lt;14/24)</formula>
    </cfRule>
    <cfRule type="expression" dxfId="8417" priority="167">
      <formula>Z$9&lt;8/24</formula>
    </cfRule>
  </conditionalFormatting>
  <conditionalFormatting sqref="M44:R44">
    <cfRule type="expression" dxfId="8416" priority="160">
      <formula>M$9&gt;=20/24</formula>
    </cfRule>
    <cfRule type="expression" dxfId="8415" priority="161">
      <formula>AND(M$9&gt;=14/24,M$9&lt;20/24)</formula>
    </cfRule>
    <cfRule type="expression" dxfId="8414" priority="162">
      <formula>AND(M$9&gt;=8/24,M$9&lt;14/24)</formula>
    </cfRule>
    <cfRule type="expression" dxfId="8413" priority="163">
      <formula>M$9&lt;8/24</formula>
    </cfRule>
  </conditionalFormatting>
  <conditionalFormatting sqref="S44:AF44">
    <cfRule type="expression" dxfId="8412" priority="156">
      <formula>S$9&gt;=20/24</formula>
    </cfRule>
    <cfRule type="expression" dxfId="8411" priority="157">
      <formula>AND(S$9&gt;=14/24,S$9&lt;20/24)</formula>
    </cfRule>
    <cfRule type="expression" dxfId="8410" priority="158">
      <formula>AND(S$9&gt;=8/24,S$9&lt;14/24)</formula>
    </cfRule>
    <cfRule type="expression" dxfId="8409" priority="159">
      <formula>S$9&lt;8/24</formula>
    </cfRule>
  </conditionalFormatting>
  <conditionalFormatting sqref="A44">
    <cfRule type="expression" dxfId="8408" priority="155">
      <formula>$AH44=0</formula>
    </cfRule>
  </conditionalFormatting>
  <conditionalFormatting sqref="A79">
    <cfRule type="expression" dxfId="8407" priority="154">
      <formula>$AH79=0</formula>
    </cfRule>
  </conditionalFormatting>
  <conditionalFormatting sqref="A73">
    <cfRule type="expression" dxfId="8406" priority="153">
      <formula>$AH73=0</formula>
    </cfRule>
  </conditionalFormatting>
  <conditionalFormatting sqref="AL34:AL35 AL7:AL31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8405" priority="145">
      <formula>U$9&gt;=20/24</formula>
    </cfRule>
    <cfRule type="expression" dxfId="8404" priority="146">
      <formula>AND(U$9&gt;=14/24,U$9&lt;20/24)</formula>
    </cfRule>
    <cfRule type="expression" dxfId="8403" priority="147">
      <formula>AND(U$9&gt;=8/24,U$9&lt;14/24)</formula>
    </cfRule>
    <cfRule type="expression" dxfId="8402" priority="148">
      <formula>U$9&lt;8/24</formula>
    </cfRule>
  </conditionalFormatting>
  <conditionalFormatting sqref="S85:T91 C84:R91">
    <cfRule type="expression" dxfId="8401" priority="141">
      <formula>C$9&gt;=20/24</formula>
    </cfRule>
    <cfRule type="expression" dxfId="8400" priority="142">
      <formula>AND(C$9&gt;=14/24,C$9&lt;20/24)</formula>
    </cfRule>
    <cfRule type="expression" dxfId="8399" priority="143">
      <formula>AND(C$9&gt;=8/24,C$9&lt;14/24)</formula>
    </cfRule>
    <cfRule type="expression" dxfId="8398" priority="144">
      <formula>C$9&lt;8/24</formula>
    </cfRule>
  </conditionalFormatting>
  <conditionalFormatting sqref="S84:T84">
    <cfRule type="expression" dxfId="8397" priority="137">
      <formula>S$9&gt;=20/24</formula>
    </cfRule>
    <cfRule type="expression" dxfId="8396" priority="138">
      <formula>AND(S$9&gt;=14/24,S$9&lt;20/24)</formula>
    </cfRule>
    <cfRule type="expression" dxfId="8395" priority="139">
      <formula>AND(S$9&gt;=8/24,S$9&lt;14/24)</formula>
    </cfRule>
    <cfRule type="expression" dxfId="8394" priority="140">
      <formula>S$9&lt;8/24</formula>
    </cfRule>
  </conditionalFormatting>
  <conditionalFormatting sqref="F94 F95:M97">
    <cfRule type="expression" dxfId="8393" priority="133">
      <formula>F$9&gt;=20/24</formula>
    </cfRule>
    <cfRule type="expression" dxfId="8392" priority="134">
      <formula>AND(F$9&gt;=14/24,F$9&lt;20/24)</formula>
    </cfRule>
    <cfRule type="expression" dxfId="8391" priority="135">
      <formula>AND(F$9&gt;=8/24,F$9&lt;14/24)</formula>
    </cfRule>
    <cfRule type="expression" dxfId="8390" priority="136">
      <formula>F$9&lt;8/24</formula>
    </cfRule>
  </conditionalFormatting>
  <conditionalFormatting sqref="N95:O97 O94 P94:R97 S95:S97">
    <cfRule type="expression" dxfId="8389" priority="129">
      <formula>N$9&gt;=20/24</formula>
    </cfRule>
    <cfRule type="expression" dxfId="8388" priority="130">
      <formula>AND(N$9&gt;=14/24,N$9&lt;20/24)</formula>
    </cfRule>
    <cfRule type="expression" dxfId="8387" priority="131">
      <formula>AND(N$9&gt;=8/24,N$9&lt;14/24)</formula>
    </cfRule>
    <cfRule type="expression" dxfId="8386" priority="132">
      <formula>N$9&lt;8/24</formula>
    </cfRule>
  </conditionalFormatting>
  <conditionalFormatting sqref="S94:T94 T95:T97">
    <cfRule type="expression" dxfId="8385" priority="125">
      <formula>S$9&gt;=20/24</formula>
    </cfRule>
    <cfRule type="expression" dxfId="8384" priority="126">
      <formula>AND(S$9&gt;=14/24,S$9&lt;20/24)</formula>
    </cfRule>
    <cfRule type="expression" dxfId="8383" priority="127">
      <formula>AND(S$9&gt;=8/24,S$9&lt;14/24)</formula>
    </cfRule>
    <cfRule type="expression" dxfId="8382" priority="128">
      <formula>S$9&lt;8/24</formula>
    </cfRule>
  </conditionalFormatting>
  <conditionalFormatting sqref="F98:M98">
    <cfRule type="expression" dxfId="8381" priority="121">
      <formula>F$9&gt;=20/24</formula>
    </cfRule>
    <cfRule type="expression" dxfId="8380" priority="122">
      <formula>AND(F$9&gt;=14/24,F$9&lt;20/24)</formula>
    </cfRule>
    <cfRule type="expression" dxfId="8379" priority="123">
      <formula>AND(F$9&gt;=8/24,F$9&lt;14/24)</formula>
    </cfRule>
    <cfRule type="expression" dxfId="8378" priority="124">
      <formula>F$9&lt;8/24</formula>
    </cfRule>
  </conditionalFormatting>
  <conditionalFormatting sqref="N98:S98">
    <cfRule type="expression" dxfId="8377" priority="117">
      <formula>N$9&gt;=20/24</formula>
    </cfRule>
    <cfRule type="expression" dxfId="8376" priority="118">
      <formula>AND(N$9&gt;=14/24,N$9&lt;20/24)</formula>
    </cfRule>
    <cfRule type="expression" dxfId="8375" priority="119">
      <formula>AND(N$9&gt;=8/24,N$9&lt;14/24)</formula>
    </cfRule>
    <cfRule type="expression" dxfId="8374" priority="120">
      <formula>N$9&lt;8/24</formula>
    </cfRule>
  </conditionalFormatting>
  <conditionalFormatting sqref="T98">
    <cfRule type="expression" dxfId="8373" priority="113">
      <formula>T$9&gt;=20/24</formula>
    </cfRule>
    <cfRule type="expression" dxfId="8372" priority="114">
      <formula>AND(T$9&gt;=14/24,T$9&lt;20/24)</formula>
    </cfRule>
    <cfRule type="expression" dxfId="8371" priority="115">
      <formula>AND(T$9&gt;=8/24,T$9&lt;14/24)</formula>
    </cfRule>
    <cfRule type="expression" dxfId="8370" priority="116">
      <formula>T$9&lt;8/24</formula>
    </cfRule>
  </conditionalFormatting>
  <conditionalFormatting sqref="M94:N94">
    <cfRule type="expression" dxfId="8369" priority="109">
      <formula>M$9&gt;=20/24</formula>
    </cfRule>
    <cfRule type="expression" dxfId="8368" priority="110">
      <formula>AND(M$9&gt;=14/24,M$9&lt;20/24)</formula>
    </cfRule>
    <cfRule type="expression" dxfId="8367" priority="111">
      <formula>AND(M$9&gt;=8/24,M$9&lt;14/24)</formula>
    </cfRule>
    <cfRule type="expression" dxfId="8366" priority="112">
      <formula>M$9&lt;8/24</formula>
    </cfRule>
  </conditionalFormatting>
  <conditionalFormatting sqref="G94:L94">
    <cfRule type="expression" dxfId="8365" priority="105">
      <formula>G$9&gt;=20/24</formula>
    </cfRule>
    <cfRule type="expression" dxfId="8364" priority="106">
      <formula>AND(G$9&gt;=14/24,G$9&lt;20/24)</formula>
    </cfRule>
    <cfRule type="expression" dxfId="8363" priority="107">
      <formula>AND(G$9&gt;=8/24,G$9&lt;14/24)</formula>
    </cfRule>
    <cfRule type="expression" dxfId="8362" priority="108">
      <formula>G$9&lt;8/24</formula>
    </cfRule>
  </conditionalFormatting>
  <conditionalFormatting sqref="U94:W94">
    <cfRule type="expression" dxfId="8361" priority="101">
      <formula>U$9&gt;=20/24</formula>
    </cfRule>
    <cfRule type="expression" dxfId="8360" priority="102">
      <formula>AND(U$9&gt;=14/24,U$9&lt;20/24)</formula>
    </cfRule>
    <cfRule type="expression" dxfId="8359" priority="103">
      <formula>AND(U$9&gt;=8/24,U$9&lt;14/24)</formula>
    </cfRule>
    <cfRule type="expression" dxfId="8358" priority="104">
      <formula>U$9&lt;8/24</formula>
    </cfRule>
  </conditionalFormatting>
  <conditionalFormatting sqref="N94:T94">
    <cfRule type="expression" dxfId="8357" priority="97">
      <formula>N$9&gt;=20/24</formula>
    </cfRule>
    <cfRule type="expression" dxfId="8356" priority="98">
      <formula>AND(N$9&gt;=14/24,N$9&lt;20/24)</formula>
    </cfRule>
    <cfRule type="expression" dxfId="8355" priority="99">
      <formula>AND(N$9&gt;=8/24,N$9&lt;14/24)</formula>
    </cfRule>
    <cfRule type="expression" dxfId="8354" priority="100">
      <formula>N$9&lt;8/24</formula>
    </cfRule>
  </conditionalFormatting>
  <conditionalFormatting sqref="U99:AB99">
    <cfRule type="expression" dxfId="8353" priority="93">
      <formula>U$9&gt;=20/24</formula>
    </cfRule>
    <cfRule type="expression" dxfId="8352" priority="94">
      <formula>AND(U$9&gt;=14/24,U$9&lt;20/24)</formula>
    </cfRule>
    <cfRule type="expression" dxfId="8351" priority="95">
      <formula>AND(U$9&gt;=8/24,U$9&lt;14/24)</formula>
    </cfRule>
    <cfRule type="expression" dxfId="8350" priority="96">
      <formula>U$9&lt;8/24</formula>
    </cfRule>
  </conditionalFormatting>
  <conditionalFormatting sqref="C99:M99">
    <cfRule type="expression" dxfId="8349" priority="89">
      <formula>C$9&gt;=20/24</formula>
    </cfRule>
    <cfRule type="expression" dxfId="8348" priority="90">
      <formula>AND(C$9&gt;=14/24,C$9&lt;20/24)</formula>
    </cfRule>
    <cfRule type="expression" dxfId="8347" priority="91">
      <formula>AND(C$9&gt;=8/24,C$9&lt;14/24)</formula>
    </cfRule>
    <cfRule type="expression" dxfId="8346" priority="92">
      <formula>C$9&lt;8/24</formula>
    </cfRule>
  </conditionalFormatting>
  <conditionalFormatting sqref="N99:S99">
    <cfRule type="expression" dxfId="8345" priority="85">
      <formula>N$9&gt;=20/24</formula>
    </cfRule>
    <cfRule type="expression" dxfId="8344" priority="86">
      <formula>AND(N$9&gt;=14/24,N$9&lt;20/24)</formula>
    </cfRule>
    <cfRule type="expression" dxfId="8343" priority="87">
      <formula>AND(N$9&gt;=8/24,N$9&lt;14/24)</formula>
    </cfRule>
    <cfRule type="expression" dxfId="8342" priority="88">
      <formula>N$9&lt;8/24</formula>
    </cfRule>
  </conditionalFormatting>
  <conditionalFormatting sqref="T99">
    <cfRule type="expression" dxfId="8341" priority="81">
      <formula>T$9&gt;=20/24</formula>
    </cfRule>
    <cfRule type="expression" dxfId="8340" priority="82">
      <formula>AND(T$9&gt;=14/24,T$9&lt;20/24)</formula>
    </cfRule>
    <cfRule type="expression" dxfId="8339" priority="83">
      <formula>AND(T$9&gt;=8/24,T$9&lt;14/24)</formula>
    </cfRule>
    <cfRule type="expression" dxfId="8338" priority="84">
      <formula>T$9&lt;8/24</formula>
    </cfRule>
  </conditionalFormatting>
  <conditionalFormatting sqref="S12:Z16 AA14:AF16">
    <cfRule type="expression" dxfId="8337" priority="77">
      <formula>S$9&gt;=20/24</formula>
    </cfRule>
    <cfRule type="expression" dxfId="8336" priority="78">
      <formula>AND(S$9&gt;=14/24,S$9&lt;20/24)</formula>
    </cfRule>
    <cfRule type="expression" dxfId="8335" priority="79">
      <formula>AND(S$9&gt;=8/24,S$9&lt;14/24)</formula>
    </cfRule>
    <cfRule type="expression" dxfId="8334" priority="80">
      <formula>S$9&lt;8/24</formula>
    </cfRule>
  </conditionalFormatting>
  <conditionalFormatting sqref="S17:AF17">
    <cfRule type="expression" dxfId="8333" priority="73">
      <formula>S$9&gt;=20/24</formula>
    </cfRule>
    <cfRule type="expression" dxfId="8332" priority="74">
      <formula>AND(S$9&gt;=14/24,S$9&lt;20/24)</formula>
    </cfRule>
    <cfRule type="expression" dxfId="8331" priority="75">
      <formula>AND(S$9&gt;=8/24,S$9&lt;14/24)</formula>
    </cfRule>
    <cfRule type="expression" dxfId="8330" priority="76">
      <formula>S$9&lt;8/24</formula>
    </cfRule>
  </conditionalFormatting>
  <conditionalFormatting sqref="S12:Z13">
    <cfRule type="expression" dxfId="8329" priority="69">
      <formula>S$9&gt;=20/24</formula>
    </cfRule>
    <cfRule type="expression" dxfId="8328" priority="70">
      <formula>AND(S$9&gt;=14/24,S$9&lt;20/24)</formula>
    </cfRule>
    <cfRule type="expression" dxfId="8327" priority="71">
      <formula>AND(S$9&gt;=8/24,S$9&lt;14/24)</formula>
    </cfRule>
    <cfRule type="expression" dxfId="8326" priority="72">
      <formula>S$9&lt;8/24</formula>
    </cfRule>
  </conditionalFormatting>
  <conditionalFormatting sqref="AL33">
    <cfRule type="iconSet" priority="5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325" priority="298">
      <formula>C$9&gt;=20/24</formula>
    </cfRule>
    <cfRule type="expression" dxfId="8324" priority="299">
      <formula>AND(C$9&gt;=14/24,C$9&lt;20/24)</formula>
    </cfRule>
    <cfRule type="expression" dxfId="8323" priority="300">
      <formula>AND(C$9&gt;=8/24,C$9&lt;14/24)</formula>
    </cfRule>
    <cfRule type="expression" dxfId="8322" priority="301">
      <formula>C$9&lt;8/24</formula>
    </cfRule>
  </conditionalFormatting>
  <conditionalFormatting sqref="A200">
    <cfRule type="expression" dxfId="8321" priority="302">
      <formula>$AH200=0</formula>
    </cfRule>
  </conditionalFormatting>
  <conditionalFormatting sqref="AG212">
    <cfRule type="expression" dxfId="8320" priority="304">
      <formula>B$9&gt;=20/24</formula>
    </cfRule>
    <cfRule type="expression" dxfId="8319" priority="305">
      <formula>AND(B$9&gt;=14/24,B$9&lt;20/24)</formula>
    </cfRule>
    <cfRule type="expression" dxfId="8318" priority="306">
      <formula>AND(B$9&gt;=8/24,B$9&lt;14/24)</formula>
    </cfRule>
    <cfRule type="expression" dxfId="8317" priority="307">
      <formula>B$9&lt;8/24</formula>
    </cfRule>
  </conditionalFormatting>
  <conditionalFormatting sqref="S8">
    <cfRule type="expression" dxfId="8316" priority="54">
      <formula>U$9&gt;=20/24</formula>
    </cfRule>
    <cfRule type="expression" dxfId="8315" priority="55">
      <formula>AND(U$9&gt;=14/24,U$9&lt;20/24)</formula>
    </cfRule>
    <cfRule type="expression" dxfId="8314" priority="56">
      <formula>AND(U$9&gt;=8/24,U$9&lt;14/24)</formula>
    </cfRule>
    <cfRule type="expression" dxfId="8313" priority="57">
      <formula>U$9&lt;8/24</formula>
    </cfRule>
  </conditionalFormatting>
  <conditionalFormatting sqref="AB8">
    <cfRule type="expression" dxfId="8312" priority="50">
      <formula>AD$9&gt;=20/24</formula>
    </cfRule>
    <cfRule type="expression" dxfId="8311" priority="51">
      <formula>AND(AD$9&gt;=14/24,AD$9&lt;20/24)</formula>
    </cfRule>
    <cfRule type="expression" dxfId="8310" priority="52">
      <formula>AND(AD$9&gt;=8/24,AD$9&lt;14/24)</formula>
    </cfRule>
    <cfRule type="expression" dxfId="8309" priority="53">
      <formula>AD$9&lt;8/24</formula>
    </cfRule>
  </conditionalFormatting>
  <conditionalFormatting sqref="AH212:AX212">
    <cfRule type="expression" dxfId="8308" priority="308">
      <formula>AG$9&gt;=20/24</formula>
    </cfRule>
    <cfRule type="expression" dxfId="8307" priority="309">
      <formula>AND(AG$9&gt;=14/24,AG$9&lt;20/24)</formula>
    </cfRule>
    <cfRule type="expression" dxfId="8306" priority="310">
      <formula>AND(AG$9&gt;=8/24,AG$9&lt;14/24)</formula>
    </cfRule>
    <cfRule type="expression" dxfId="8305" priority="311">
      <formula>AG$9&lt;8/24</formula>
    </cfRule>
  </conditionalFormatting>
  <conditionalFormatting sqref="T212">
    <cfRule type="expression" dxfId="8304" priority="312">
      <formula>AX$9&gt;=20/24</formula>
    </cfRule>
    <cfRule type="expression" dxfId="8303" priority="313">
      <formula>AND(AX$9&gt;=14/24,AX$9&lt;20/24)</formula>
    </cfRule>
    <cfRule type="expression" dxfId="8302" priority="314">
      <formula>AND(AX$9&gt;=8/24,AX$9&lt;14/24)</formula>
    </cfRule>
    <cfRule type="expression" dxfId="8301" priority="315">
      <formula>AX$9&lt;8/24</formula>
    </cfRule>
  </conditionalFormatting>
  <conditionalFormatting sqref="A99">
    <cfRule type="expression" dxfId="8300" priority="49">
      <formula>$AH99=0</formula>
    </cfRule>
  </conditionalFormatting>
  <conditionalFormatting sqref="B57:D57">
    <cfRule type="expression" dxfId="8299" priority="45">
      <formula>B$9&gt;=20/24</formula>
    </cfRule>
    <cfRule type="expression" dxfId="8298" priority="46">
      <formula>AND(B$9&gt;=14/24,B$9&lt;20/24)</formula>
    </cfRule>
    <cfRule type="expression" dxfId="8297" priority="47">
      <formula>AND(B$9&gt;=8/24,B$9&lt;14/24)</formula>
    </cfRule>
    <cfRule type="expression" dxfId="8296" priority="48">
      <formula>B$9&lt;8/24</formula>
    </cfRule>
  </conditionalFormatting>
  <conditionalFormatting sqref="B60:D67 E62:L67">
    <cfRule type="expression" dxfId="8295" priority="41">
      <formula>B$9&gt;=20/24</formula>
    </cfRule>
    <cfRule type="expression" dxfId="8294" priority="42">
      <formula>AND(B$9&gt;=14/24,B$9&lt;20/24)</formula>
    </cfRule>
    <cfRule type="expression" dxfId="8293" priority="43">
      <formula>AND(B$9&gt;=8/24,B$9&lt;14/24)</formula>
    </cfRule>
    <cfRule type="expression" dxfId="8292" priority="44">
      <formula>B$9&lt;8/24</formula>
    </cfRule>
  </conditionalFormatting>
  <conditionalFormatting sqref="B58:D59">
    <cfRule type="expression" dxfId="8291" priority="37">
      <formula>B$9&gt;=20/24</formula>
    </cfRule>
    <cfRule type="expression" dxfId="8290" priority="38">
      <formula>AND(B$9&gt;=14/24,B$9&lt;20/24)</formula>
    </cfRule>
    <cfRule type="expression" dxfId="8289" priority="39">
      <formula>AND(B$9&gt;=8/24,B$9&lt;14/24)</formula>
    </cfRule>
    <cfRule type="expression" dxfId="8288" priority="40">
      <formula>B$9&lt;8/24</formula>
    </cfRule>
  </conditionalFormatting>
  <conditionalFormatting sqref="C94:E98">
    <cfRule type="expression" dxfId="8287" priority="33">
      <formula>E$9&gt;=20/24</formula>
    </cfRule>
    <cfRule type="expression" dxfId="8286" priority="34">
      <formula>AND(E$9&gt;=14/24,E$9&lt;20/24)</formula>
    </cfRule>
    <cfRule type="expression" dxfId="8285" priority="35">
      <formula>AND(E$9&gt;=8/24,E$9&lt;14/24)</formula>
    </cfRule>
    <cfRule type="expression" dxfId="8284" priority="36">
      <formula>E$9&lt;8/24</formula>
    </cfRule>
  </conditionalFormatting>
  <conditionalFormatting sqref="M13:R14 M36:R36 M16:R32">
    <cfRule type="expression" dxfId="8283" priority="25">
      <formula>M$9&gt;=20/24</formula>
    </cfRule>
    <cfRule type="expression" dxfId="8282" priority="26">
      <formula>AND(M$9&gt;=14/24,M$9&lt;20/24)</formula>
    </cfRule>
    <cfRule type="expression" dxfId="8281" priority="27">
      <formula>AND(M$9&gt;=8/24,M$9&lt;14/24)</formula>
    </cfRule>
    <cfRule type="expression" dxfId="8280" priority="28">
      <formula>M$9&lt;8/24</formula>
    </cfRule>
  </conditionalFormatting>
  <conditionalFormatting sqref="M35:R35">
    <cfRule type="expression" dxfId="8279" priority="21">
      <formula>M$9&gt;=20/24</formula>
    </cfRule>
    <cfRule type="expression" dxfId="8278" priority="22">
      <formula>AND(M$9&gt;=14/24,M$9&lt;20/24)</formula>
    </cfRule>
    <cfRule type="expression" dxfId="8277" priority="23">
      <formula>AND(M$9&gt;=8/24,M$9&lt;14/24)</formula>
    </cfRule>
    <cfRule type="expression" dxfId="8276" priority="24">
      <formula>M$9&lt;8/24</formula>
    </cfRule>
  </conditionalFormatting>
  <conditionalFormatting sqref="M13:R14 M34:R36 M16:R32">
    <cfRule type="expression" dxfId="8275" priority="20">
      <formula>M13&gt;$AG13</formula>
    </cfRule>
  </conditionalFormatting>
  <conditionalFormatting sqref="M34:R34">
    <cfRule type="expression" dxfId="8274" priority="16">
      <formula>M$9&gt;=20/24</formula>
    </cfRule>
    <cfRule type="expression" dxfId="8273" priority="17">
      <formula>AND(M$9&gt;=14/24,M$9&lt;20/24)</formula>
    </cfRule>
    <cfRule type="expression" dxfId="8272" priority="18">
      <formula>AND(M$9&gt;=8/24,M$9&lt;14/24)</formula>
    </cfRule>
    <cfRule type="expression" dxfId="8271" priority="19">
      <formula>M$9&lt;8/24</formula>
    </cfRule>
  </conditionalFormatting>
  <conditionalFormatting sqref="M15:R15">
    <cfRule type="expression" dxfId="8270" priority="12">
      <formula>M$9&gt;=20/24</formula>
    </cfRule>
    <cfRule type="expression" dxfId="8269" priority="13">
      <formula>AND(M$9&gt;=14/24,M$9&lt;20/24)</formula>
    </cfRule>
    <cfRule type="expression" dxfId="8268" priority="14">
      <formula>AND(M$9&gt;=8/24,M$9&lt;14/24)</formula>
    </cfRule>
    <cfRule type="expression" dxfId="8267" priority="15">
      <formula>M$9&lt;8/24</formula>
    </cfRule>
  </conditionalFormatting>
  <conditionalFormatting sqref="M15:R15">
    <cfRule type="expression" dxfId="8266" priority="11">
      <formula>M15&gt;$AG15</formula>
    </cfRule>
  </conditionalFormatting>
  <conditionalFormatting sqref="M33:R33">
    <cfRule type="expression" dxfId="8265" priority="2">
      <formula>M$9&gt;=20/24</formula>
    </cfRule>
    <cfRule type="expression" dxfId="8264" priority="3">
      <formula>AND(M$9&gt;=14/24,M$9&lt;20/24)</formula>
    </cfRule>
    <cfRule type="expression" dxfId="8263" priority="4">
      <formula>AND(M$9&gt;=8/24,M$9&lt;14/24)</formula>
    </cfRule>
    <cfRule type="expression" dxfId="8262" priority="5">
      <formula>M$9&lt;8/24</formula>
    </cfRule>
  </conditionalFormatting>
  <conditionalFormatting sqref="M33:R33">
    <cfRule type="expression" dxfId="8261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" id="{25ED8671-8777-4F38-9FEA-567A9988C7B5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B9ADFD26-815B-4B2E-8F1C-8106BA323E36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3" id="{5324D4A7-1CAD-4769-945A-59FB666B188A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4" id="{E6ACBECF-C31D-4940-91BE-3756962310C0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S33:AF33</xm:sqref>
        </x14:conditionalFormatting>
        <x14:conditionalFormatting xmlns:xm="http://schemas.microsoft.com/office/excel/2006/main">
          <x14:cfRule type="expression" priority="60" id="{98681AAB-5787-4485-8561-1026ED7727C7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S33:AF33</xm:sqref>
        </x14:conditionalFormatting>
        <x14:conditionalFormatting xmlns:xm="http://schemas.microsoft.com/office/excel/2006/main">
          <x14:cfRule type="expression" priority="59" id="{3B37A0B3-DCC7-4DB9-8493-0B4C646F594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303" id="{1BE4809A-1DA0-4252-AFBB-75305AA7951E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X36" sqref="X3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2078/08/4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75.400000000000006</v>
      </c>
      <c r="C5" s="32">
        <f t="shared" si="0"/>
        <v>70</v>
      </c>
      <c r="D5" s="32">
        <f t="shared" si="0"/>
        <v>85</v>
      </c>
      <c r="E5" s="32">
        <f t="shared" si="0"/>
        <v>83</v>
      </c>
      <c r="F5" s="32">
        <f t="shared" si="0"/>
        <v>69</v>
      </c>
      <c r="G5" s="32">
        <f t="shared" si="0"/>
        <v>118.6</v>
      </c>
      <c r="H5" s="32">
        <f t="shared" si="0"/>
        <v>174</v>
      </c>
      <c r="I5" s="32">
        <f t="shared" si="0"/>
        <v>152</v>
      </c>
      <c r="J5" s="32">
        <f t="shared" si="0"/>
        <v>200</v>
      </c>
      <c r="K5" s="32">
        <f t="shared" si="0"/>
        <v>211</v>
      </c>
      <c r="L5" s="32">
        <f t="shared" si="0"/>
        <v>122</v>
      </c>
      <c r="M5" s="32">
        <f t="shared" si="0"/>
        <v>122</v>
      </c>
      <c r="N5" s="32">
        <f t="shared" si="0"/>
        <v>200</v>
      </c>
      <c r="O5" s="32">
        <f t="shared" si="0"/>
        <v>293</v>
      </c>
      <c r="P5" s="32">
        <f t="shared" si="0"/>
        <v>293</v>
      </c>
      <c r="Q5" s="32">
        <f t="shared" si="0"/>
        <v>293</v>
      </c>
      <c r="R5" s="32">
        <f t="shared" si="0"/>
        <v>301</v>
      </c>
      <c r="S5" s="32">
        <f t="shared" si="0"/>
        <v>331</v>
      </c>
      <c r="T5" s="32">
        <f t="shared" si="0"/>
        <v>345</v>
      </c>
      <c r="U5" s="32">
        <f t="shared" si="0"/>
        <v>360</v>
      </c>
      <c r="V5" s="32">
        <f t="shared" si="0"/>
        <v>217.9</v>
      </c>
      <c r="W5" s="32">
        <f t="shared" si="0"/>
        <v>344.5</v>
      </c>
      <c r="X5" s="32">
        <f t="shared" si="0"/>
        <v>317.60000000000002</v>
      </c>
      <c r="Y5" s="32">
        <f t="shared" si="0"/>
        <v>233.3</v>
      </c>
      <c r="Z5" s="32">
        <f t="shared" si="0"/>
        <v>222.5</v>
      </c>
      <c r="AA5" s="32">
        <f t="shared" si="0"/>
        <v>219</v>
      </c>
      <c r="AB5" s="32">
        <f t="shared" si="0"/>
        <v>169</v>
      </c>
      <c r="AC5" s="32">
        <f t="shared" si="0"/>
        <v>240</v>
      </c>
      <c r="AD5" s="32">
        <f t="shared" si="0"/>
        <v>161</v>
      </c>
      <c r="AE5" s="32">
        <f t="shared" si="0"/>
        <v>160.9</v>
      </c>
      <c r="AF5" s="32">
        <f>B68</f>
        <v>82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Load=796</v>
      </c>
      <c r="B7" s="37">
        <f>B75</f>
        <v>809.54</v>
      </c>
      <c r="C7" s="37">
        <f t="shared" ref="C7:AF7" si="1">C75</f>
        <v>814.04</v>
      </c>
      <c r="D7" s="37">
        <f t="shared" si="1"/>
        <v>795.64</v>
      </c>
      <c r="E7" s="37">
        <f t="shared" si="1"/>
        <v>802.33999999999992</v>
      </c>
      <c r="F7" s="37">
        <f t="shared" si="1"/>
        <v>817.83999999999992</v>
      </c>
      <c r="G7" s="37">
        <f t="shared" si="1"/>
        <v>897.34</v>
      </c>
      <c r="H7" s="37">
        <f t="shared" si="1"/>
        <v>965.94</v>
      </c>
      <c r="I7" s="37">
        <f t="shared" si="1"/>
        <v>1063.3400000000001</v>
      </c>
      <c r="J7" s="37">
        <f t="shared" si="1"/>
        <v>1165.3400000000001</v>
      </c>
      <c r="K7" s="37">
        <f t="shared" si="1"/>
        <v>1260.94</v>
      </c>
      <c r="L7" s="37">
        <f t="shared" si="1"/>
        <v>1373.44</v>
      </c>
      <c r="M7" s="37">
        <f t="shared" si="1"/>
        <v>1391.74</v>
      </c>
      <c r="N7" s="37">
        <f t="shared" si="1"/>
        <v>1357.24</v>
      </c>
      <c r="O7" s="37">
        <f t="shared" si="1"/>
        <v>1357.8400000000001</v>
      </c>
      <c r="P7" s="37">
        <f t="shared" si="1"/>
        <v>1284.4399999999998</v>
      </c>
      <c r="Q7" s="37">
        <f t="shared" si="1"/>
        <v>1284.4399999999998</v>
      </c>
      <c r="R7" s="37">
        <f t="shared" si="1"/>
        <v>1268.4399999999998</v>
      </c>
      <c r="S7" s="37">
        <f t="shared" si="1"/>
        <v>1227.44</v>
      </c>
      <c r="T7" s="37">
        <f t="shared" si="1"/>
        <v>1244.3399999999999</v>
      </c>
      <c r="U7" s="37">
        <f t="shared" si="1"/>
        <v>1267.1399999999999</v>
      </c>
      <c r="V7" s="37">
        <f t="shared" si="1"/>
        <v>1342.4399999999998</v>
      </c>
      <c r="W7" s="37">
        <f t="shared" si="1"/>
        <v>1468.04</v>
      </c>
      <c r="X7" s="37">
        <f t="shared" si="1"/>
        <v>1554.94</v>
      </c>
      <c r="Y7" s="37">
        <f t="shared" si="1"/>
        <v>1515.04</v>
      </c>
      <c r="Z7" s="37">
        <f t="shared" si="1"/>
        <v>1463.1399999999999</v>
      </c>
      <c r="AA7" s="37">
        <f t="shared" si="1"/>
        <v>1427.94</v>
      </c>
      <c r="AB7" s="37">
        <f t="shared" si="1"/>
        <v>1418.8400000000001</v>
      </c>
      <c r="AC7" s="37">
        <f t="shared" si="1"/>
        <v>1302.74</v>
      </c>
      <c r="AD7" s="37">
        <f t="shared" si="1"/>
        <v>1159.7399999999998</v>
      </c>
      <c r="AE7" s="37">
        <f t="shared" si="1"/>
        <v>985.1400000000001</v>
      </c>
      <c r="AF7" s="37">
        <f t="shared" si="1"/>
        <v>914.14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10</v>
      </c>
      <c r="D11" s="49">
        <v>10</v>
      </c>
      <c r="E11" s="49">
        <v>10</v>
      </c>
      <c r="F11" s="49">
        <v>10</v>
      </c>
      <c r="G11" s="49">
        <v>60</v>
      </c>
      <c r="H11" s="49">
        <v>50</v>
      </c>
      <c r="I11" s="49">
        <v>60</v>
      </c>
      <c r="J11" s="49">
        <v>110</v>
      </c>
      <c r="K11" s="49">
        <v>140</v>
      </c>
      <c r="L11" s="49">
        <v>190</v>
      </c>
      <c r="M11" s="49">
        <v>260</v>
      </c>
      <c r="N11" s="49">
        <v>260</v>
      </c>
      <c r="O11" s="50">
        <v>200</v>
      </c>
      <c r="P11" s="50">
        <v>80</v>
      </c>
      <c r="Q11" s="50">
        <v>80</v>
      </c>
      <c r="R11" s="50">
        <v>80</v>
      </c>
      <c r="S11" s="50">
        <v>42.6</v>
      </c>
      <c r="T11" s="50">
        <v>40.9</v>
      </c>
      <c r="U11" s="50">
        <v>60</v>
      </c>
      <c r="V11" s="50">
        <v>60</v>
      </c>
      <c r="W11" s="50">
        <v>266</v>
      </c>
      <c r="X11" s="50">
        <v>230</v>
      </c>
      <c r="Y11" s="50">
        <v>217</v>
      </c>
      <c r="Z11" s="52">
        <v>260</v>
      </c>
      <c r="AA11" s="50">
        <v>250</v>
      </c>
      <c r="AB11" s="50">
        <v>250</v>
      </c>
      <c r="AC11" s="50">
        <v>220</v>
      </c>
      <c r="AD11" s="50">
        <v>100</v>
      </c>
      <c r="AE11" s="50">
        <v>80</v>
      </c>
      <c r="AF11" s="49">
        <v>30</v>
      </c>
      <c r="AG11" s="53">
        <v>456</v>
      </c>
      <c r="AH11" s="54">
        <f>MAX(B11:AF11)</f>
        <v>266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50</v>
      </c>
      <c r="J12" s="49">
        <v>50</v>
      </c>
      <c r="K12" s="49">
        <v>50</v>
      </c>
      <c r="L12" s="49">
        <v>50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49">
        <v>50</v>
      </c>
      <c r="T12" s="49">
        <v>50</v>
      </c>
      <c r="U12" s="49">
        <v>50</v>
      </c>
      <c r="V12" s="49">
        <v>50</v>
      </c>
      <c r="W12" s="49">
        <v>50</v>
      </c>
      <c r="X12" s="58">
        <v>50</v>
      </c>
      <c r="Y12" s="58">
        <v>50</v>
      </c>
      <c r="Z12" s="58">
        <v>50</v>
      </c>
      <c r="AA12" s="58">
        <v>50</v>
      </c>
      <c r="AB12" s="58">
        <v>50</v>
      </c>
      <c r="AC12" s="58">
        <v>50</v>
      </c>
      <c r="AD12" s="50">
        <v>50</v>
      </c>
      <c r="AE12" s="50">
        <v>50</v>
      </c>
      <c r="AF12" s="50">
        <v>50</v>
      </c>
      <c r="AG12" s="59">
        <v>60</v>
      </c>
      <c r="AH12" s="54">
        <f t="shared" ref="AH12:AH75" si="2">MAX(B12:AF12)</f>
        <v>50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</v>
      </c>
      <c r="C13" s="49">
        <v>27</v>
      </c>
      <c r="D13" s="49">
        <v>27</v>
      </c>
      <c r="E13" s="49">
        <v>27</v>
      </c>
      <c r="F13" s="49">
        <v>27</v>
      </c>
      <c r="G13" s="49">
        <v>27</v>
      </c>
      <c r="H13" s="49">
        <v>27</v>
      </c>
      <c r="I13" s="49">
        <v>27</v>
      </c>
      <c r="J13" s="49">
        <v>27</v>
      </c>
      <c r="K13" s="49">
        <v>27</v>
      </c>
      <c r="L13" s="49">
        <v>27</v>
      </c>
      <c r="M13" s="50">
        <v>27</v>
      </c>
      <c r="N13" s="50">
        <v>27</v>
      </c>
      <c r="O13" s="50">
        <v>27</v>
      </c>
      <c r="P13" s="50">
        <v>27</v>
      </c>
      <c r="Q13" s="50">
        <v>27</v>
      </c>
      <c r="R13" s="50">
        <v>27</v>
      </c>
      <c r="S13" s="50">
        <v>27</v>
      </c>
      <c r="T13" s="50">
        <v>27</v>
      </c>
      <c r="U13" s="50">
        <v>27</v>
      </c>
      <c r="V13" s="50">
        <v>27</v>
      </c>
      <c r="W13" s="50">
        <v>27</v>
      </c>
      <c r="X13" s="58">
        <v>27</v>
      </c>
      <c r="Y13" s="58">
        <v>27</v>
      </c>
      <c r="Z13" s="58">
        <v>27</v>
      </c>
      <c r="AA13" s="58">
        <v>27</v>
      </c>
      <c r="AB13" s="58">
        <v>27</v>
      </c>
      <c r="AC13" s="58">
        <v>27</v>
      </c>
      <c r="AD13" s="50">
        <v>0</v>
      </c>
      <c r="AE13" s="50">
        <v>27</v>
      </c>
      <c r="AF13" s="50">
        <v>27</v>
      </c>
      <c r="AG13" s="59">
        <v>52.4</v>
      </c>
      <c r="AH13" s="54">
        <f t="shared" si="2"/>
        <v>27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</v>
      </c>
      <c r="C14" s="49">
        <v>50</v>
      </c>
      <c r="D14" s="49">
        <v>50</v>
      </c>
      <c r="E14" s="49">
        <v>50</v>
      </c>
      <c r="F14" s="49">
        <v>50</v>
      </c>
      <c r="G14" s="49">
        <v>50</v>
      </c>
      <c r="H14" s="49">
        <v>50</v>
      </c>
      <c r="I14" s="49">
        <v>50</v>
      </c>
      <c r="J14" s="49">
        <v>50</v>
      </c>
      <c r="K14" s="49">
        <v>50</v>
      </c>
      <c r="L14" s="49">
        <v>50</v>
      </c>
      <c r="M14" s="50">
        <v>50</v>
      </c>
      <c r="N14" s="50">
        <v>50</v>
      </c>
      <c r="O14" s="50">
        <v>50.9</v>
      </c>
      <c r="P14" s="50">
        <v>50.9</v>
      </c>
      <c r="Q14" s="50">
        <v>50.9</v>
      </c>
      <c r="R14" s="50">
        <v>50.9</v>
      </c>
      <c r="S14" s="50">
        <v>50.9</v>
      </c>
      <c r="T14" s="50">
        <v>50.9</v>
      </c>
      <c r="U14" s="50">
        <v>50.9</v>
      </c>
      <c r="V14" s="50">
        <v>50.9</v>
      </c>
      <c r="W14" s="50">
        <v>50.9</v>
      </c>
      <c r="X14" s="60">
        <v>50.9</v>
      </c>
      <c r="Y14" s="60">
        <v>50.9</v>
      </c>
      <c r="Z14" s="60">
        <v>50.9</v>
      </c>
      <c r="AA14" s="60">
        <v>50.9</v>
      </c>
      <c r="AB14" s="60">
        <v>50.9</v>
      </c>
      <c r="AC14" s="60">
        <v>50.9</v>
      </c>
      <c r="AD14" s="50">
        <v>50.6</v>
      </c>
      <c r="AE14" s="50">
        <v>50.5</v>
      </c>
      <c r="AF14" s="50">
        <v>50.5</v>
      </c>
      <c r="AG14" s="59">
        <v>50</v>
      </c>
      <c r="AH14" s="54">
        <f t="shared" si="2"/>
        <v>50.9</v>
      </c>
      <c r="AI14" s="55">
        <f t="shared" si="3"/>
        <v>50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24</v>
      </c>
      <c r="C15" s="61">
        <v>24</v>
      </c>
      <c r="D15" s="61">
        <v>24</v>
      </c>
      <c r="E15" s="61">
        <v>24</v>
      </c>
      <c r="F15" s="61">
        <v>24</v>
      </c>
      <c r="G15" s="61">
        <v>24</v>
      </c>
      <c r="H15" s="61">
        <v>24</v>
      </c>
      <c r="I15" s="61">
        <v>24</v>
      </c>
      <c r="J15" s="61">
        <v>24</v>
      </c>
      <c r="K15" s="61">
        <v>24</v>
      </c>
      <c r="L15" s="61">
        <v>24</v>
      </c>
      <c r="M15" s="50">
        <v>24</v>
      </c>
      <c r="N15" s="50">
        <v>24</v>
      </c>
      <c r="O15" s="50">
        <v>24</v>
      </c>
      <c r="P15" s="50">
        <v>24</v>
      </c>
      <c r="Q15" s="50">
        <v>24</v>
      </c>
      <c r="R15" s="50">
        <v>24</v>
      </c>
      <c r="S15" s="50">
        <v>24</v>
      </c>
      <c r="T15" s="50">
        <v>24</v>
      </c>
      <c r="U15" s="50">
        <v>24</v>
      </c>
      <c r="V15" s="50">
        <v>24</v>
      </c>
      <c r="W15" s="50">
        <v>24</v>
      </c>
      <c r="X15" s="60">
        <v>29</v>
      </c>
      <c r="Y15" s="60">
        <v>29</v>
      </c>
      <c r="Z15" s="60">
        <v>29</v>
      </c>
      <c r="AA15" s="60">
        <v>29</v>
      </c>
      <c r="AB15" s="60">
        <v>29</v>
      </c>
      <c r="AC15" s="60">
        <v>29</v>
      </c>
      <c r="AD15" s="50">
        <v>28.3</v>
      </c>
      <c r="AE15" s="50">
        <v>27.6</v>
      </c>
      <c r="AF15" s="50">
        <v>27.6</v>
      </c>
      <c r="AG15" s="62">
        <v>45</v>
      </c>
      <c r="AH15" s="54">
        <f t="shared" si="2"/>
        <v>29</v>
      </c>
      <c r="AI15" s="55">
        <f t="shared" si="3"/>
        <v>24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14</v>
      </c>
      <c r="C16" s="49">
        <v>14</v>
      </c>
      <c r="D16" s="49">
        <v>14</v>
      </c>
      <c r="E16" s="49">
        <v>14</v>
      </c>
      <c r="F16" s="49">
        <v>14</v>
      </c>
      <c r="G16" s="49">
        <v>14</v>
      </c>
      <c r="H16" s="49">
        <v>14</v>
      </c>
      <c r="I16" s="49">
        <v>14</v>
      </c>
      <c r="J16" s="49">
        <v>14</v>
      </c>
      <c r="K16" s="49">
        <v>14</v>
      </c>
      <c r="L16" s="49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63">
        <v>14</v>
      </c>
      <c r="Y16" s="63">
        <v>14</v>
      </c>
      <c r="Z16" s="63">
        <v>14</v>
      </c>
      <c r="AA16" s="63">
        <v>14</v>
      </c>
      <c r="AB16" s="63">
        <v>14</v>
      </c>
      <c r="AC16" s="63">
        <v>14</v>
      </c>
      <c r="AD16" s="50">
        <v>14</v>
      </c>
      <c r="AE16" s="50">
        <v>14</v>
      </c>
      <c r="AF16" s="50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50">
        <v>13</v>
      </c>
      <c r="AF17" s="5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12.8</v>
      </c>
      <c r="C19" s="49">
        <v>12.8</v>
      </c>
      <c r="D19" s="49">
        <v>12.8</v>
      </c>
      <c r="E19" s="49">
        <v>12.8</v>
      </c>
      <c r="F19" s="49">
        <v>12.8</v>
      </c>
      <c r="G19" s="49">
        <v>12.8</v>
      </c>
      <c r="H19" s="49">
        <v>12.8</v>
      </c>
      <c r="I19" s="49">
        <v>12.8</v>
      </c>
      <c r="J19" s="49">
        <v>12.8</v>
      </c>
      <c r="K19" s="49">
        <v>12.8</v>
      </c>
      <c r="L19" s="49">
        <v>12.8</v>
      </c>
      <c r="M19" s="50">
        <v>12.8</v>
      </c>
      <c r="N19" s="50">
        <v>12.8</v>
      </c>
      <c r="O19" s="50">
        <v>12.3</v>
      </c>
      <c r="P19" s="50">
        <v>12.3</v>
      </c>
      <c r="Q19" s="50">
        <v>12.3</v>
      </c>
      <c r="R19" s="50">
        <v>12.3</v>
      </c>
      <c r="S19" s="50">
        <v>12.3</v>
      </c>
      <c r="T19" s="50">
        <v>12.3</v>
      </c>
      <c r="U19" s="50">
        <v>12.3</v>
      </c>
      <c r="V19" s="50">
        <v>12.3</v>
      </c>
      <c r="W19" s="50">
        <v>12.3</v>
      </c>
      <c r="X19" s="50">
        <v>12.3</v>
      </c>
      <c r="Y19" s="50">
        <v>12.3</v>
      </c>
      <c r="Z19" s="50">
        <v>12.3</v>
      </c>
      <c r="AA19" s="50">
        <v>12.3</v>
      </c>
      <c r="AB19" s="50">
        <v>12.3</v>
      </c>
      <c r="AC19" s="50">
        <v>12.3</v>
      </c>
      <c r="AD19" s="50">
        <v>12.3</v>
      </c>
      <c r="AE19" s="50">
        <v>12.6</v>
      </c>
      <c r="AF19" s="50">
        <v>12.6</v>
      </c>
      <c r="AG19" s="59">
        <v>30</v>
      </c>
      <c r="AH19" s="54">
        <f t="shared" si="2"/>
        <v>12.8</v>
      </c>
      <c r="AI19" s="55">
        <f t="shared" si="3"/>
        <v>12.3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15.5</v>
      </c>
      <c r="C22" s="49">
        <v>15.5</v>
      </c>
      <c r="D22" s="49">
        <v>15.5</v>
      </c>
      <c r="E22" s="49">
        <v>15.5</v>
      </c>
      <c r="F22" s="49">
        <v>15.5</v>
      </c>
      <c r="G22" s="49">
        <v>15.5</v>
      </c>
      <c r="H22" s="49">
        <v>15.5</v>
      </c>
      <c r="I22" s="49">
        <v>15.5</v>
      </c>
      <c r="J22" s="49">
        <v>15.5</v>
      </c>
      <c r="K22" s="49">
        <v>15.5</v>
      </c>
      <c r="L22" s="49">
        <v>15.5</v>
      </c>
      <c r="M22" s="50">
        <v>15.5</v>
      </c>
      <c r="N22" s="50">
        <v>15.5</v>
      </c>
      <c r="O22" s="50">
        <v>15.5</v>
      </c>
      <c r="P22" s="50">
        <v>15.5</v>
      </c>
      <c r="Q22" s="50">
        <v>15.5</v>
      </c>
      <c r="R22" s="50">
        <v>15.5</v>
      </c>
      <c r="S22" s="50">
        <v>15.5</v>
      </c>
      <c r="T22" s="50">
        <v>15.5</v>
      </c>
      <c r="U22" s="50">
        <v>15.5</v>
      </c>
      <c r="V22" s="50">
        <v>15.5</v>
      </c>
      <c r="W22" s="50">
        <v>15.5</v>
      </c>
      <c r="X22" s="50">
        <v>20</v>
      </c>
      <c r="Y22" s="50">
        <v>20</v>
      </c>
      <c r="Z22" s="50">
        <v>20</v>
      </c>
      <c r="AA22" s="50">
        <v>20</v>
      </c>
      <c r="AB22" s="50">
        <v>20</v>
      </c>
      <c r="AC22" s="50">
        <v>20</v>
      </c>
      <c r="AD22" s="50">
        <v>20</v>
      </c>
      <c r="AE22" s="50">
        <v>16.3</v>
      </c>
      <c r="AF22" s="50">
        <v>16.3</v>
      </c>
      <c r="AG22" s="59">
        <v>25</v>
      </c>
      <c r="AH22" s="54">
        <f t="shared" si="2"/>
        <v>20</v>
      </c>
      <c r="AI22" s="55">
        <f t="shared" si="3"/>
        <v>15.5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11</v>
      </c>
      <c r="C26" s="49">
        <v>11</v>
      </c>
      <c r="D26" s="49">
        <v>11</v>
      </c>
      <c r="E26" s="49">
        <v>11</v>
      </c>
      <c r="F26" s="49">
        <v>11</v>
      </c>
      <c r="G26" s="49">
        <v>11</v>
      </c>
      <c r="H26" s="49">
        <v>11</v>
      </c>
      <c r="I26" s="49">
        <v>11</v>
      </c>
      <c r="J26" s="49">
        <v>11</v>
      </c>
      <c r="K26" s="49">
        <v>11</v>
      </c>
      <c r="L26" s="49">
        <v>11</v>
      </c>
      <c r="M26" s="50">
        <v>11</v>
      </c>
      <c r="N26" s="50">
        <v>11</v>
      </c>
      <c r="O26" s="50">
        <v>11</v>
      </c>
      <c r="P26" s="50">
        <v>11</v>
      </c>
      <c r="Q26" s="50">
        <v>11</v>
      </c>
      <c r="R26" s="50">
        <v>11</v>
      </c>
      <c r="S26" s="50">
        <v>11</v>
      </c>
      <c r="T26" s="50">
        <v>11</v>
      </c>
      <c r="U26" s="50">
        <v>11</v>
      </c>
      <c r="V26" s="50">
        <v>11</v>
      </c>
      <c r="W26" s="50">
        <v>11</v>
      </c>
      <c r="X26" s="50">
        <v>11</v>
      </c>
      <c r="Y26" s="50">
        <v>11</v>
      </c>
      <c r="Z26" s="50">
        <v>11</v>
      </c>
      <c r="AA26" s="50">
        <v>11</v>
      </c>
      <c r="AB26" s="50">
        <v>11</v>
      </c>
      <c r="AC26" s="50">
        <v>11</v>
      </c>
      <c r="AD26" s="50">
        <v>11</v>
      </c>
      <c r="AE26" s="50">
        <v>11</v>
      </c>
      <c r="AF26" s="50">
        <v>11</v>
      </c>
      <c r="AG26" s="59">
        <v>20</v>
      </c>
      <c r="AH26" s="54">
        <f t="shared" si="2"/>
        <v>11</v>
      </c>
      <c r="AI26" s="55">
        <f t="shared" si="3"/>
        <v>11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6.2</v>
      </c>
      <c r="C34" s="61">
        <v>6.2</v>
      </c>
      <c r="D34" s="61">
        <v>6.2</v>
      </c>
      <c r="E34" s="61">
        <v>6.2</v>
      </c>
      <c r="F34" s="61">
        <v>6.2</v>
      </c>
      <c r="G34" s="61">
        <v>6.2</v>
      </c>
      <c r="H34" s="61">
        <v>6.2</v>
      </c>
      <c r="I34" s="61">
        <v>6.2</v>
      </c>
      <c r="J34" s="61">
        <v>6.2</v>
      </c>
      <c r="K34" s="61">
        <v>6.2</v>
      </c>
      <c r="L34" s="61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67">
        <v>20</v>
      </c>
      <c r="AH34" s="54">
        <f t="shared" si="2"/>
        <v>6.2</v>
      </c>
      <c r="AI34" s="55">
        <f t="shared" si="3"/>
        <v>6.2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170</v>
      </c>
      <c r="D36" s="61">
        <v>170</v>
      </c>
      <c r="E36" s="61">
        <v>170</v>
      </c>
      <c r="F36" s="61">
        <v>170</v>
      </c>
      <c r="G36" s="61">
        <v>170</v>
      </c>
      <c r="H36" s="61">
        <v>170</v>
      </c>
      <c r="I36" s="61">
        <v>170</v>
      </c>
      <c r="J36" s="61">
        <v>170</v>
      </c>
      <c r="K36" s="61">
        <v>170</v>
      </c>
      <c r="L36" s="61">
        <v>170</v>
      </c>
      <c r="M36" s="70">
        <v>170</v>
      </c>
      <c r="N36" s="70">
        <v>170</v>
      </c>
      <c r="O36" s="70">
        <v>170</v>
      </c>
      <c r="P36" s="70">
        <v>170</v>
      </c>
      <c r="Q36" s="70">
        <v>170</v>
      </c>
      <c r="R36" s="70">
        <v>170</v>
      </c>
      <c r="S36" s="70">
        <v>170</v>
      </c>
      <c r="T36" s="70">
        <v>170</v>
      </c>
      <c r="U36" s="70">
        <v>170</v>
      </c>
      <c r="V36" s="70">
        <v>170</v>
      </c>
      <c r="W36" s="70">
        <v>170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170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f>30.1+39.3</f>
        <v>69.400000000000006</v>
      </c>
      <c r="C37" s="61">
        <f>30.3+40.7</f>
        <v>71</v>
      </c>
      <c r="D37" s="61">
        <f>30.3+40.7</f>
        <v>71</v>
      </c>
      <c r="E37" s="61">
        <f t="shared" ref="E37:F37" si="4">30.3+40.7</f>
        <v>71</v>
      </c>
      <c r="F37" s="61">
        <f t="shared" si="4"/>
        <v>71</v>
      </c>
      <c r="G37" s="61">
        <v>70</v>
      </c>
      <c r="H37" s="61">
        <v>70</v>
      </c>
      <c r="I37" s="61">
        <v>69</v>
      </c>
      <c r="J37" s="61">
        <v>69</v>
      </c>
      <c r="K37" s="61">
        <v>69</v>
      </c>
      <c r="L37" s="61">
        <v>67.900000000000006</v>
      </c>
      <c r="M37" s="70">
        <v>67.900000000000006</v>
      </c>
      <c r="N37" s="70">
        <v>67.900000000000006</v>
      </c>
      <c r="O37" s="70">
        <f>30.2+39.6</f>
        <v>69.8</v>
      </c>
      <c r="P37" s="70">
        <f>30.2+39.6</f>
        <v>69.8</v>
      </c>
      <c r="Q37" s="70">
        <f t="shared" ref="Q37:T37" si="5">30.2+39.6</f>
        <v>69.8</v>
      </c>
      <c r="R37" s="70">
        <f t="shared" si="5"/>
        <v>69.8</v>
      </c>
      <c r="S37" s="70">
        <f t="shared" si="5"/>
        <v>69.8</v>
      </c>
      <c r="T37" s="70">
        <f t="shared" si="5"/>
        <v>69.8</v>
      </c>
      <c r="U37" s="70">
        <v>75.7</v>
      </c>
      <c r="V37" s="70">
        <v>75.7</v>
      </c>
      <c r="W37" s="70">
        <f>28.4+36.4</f>
        <v>64.8</v>
      </c>
      <c r="X37" s="70">
        <v>64</v>
      </c>
      <c r="Y37" s="70">
        <v>64</v>
      </c>
      <c r="Z37" s="70">
        <v>64</v>
      </c>
      <c r="AA37" s="70">
        <v>64</v>
      </c>
      <c r="AB37" s="70">
        <v>64</v>
      </c>
      <c r="AC37" s="70">
        <v>64</v>
      </c>
      <c r="AD37" s="70">
        <f>28.6+39.8</f>
        <v>68.400000000000006</v>
      </c>
      <c r="AE37" s="70">
        <f>29.4+40.6</f>
        <v>70</v>
      </c>
      <c r="AF37" s="61">
        <f>29.6+40.7</f>
        <v>70.300000000000011</v>
      </c>
      <c r="AG37" s="67">
        <v>240</v>
      </c>
      <c r="AH37" s="54">
        <f t="shared" si="2"/>
        <v>75.7</v>
      </c>
      <c r="AI37" s="55">
        <f t="shared" si="3"/>
        <v>64</v>
      </c>
      <c r="AK37" s="56"/>
    </row>
    <row r="38" spans="1:88" ht="15.75" thickBot="1" x14ac:dyDescent="0.3">
      <c r="A38" s="71" t="s">
        <v>46</v>
      </c>
      <c r="B38" s="72">
        <f>SUM(B11:B36)</f>
        <v>491.2</v>
      </c>
      <c r="C38" s="72">
        <f t="shared" ref="C38:AF38" si="6">SUM(C11:C36)</f>
        <v>501.2</v>
      </c>
      <c r="D38" s="72">
        <f t="shared" si="6"/>
        <v>501.2</v>
      </c>
      <c r="E38" s="72">
        <f t="shared" si="6"/>
        <v>501.2</v>
      </c>
      <c r="F38" s="72">
        <f t="shared" si="6"/>
        <v>501.2</v>
      </c>
      <c r="G38" s="72">
        <f t="shared" si="6"/>
        <v>551.20000000000005</v>
      </c>
      <c r="H38" s="72">
        <f t="shared" si="6"/>
        <v>541.20000000000005</v>
      </c>
      <c r="I38" s="72">
        <f t="shared" si="6"/>
        <v>551.20000000000005</v>
      </c>
      <c r="J38" s="72">
        <f t="shared" si="6"/>
        <v>601.20000000000005</v>
      </c>
      <c r="K38" s="72">
        <f t="shared" si="6"/>
        <v>631.20000000000005</v>
      </c>
      <c r="L38" s="72">
        <f t="shared" si="6"/>
        <v>681.2</v>
      </c>
      <c r="M38" s="72">
        <f t="shared" si="6"/>
        <v>751.2</v>
      </c>
      <c r="N38" s="72">
        <f t="shared" si="6"/>
        <v>751.2</v>
      </c>
      <c r="O38" s="72">
        <f t="shared" si="6"/>
        <v>691.6</v>
      </c>
      <c r="P38" s="72">
        <f t="shared" si="6"/>
        <v>571.59999999999991</v>
      </c>
      <c r="Q38" s="72">
        <f t="shared" si="6"/>
        <v>571.59999999999991</v>
      </c>
      <c r="R38" s="72">
        <f t="shared" si="6"/>
        <v>571.59999999999991</v>
      </c>
      <c r="S38" s="72">
        <f t="shared" si="6"/>
        <v>534.20000000000005</v>
      </c>
      <c r="T38" s="72">
        <f t="shared" si="6"/>
        <v>532.5</v>
      </c>
      <c r="U38" s="72">
        <f t="shared" si="6"/>
        <v>551.59999999999991</v>
      </c>
      <c r="V38" s="72">
        <f t="shared" si="6"/>
        <v>551.59999999999991</v>
      </c>
      <c r="W38" s="72">
        <f t="shared" si="6"/>
        <v>757.6</v>
      </c>
      <c r="X38" s="72">
        <v>711.1</v>
      </c>
      <c r="Y38" s="72">
        <f t="shared" si="6"/>
        <v>698.1</v>
      </c>
      <c r="Z38" s="72">
        <f t="shared" si="6"/>
        <v>741.1</v>
      </c>
      <c r="AA38" s="72">
        <f t="shared" si="6"/>
        <v>731.1</v>
      </c>
      <c r="AB38" s="72">
        <f t="shared" si="6"/>
        <v>731.1</v>
      </c>
      <c r="AC38" s="72">
        <f t="shared" si="6"/>
        <v>701.1</v>
      </c>
      <c r="AD38" s="72">
        <f t="shared" si="6"/>
        <v>553.09999999999991</v>
      </c>
      <c r="AE38" s="72">
        <f t="shared" si="6"/>
        <v>555.90000000000009</v>
      </c>
      <c r="AF38" s="72">
        <f t="shared" si="6"/>
        <v>505.9</v>
      </c>
      <c r="AG38" s="67">
        <f>SUM(AG11:AG37)</f>
        <v>1492.8299999999997</v>
      </c>
      <c r="AH38" s="54">
        <f t="shared" si="2"/>
        <v>757.6</v>
      </c>
      <c r="AI38" s="55">
        <f t="shared" si="3"/>
        <v>491.2</v>
      </c>
      <c r="AK38" s="56"/>
    </row>
    <row r="39" spans="1:88" x14ac:dyDescent="0.25">
      <c r="A39" s="57" t="s">
        <v>47</v>
      </c>
      <c r="B39" s="49">
        <v>40.299999999999997</v>
      </c>
      <c r="C39" s="49">
        <v>47.5</v>
      </c>
      <c r="D39" s="61">
        <v>30.3</v>
      </c>
      <c r="E39" s="61">
        <v>40</v>
      </c>
      <c r="F39" s="61">
        <v>48</v>
      </c>
      <c r="G39" s="61">
        <v>66</v>
      </c>
      <c r="H39" s="61">
        <v>76</v>
      </c>
      <c r="I39" s="61">
        <v>97</v>
      </c>
      <c r="J39" s="61">
        <v>139</v>
      </c>
      <c r="K39" s="61">
        <v>145.69999999999999</v>
      </c>
      <c r="L39" s="61">
        <v>145.6</v>
      </c>
      <c r="M39" s="61">
        <v>145.6</v>
      </c>
      <c r="N39" s="61">
        <v>145.6</v>
      </c>
      <c r="O39" s="61">
        <v>145.69999999999999</v>
      </c>
      <c r="P39" s="50">
        <v>126</v>
      </c>
      <c r="Q39" s="50">
        <v>126</v>
      </c>
      <c r="R39" s="50">
        <v>110</v>
      </c>
      <c r="S39" s="50">
        <v>110</v>
      </c>
      <c r="T39" s="50">
        <v>107</v>
      </c>
      <c r="U39" s="50">
        <v>112</v>
      </c>
      <c r="V39" s="50">
        <v>112</v>
      </c>
      <c r="W39" s="50">
        <v>145</v>
      </c>
      <c r="X39" s="50">
        <v>144.69999999999999</v>
      </c>
      <c r="Y39" s="50">
        <v>144.69999999999999</v>
      </c>
      <c r="Z39" s="50">
        <v>144.69999999999999</v>
      </c>
      <c r="AA39" s="50">
        <v>144.69999999999999</v>
      </c>
      <c r="AB39" s="50">
        <v>144.69999999999999</v>
      </c>
      <c r="AC39" s="50">
        <v>144.69999999999999</v>
      </c>
      <c r="AD39" s="50">
        <v>131.6</v>
      </c>
      <c r="AE39" s="50">
        <v>60</v>
      </c>
      <c r="AF39" s="49">
        <v>51.2</v>
      </c>
      <c r="AG39" s="62">
        <v>144</v>
      </c>
      <c r="AH39" s="54">
        <f t="shared" si="2"/>
        <v>145.69999999999999</v>
      </c>
      <c r="AI39" s="55">
        <f t="shared" si="3"/>
        <v>30.3</v>
      </c>
      <c r="AK39" s="56"/>
    </row>
    <row r="40" spans="1:88" x14ac:dyDescent="0.25">
      <c r="A40" s="66" t="s">
        <v>48</v>
      </c>
      <c r="B40" s="61">
        <v>35.299999999999997</v>
      </c>
      <c r="C40" s="61">
        <v>35.299999999999997</v>
      </c>
      <c r="D40" s="61">
        <v>34.5</v>
      </c>
      <c r="E40" s="61">
        <v>25</v>
      </c>
      <c r="F40" s="61">
        <v>34.5</v>
      </c>
      <c r="G40" s="61">
        <v>25</v>
      </c>
      <c r="H40" s="61">
        <v>35</v>
      </c>
      <c r="I40" s="61">
        <v>35</v>
      </c>
      <c r="J40" s="61">
        <v>58</v>
      </c>
      <c r="K40" s="61">
        <v>69.5</v>
      </c>
      <c r="L40" s="61">
        <v>70.3</v>
      </c>
      <c r="M40" s="61">
        <v>70.3</v>
      </c>
      <c r="N40" s="61">
        <v>70.3</v>
      </c>
      <c r="O40" s="61">
        <v>70.400000000000006</v>
      </c>
      <c r="P40" s="73">
        <v>55</v>
      </c>
      <c r="Q40" s="73">
        <v>55</v>
      </c>
      <c r="R40" s="73">
        <v>55</v>
      </c>
      <c r="S40" s="73">
        <v>56</v>
      </c>
      <c r="T40" s="73">
        <v>50</v>
      </c>
      <c r="U40" s="73">
        <v>47</v>
      </c>
      <c r="V40" s="73">
        <v>55</v>
      </c>
      <c r="W40" s="73">
        <v>65.900000000000006</v>
      </c>
      <c r="X40" s="73">
        <v>70</v>
      </c>
      <c r="Y40" s="73">
        <v>70</v>
      </c>
      <c r="Z40" s="73">
        <v>70</v>
      </c>
      <c r="AA40" s="73">
        <v>70</v>
      </c>
      <c r="AB40" s="73">
        <v>70</v>
      </c>
      <c r="AC40" s="73">
        <v>44</v>
      </c>
      <c r="AD40" s="73">
        <v>34.700000000000003</v>
      </c>
      <c r="AE40" s="73">
        <v>34.700000000000003</v>
      </c>
      <c r="AF40" s="61">
        <v>34.9</v>
      </c>
      <c r="AG40" s="67">
        <v>70</v>
      </c>
      <c r="AH40" s="54">
        <f t="shared" si="2"/>
        <v>70.400000000000006</v>
      </c>
      <c r="AI40" s="55">
        <f t="shared" si="3"/>
        <v>25</v>
      </c>
      <c r="AK40" s="56"/>
    </row>
    <row r="41" spans="1:88" x14ac:dyDescent="0.25">
      <c r="A41" s="66" t="s">
        <v>49</v>
      </c>
      <c r="B41" s="61">
        <v>45.6</v>
      </c>
      <c r="C41" s="61">
        <v>39.5</v>
      </c>
      <c r="D41" s="61">
        <v>39.5</v>
      </c>
      <c r="E41" s="61">
        <v>46</v>
      </c>
      <c r="F41" s="61">
        <v>46</v>
      </c>
      <c r="G41" s="61">
        <v>69</v>
      </c>
      <c r="H41" s="61">
        <v>68</v>
      </c>
      <c r="I41" s="61">
        <v>69</v>
      </c>
      <c r="J41" s="61">
        <v>69</v>
      </c>
      <c r="K41" s="61">
        <v>68.400000000000006</v>
      </c>
      <c r="L41" s="61">
        <v>69</v>
      </c>
      <c r="M41" s="61">
        <v>69</v>
      </c>
      <c r="N41" s="61">
        <v>69</v>
      </c>
      <c r="O41" s="61">
        <v>62.6</v>
      </c>
      <c r="P41" s="73">
        <v>54</v>
      </c>
      <c r="Q41" s="73">
        <v>54</v>
      </c>
      <c r="R41" s="73">
        <v>54</v>
      </c>
      <c r="S41" s="73">
        <v>56.9</v>
      </c>
      <c r="T41" s="73">
        <v>57</v>
      </c>
      <c r="U41" s="73">
        <v>56</v>
      </c>
      <c r="V41" s="73">
        <v>70</v>
      </c>
      <c r="W41" s="73">
        <v>68.8</v>
      </c>
      <c r="X41" s="73">
        <v>68.2</v>
      </c>
      <c r="Y41" s="73">
        <v>68.2</v>
      </c>
      <c r="Z41" s="73">
        <v>68.2</v>
      </c>
      <c r="AA41" s="73">
        <v>68.2</v>
      </c>
      <c r="AB41" s="73">
        <v>68.2</v>
      </c>
      <c r="AC41" s="73">
        <v>68.2</v>
      </c>
      <c r="AD41" s="73">
        <v>54.6</v>
      </c>
      <c r="AE41" s="73">
        <v>54.3</v>
      </c>
      <c r="AF41" s="61">
        <v>54.6</v>
      </c>
      <c r="AG41" s="67">
        <v>69</v>
      </c>
      <c r="AH41" s="54">
        <f t="shared" si="2"/>
        <v>70</v>
      </c>
      <c r="AI41" s="55">
        <f t="shared" si="3"/>
        <v>39.5</v>
      </c>
      <c r="AK41" s="56"/>
    </row>
    <row r="42" spans="1:88" x14ac:dyDescent="0.25">
      <c r="A42" s="66" t="s">
        <v>50</v>
      </c>
      <c r="B42" s="61">
        <v>60.4</v>
      </c>
      <c r="C42" s="61">
        <v>60.4</v>
      </c>
      <c r="D42" s="61">
        <v>60.4</v>
      </c>
      <c r="E42" s="61">
        <v>60.4</v>
      </c>
      <c r="F42" s="61">
        <v>60.4</v>
      </c>
      <c r="G42" s="61">
        <v>60.4</v>
      </c>
      <c r="H42" s="61">
        <v>60.4</v>
      </c>
      <c r="I42" s="61">
        <v>60.4</v>
      </c>
      <c r="J42" s="61">
        <v>60.4</v>
      </c>
      <c r="K42" s="61">
        <v>60.4</v>
      </c>
      <c r="L42" s="61">
        <v>60.4</v>
      </c>
      <c r="M42" s="61">
        <v>60.4</v>
      </c>
      <c r="N42" s="61">
        <v>60.4</v>
      </c>
      <c r="O42" s="61">
        <v>60.4</v>
      </c>
      <c r="P42" s="61">
        <v>60.4</v>
      </c>
      <c r="Q42" s="61">
        <v>60.4</v>
      </c>
      <c r="R42" s="61">
        <v>60.4</v>
      </c>
      <c r="S42" s="61">
        <v>60.4</v>
      </c>
      <c r="T42" s="61">
        <v>60.4</v>
      </c>
      <c r="U42" s="61">
        <v>60.4</v>
      </c>
      <c r="V42" s="61">
        <v>60.4</v>
      </c>
      <c r="W42" s="61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61">
        <v>60.7</v>
      </c>
      <c r="AG42" s="67">
        <v>60</v>
      </c>
      <c r="AH42" s="54">
        <f t="shared" si="2"/>
        <v>60.7</v>
      </c>
      <c r="AI42" s="55">
        <f t="shared" si="3"/>
        <v>60.4</v>
      </c>
      <c r="AK42" s="56"/>
    </row>
    <row r="43" spans="1:88" x14ac:dyDescent="0.25">
      <c r="A43" s="66" t="s">
        <v>51</v>
      </c>
      <c r="B43" s="61">
        <v>10</v>
      </c>
      <c r="C43" s="61">
        <v>10</v>
      </c>
      <c r="D43" s="61">
        <v>15</v>
      </c>
      <c r="E43" s="61">
        <v>0</v>
      </c>
      <c r="F43" s="61">
        <v>0</v>
      </c>
      <c r="G43" s="61">
        <v>0</v>
      </c>
      <c r="H43" s="61">
        <v>10</v>
      </c>
      <c r="I43" s="61">
        <v>20</v>
      </c>
      <c r="J43" s="61">
        <v>29</v>
      </c>
      <c r="K43" s="61">
        <v>29</v>
      </c>
      <c r="L43" s="61">
        <v>29</v>
      </c>
      <c r="M43" s="61">
        <v>29</v>
      </c>
      <c r="N43" s="61">
        <v>29</v>
      </c>
      <c r="O43" s="61">
        <v>14.7</v>
      </c>
      <c r="P43" s="61">
        <v>14.7</v>
      </c>
      <c r="Q43" s="61">
        <v>14.7</v>
      </c>
      <c r="R43" s="61">
        <v>14.7</v>
      </c>
      <c r="S43" s="61">
        <v>14.7</v>
      </c>
      <c r="T43" s="61">
        <v>10</v>
      </c>
      <c r="U43" s="61">
        <v>10</v>
      </c>
      <c r="V43" s="61">
        <v>24</v>
      </c>
      <c r="W43" s="61">
        <v>24</v>
      </c>
      <c r="X43" s="50">
        <v>29</v>
      </c>
      <c r="Y43" s="50">
        <v>29</v>
      </c>
      <c r="Z43" s="50">
        <v>29</v>
      </c>
      <c r="AA43" s="50">
        <v>29</v>
      </c>
      <c r="AB43" s="50">
        <v>15</v>
      </c>
      <c r="AC43" s="50">
        <v>15</v>
      </c>
      <c r="AD43" s="73">
        <v>12.9</v>
      </c>
      <c r="AE43" s="73">
        <v>12.9</v>
      </c>
      <c r="AF43" s="61">
        <v>0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61">
        <v>18</v>
      </c>
      <c r="Q45" s="61">
        <v>18</v>
      </c>
      <c r="R45" s="61">
        <v>18</v>
      </c>
      <c r="S45" s="61">
        <v>18</v>
      </c>
      <c r="T45" s="61">
        <v>18</v>
      </c>
      <c r="U45" s="61">
        <v>18</v>
      </c>
      <c r="V45" s="61">
        <v>18</v>
      </c>
      <c r="W45" s="61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61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12</v>
      </c>
      <c r="C47" s="61">
        <v>12</v>
      </c>
      <c r="D47" s="61">
        <v>12</v>
      </c>
      <c r="E47" s="61">
        <v>12</v>
      </c>
      <c r="F47" s="61">
        <v>12</v>
      </c>
      <c r="G47" s="61">
        <v>12</v>
      </c>
      <c r="H47" s="61">
        <v>12</v>
      </c>
      <c r="I47" s="61">
        <v>12</v>
      </c>
      <c r="J47" s="61">
        <v>12</v>
      </c>
      <c r="K47" s="61">
        <v>12</v>
      </c>
      <c r="L47" s="61">
        <v>12</v>
      </c>
      <c r="M47" s="61">
        <v>12</v>
      </c>
      <c r="N47" s="61">
        <v>12</v>
      </c>
      <c r="O47" s="61">
        <v>12</v>
      </c>
      <c r="P47" s="61">
        <v>12</v>
      </c>
      <c r="Q47" s="61">
        <v>12</v>
      </c>
      <c r="R47" s="61">
        <v>12</v>
      </c>
      <c r="S47" s="61">
        <v>12</v>
      </c>
      <c r="T47" s="61">
        <v>12</v>
      </c>
      <c r="U47" s="61">
        <v>12</v>
      </c>
      <c r="V47" s="61">
        <v>12</v>
      </c>
      <c r="W47" s="61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61">
        <v>12</v>
      </c>
      <c r="AG47" s="67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61">
        <v>0</v>
      </c>
      <c r="W48" s="61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61">
        <v>0</v>
      </c>
      <c r="AG48" s="67">
        <v>14</v>
      </c>
      <c r="AH48" s="54">
        <f t="shared" si="2"/>
        <v>0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6.8</v>
      </c>
      <c r="C49" s="61">
        <v>6.8</v>
      </c>
      <c r="D49" s="61">
        <v>6.8</v>
      </c>
      <c r="E49" s="61">
        <v>6.8</v>
      </c>
      <c r="F49" s="61">
        <v>6.8</v>
      </c>
      <c r="G49" s="61">
        <v>6.8</v>
      </c>
      <c r="H49" s="61">
        <v>6.8</v>
      </c>
      <c r="I49" s="61">
        <v>6.8</v>
      </c>
      <c r="J49" s="61">
        <v>6.8</v>
      </c>
      <c r="K49" s="61">
        <v>6.8</v>
      </c>
      <c r="L49" s="61">
        <v>6.8</v>
      </c>
      <c r="M49" s="61">
        <v>6.8</v>
      </c>
      <c r="N49" s="61">
        <v>6.8</v>
      </c>
      <c r="O49" s="61">
        <v>6.8</v>
      </c>
      <c r="P49" s="61">
        <v>6.8</v>
      </c>
      <c r="Q49" s="61">
        <v>6.8</v>
      </c>
      <c r="R49" s="61">
        <v>6.8</v>
      </c>
      <c r="S49" s="61">
        <v>6.8</v>
      </c>
      <c r="T49" s="61">
        <v>6.8</v>
      </c>
      <c r="U49" s="61">
        <v>6.8</v>
      </c>
      <c r="V49" s="61">
        <v>6.8</v>
      </c>
      <c r="W49" s="61">
        <v>6.8</v>
      </c>
      <c r="X49" s="50">
        <v>6.8</v>
      </c>
      <c r="Y49" s="50">
        <v>6.8</v>
      </c>
      <c r="Z49" s="50">
        <v>6.8</v>
      </c>
      <c r="AA49" s="50">
        <v>6.8</v>
      </c>
      <c r="AB49" s="50">
        <v>6.8</v>
      </c>
      <c r="AC49" s="50">
        <v>6.8</v>
      </c>
      <c r="AD49" s="50">
        <v>7.7</v>
      </c>
      <c r="AE49" s="50">
        <v>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6.8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61">
        <v>4.4000000000000004</v>
      </c>
      <c r="Q50" s="61">
        <v>4.4000000000000004</v>
      </c>
      <c r="R50" s="61">
        <v>4.4000000000000004</v>
      </c>
      <c r="S50" s="61">
        <v>4.4000000000000004</v>
      </c>
      <c r="T50" s="61">
        <v>4.4000000000000004</v>
      </c>
      <c r="U50" s="61">
        <v>4.4000000000000004</v>
      </c>
      <c r="V50" s="61">
        <v>4.4000000000000004</v>
      </c>
      <c r="W50" s="61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236.34</v>
      </c>
      <c r="C52" s="72">
        <f t="shared" ref="C52:AF52" si="8">SUM(C39:C51)</f>
        <v>237.44</v>
      </c>
      <c r="D52" s="72">
        <f t="shared" si="8"/>
        <v>224.44</v>
      </c>
      <c r="E52" s="72">
        <f t="shared" si="8"/>
        <v>216.14000000000001</v>
      </c>
      <c r="F52" s="72">
        <f t="shared" si="8"/>
        <v>233.64000000000001</v>
      </c>
      <c r="G52" s="72">
        <f t="shared" si="8"/>
        <v>265.14</v>
      </c>
      <c r="H52" s="72">
        <f t="shared" si="8"/>
        <v>294.14</v>
      </c>
      <c r="I52" s="72">
        <f t="shared" si="8"/>
        <v>326.14</v>
      </c>
      <c r="J52" s="72">
        <f t="shared" si="8"/>
        <v>400.14</v>
      </c>
      <c r="K52" s="72">
        <f t="shared" si="8"/>
        <v>417.74</v>
      </c>
      <c r="L52" s="72">
        <f t="shared" si="8"/>
        <v>419.03999999999996</v>
      </c>
      <c r="M52" s="72">
        <f t="shared" si="8"/>
        <v>419.03999999999996</v>
      </c>
      <c r="N52" s="72">
        <f t="shared" si="8"/>
        <v>419.03999999999996</v>
      </c>
      <c r="O52" s="72">
        <f t="shared" si="8"/>
        <v>398.53999999999996</v>
      </c>
      <c r="P52" s="72">
        <f t="shared" si="8"/>
        <v>354.84</v>
      </c>
      <c r="Q52" s="72">
        <f t="shared" si="8"/>
        <v>354.84</v>
      </c>
      <c r="R52" s="72">
        <f t="shared" si="8"/>
        <v>338.84</v>
      </c>
      <c r="S52" s="72">
        <f t="shared" si="8"/>
        <v>342.74</v>
      </c>
      <c r="T52" s="72">
        <f t="shared" si="8"/>
        <v>329.14</v>
      </c>
      <c r="U52" s="72">
        <f t="shared" si="8"/>
        <v>330.14</v>
      </c>
      <c r="V52" s="72">
        <f t="shared" si="8"/>
        <v>366.14</v>
      </c>
      <c r="W52" s="72">
        <f t="shared" si="8"/>
        <v>408.84</v>
      </c>
      <c r="X52" s="72">
        <v>417.03999999999996</v>
      </c>
      <c r="Y52" s="72">
        <f t="shared" si="8"/>
        <v>417.03999999999996</v>
      </c>
      <c r="Z52" s="72">
        <f t="shared" si="8"/>
        <v>417.03999999999996</v>
      </c>
      <c r="AA52" s="72">
        <f t="shared" si="8"/>
        <v>417.03999999999996</v>
      </c>
      <c r="AB52" s="72">
        <f t="shared" si="8"/>
        <v>403.03999999999996</v>
      </c>
      <c r="AC52" s="72">
        <f t="shared" si="8"/>
        <v>377.03999999999996</v>
      </c>
      <c r="AD52" s="72">
        <f t="shared" si="8"/>
        <v>339.84</v>
      </c>
      <c r="AE52" s="72">
        <f t="shared" si="8"/>
        <v>268.24</v>
      </c>
      <c r="AF52" s="72">
        <f t="shared" si="8"/>
        <v>247.33999999999997</v>
      </c>
      <c r="AG52" s="78">
        <f>SUM(AG39:AG51)</f>
        <v>489.91</v>
      </c>
      <c r="AH52" s="54">
        <f t="shared" si="2"/>
        <v>419.03999999999996</v>
      </c>
      <c r="AI52" s="55">
        <f t="shared" si="3"/>
        <v>216.14000000000001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30</v>
      </c>
      <c r="M53" s="79">
        <v>60</v>
      </c>
      <c r="N53" s="79">
        <v>40</v>
      </c>
      <c r="O53" s="79">
        <v>41.1</v>
      </c>
      <c r="P53" s="79">
        <v>40</v>
      </c>
      <c r="Q53" s="79">
        <v>40</v>
      </c>
      <c r="R53" s="79">
        <v>40</v>
      </c>
      <c r="S53" s="50">
        <v>30</v>
      </c>
      <c r="T53" s="50">
        <v>29.7</v>
      </c>
      <c r="U53" s="50">
        <v>20</v>
      </c>
      <c r="V53" s="50">
        <v>40</v>
      </c>
      <c r="W53" s="50">
        <v>50</v>
      </c>
      <c r="X53" s="50">
        <v>50.3</v>
      </c>
      <c r="Y53" s="50">
        <v>50.3</v>
      </c>
      <c r="Z53" s="50">
        <v>40</v>
      </c>
      <c r="AA53" s="50">
        <v>34</v>
      </c>
      <c r="AB53" s="50">
        <v>40</v>
      </c>
      <c r="AC53" s="50">
        <v>30</v>
      </c>
      <c r="AD53" s="50">
        <v>20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14.8</v>
      </c>
      <c r="M54" s="79">
        <v>29</v>
      </c>
      <c r="N54" s="79">
        <v>18</v>
      </c>
      <c r="O54" s="79">
        <v>19.5</v>
      </c>
      <c r="P54" s="79">
        <v>18</v>
      </c>
      <c r="Q54" s="79">
        <v>18</v>
      </c>
      <c r="R54" s="79">
        <v>18</v>
      </c>
      <c r="S54" s="50">
        <v>14.3</v>
      </c>
      <c r="T54" s="50">
        <v>16.100000000000001</v>
      </c>
      <c r="U54" s="50">
        <v>15</v>
      </c>
      <c r="V54" s="73">
        <v>18</v>
      </c>
      <c r="W54" s="73">
        <v>24.7</v>
      </c>
      <c r="X54" s="73">
        <v>23.4</v>
      </c>
      <c r="Y54" s="73">
        <v>23.4</v>
      </c>
      <c r="Z54" s="73">
        <v>23.2</v>
      </c>
      <c r="AA54" s="73">
        <v>17.100000000000001</v>
      </c>
      <c r="AB54" s="73">
        <v>19.399999999999999</v>
      </c>
      <c r="AC54" s="73">
        <v>18.899999999999999</v>
      </c>
      <c r="AD54" s="73">
        <v>5</v>
      </c>
      <c r="AE54" s="73">
        <v>0</v>
      </c>
      <c r="AF54" s="73">
        <v>0</v>
      </c>
      <c r="AG54" s="67">
        <v>32</v>
      </c>
      <c r="AH54" s="54">
        <f t="shared" si="2"/>
        <v>29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5.4</v>
      </c>
      <c r="M55" s="81">
        <v>10.5</v>
      </c>
      <c r="N55" s="81">
        <v>7</v>
      </c>
      <c r="O55" s="81">
        <v>7.1</v>
      </c>
      <c r="P55" s="81">
        <v>7</v>
      </c>
      <c r="Q55" s="81">
        <v>7</v>
      </c>
      <c r="R55" s="81">
        <v>7</v>
      </c>
      <c r="S55" s="50">
        <v>5.2</v>
      </c>
      <c r="T55" s="50">
        <v>5.9</v>
      </c>
      <c r="U55" s="50">
        <v>5.4</v>
      </c>
      <c r="V55" s="80">
        <v>6.7</v>
      </c>
      <c r="W55" s="80">
        <v>9</v>
      </c>
      <c r="X55" s="80">
        <v>8.6</v>
      </c>
      <c r="Y55" s="80">
        <v>8.6</v>
      </c>
      <c r="Z55" s="80">
        <v>8.5</v>
      </c>
      <c r="AA55" s="80">
        <v>6.2</v>
      </c>
      <c r="AB55" s="80">
        <v>6.3</v>
      </c>
      <c r="AC55" s="80">
        <v>6.7</v>
      </c>
      <c r="AD55" s="80">
        <v>1.8</v>
      </c>
      <c r="AE55" s="80">
        <v>0</v>
      </c>
      <c r="AF55" s="80">
        <v>0</v>
      </c>
      <c r="AG55" s="82">
        <v>14</v>
      </c>
      <c r="AH55" s="54">
        <f t="shared" si="2"/>
        <v>10.5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9">SUM(D53:D55)</f>
        <v>0</v>
      </c>
      <c r="E56" s="72">
        <f t="shared" si="9"/>
        <v>0</v>
      </c>
      <c r="F56" s="72">
        <f t="shared" si="9"/>
        <v>0</v>
      </c>
      <c r="G56" s="72">
        <f t="shared" si="9"/>
        <v>0</v>
      </c>
      <c r="H56" s="72">
        <f t="shared" si="9"/>
        <v>0</v>
      </c>
      <c r="I56" s="72">
        <f t="shared" si="9"/>
        <v>0</v>
      </c>
      <c r="J56" s="72">
        <f t="shared" si="9"/>
        <v>0</v>
      </c>
      <c r="K56" s="72">
        <f t="shared" si="9"/>
        <v>0</v>
      </c>
      <c r="L56" s="72">
        <f t="shared" si="9"/>
        <v>50.199999999999996</v>
      </c>
      <c r="M56" s="72">
        <f t="shared" si="9"/>
        <v>99.5</v>
      </c>
      <c r="N56" s="72">
        <f t="shared" si="9"/>
        <v>65</v>
      </c>
      <c r="O56" s="72">
        <f t="shared" si="9"/>
        <v>67.7</v>
      </c>
      <c r="P56" s="72">
        <f t="shared" si="9"/>
        <v>65</v>
      </c>
      <c r="Q56" s="72">
        <f t="shared" si="9"/>
        <v>65</v>
      </c>
      <c r="R56" s="72">
        <f t="shared" si="9"/>
        <v>65</v>
      </c>
      <c r="S56" s="72">
        <f t="shared" si="9"/>
        <v>49.5</v>
      </c>
      <c r="T56" s="72">
        <f t="shared" si="9"/>
        <v>51.699999999999996</v>
      </c>
      <c r="U56" s="72">
        <f t="shared" si="9"/>
        <v>40.4</v>
      </c>
      <c r="V56" s="72">
        <f t="shared" si="9"/>
        <v>64.7</v>
      </c>
      <c r="W56" s="72">
        <f t="shared" si="9"/>
        <v>83.7</v>
      </c>
      <c r="X56" s="72">
        <v>82.299999999999983</v>
      </c>
      <c r="Y56" s="72">
        <f t="shared" si="9"/>
        <v>82.299999999999983</v>
      </c>
      <c r="Z56" s="72">
        <f t="shared" si="9"/>
        <v>71.7</v>
      </c>
      <c r="AA56" s="72">
        <f t="shared" si="9"/>
        <v>57.300000000000004</v>
      </c>
      <c r="AB56" s="72">
        <f t="shared" si="9"/>
        <v>65.7</v>
      </c>
      <c r="AC56" s="72">
        <f t="shared" si="9"/>
        <v>55.6</v>
      </c>
      <c r="AD56" s="72">
        <f t="shared" si="9"/>
        <v>26.8</v>
      </c>
      <c r="AE56" s="72">
        <f t="shared" si="9"/>
        <v>0</v>
      </c>
      <c r="AF56" s="72">
        <f t="shared" si="9"/>
        <v>0</v>
      </c>
      <c r="AG56" s="78">
        <f>SUM(AG53:AG55)</f>
        <v>106</v>
      </c>
      <c r="AH56" s="54">
        <f t="shared" si="2"/>
        <v>99.5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33</v>
      </c>
      <c r="I57" s="50">
        <v>32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40</v>
      </c>
      <c r="U57" s="50">
        <v>0</v>
      </c>
      <c r="V57" s="50">
        <v>0</v>
      </c>
      <c r="W57" s="50">
        <v>0</v>
      </c>
      <c r="X57" s="50">
        <v>43.2</v>
      </c>
      <c r="Y57" s="50">
        <v>16.3</v>
      </c>
      <c r="Z57" s="50">
        <v>37.299999999999997</v>
      </c>
      <c r="AA57" s="50">
        <v>38.5</v>
      </c>
      <c r="AB57" s="50">
        <v>0</v>
      </c>
      <c r="AC57" s="50">
        <v>0</v>
      </c>
      <c r="AD57" s="50">
        <v>0</v>
      </c>
      <c r="AE57" s="50">
        <v>0</v>
      </c>
      <c r="AF57" s="50">
        <v>45.4</v>
      </c>
      <c r="AG57" s="62"/>
      <c r="AH57" s="54">
        <f t="shared" si="2"/>
        <v>45.4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82</v>
      </c>
      <c r="C59" s="73">
        <v>75.400000000000006</v>
      </c>
      <c r="D59" s="73">
        <v>70</v>
      </c>
      <c r="E59" s="73">
        <v>85</v>
      </c>
      <c r="F59" s="73">
        <v>83</v>
      </c>
      <c r="G59" s="73">
        <v>69</v>
      </c>
      <c r="H59" s="73">
        <v>85.6</v>
      </c>
      <c r="I59" s="50">
        <v>142</v>
      </c>
      <c r="J59" s="50">
        <v>152</v>
      </c>
      <c r="K59" s="50">
        <v>200</v>
      </c>
      <c r="L59" s="50">
        <v>211</v>
      </c>
      <c r="M59" s="50">
        <v>122</v>
      </c>
      <c r="N59" s="50">
        <v>122</v>
      </c>
      <c r="O59" s="73">
        <v>200</v>
      </c>
      <c r="P59" s="73">
        <v>293</v>
      </c>
      <c r="Q59" s="73">
        <v>293</v>
      </c>
      <c r="R59" s="73">
        <v>293</v>
      </c>
      <c r="S59" s="73">
        <v>301</v>
      </c>
      <c r="T59" s="73">
        <v>291</v>
      </c>
      <c r="U59" s="73">
        <v>304</v>
      </c>
      <c r="V59" s="73">
        <v>319</v>
      </c>
      <c r="W59" s="73">
        <v>93</v>
      </c>
      <c r="X59" s="84">
        <v>166</v>
      </c>
      <c r="Y59" s="84">
        <v>166</v>
      </c>
      <c r="Z59" s="84">
        <v>151</v>
      </c>
      <c r="AA59" s="84">
        <v>141</v>
      </c>
      <c r="AB59" s="73">
        <v>174</v>
      </c>
      <c r="AC59" s="73">
        <v>128</v>
      </c>
      <c r="AD59" s="73">
        <v>240</v>
      </c>
      <c r="AE59" s="73">
        <v>161</v>
      </c>
      <c r="AF59" s="73">
        <v>115.5</v>
      </c>
      <c r="AG59" s="85"/>
      <c r="AH59" s="54">
        <f t="shared" si="2"/>
        <v>319</v>
      </c>
      <c r="AI59" s="55">
        <f t="shared" si="3"/>
        <v>69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41</v>
      </c>
      <c r="V60" s="73">
        <v>41</v>
      </c>
      <c r="W60" s="73">
        <v>40</v>
      </c>
      <c r="X60" s="73">
        <v>45</v>
      </c>
      <c r="Y60" s="73">
        <v>45</v>
      </c>
      <c r="Z60" s="73">
        <v>45</v>
      </c>
      <c r="AA60" s="73">
        <v>43</v>
      </c>
      <c r="AB60" s="73">
        <v>45</v>
      </c>
      <c r="AC60" s="73">
        <v>41</v>
      </c>
      <c r="AD60" s="73">
        <v>0</v>
      </c>
      <c r="AE60" s="73">
        <v>0</v>
      </c>
      <c r="AF60" s="58">
        <v>0</v>
      </c>
      <c r="AG60" s="85"/>
      <c r="AH60" s="54">
        <f t="shared" si="2"/>
        <v>45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84.9</v>
      </c>
      <c r="X61" s="50">
        <v>90.3</v>
      </c>
      <c r="Y61" s="50">
        <v>90.3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90.3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50">
        <v>0</v>
      </c>
      <c r="X62" s="60">
        <v>0</v>
      </c>
      <c r="Y62" s="60">
        <v>0</v>
      </c>
      <c r="Z62" s="60">
        <v>0</v>
      </c>
      <c r="AA62" s="50">
        <v>0</v>
      </c>
      <c r="AB62" s="50">
        <v>0</v>
      </c>
      <c r="AC62" s="5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50">
        <v>0</v>
      </c>
      <c r="X63" s="60">
        <v>0</v>
      </c>
      <c r="Y63" s="60">
        <v>0</v>
      </c>
      <c r="Z63" s="60">
        <v>0</v>
      </c>
      <c r="AA63" s="50">
        <v>0</v>
      </c>
      <c r="AB63" s="50">
        <v>0</v>
      </c>
      <c r="AC63" s="5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0">
        <v>0</v>
      </c>
      <c r="X64" s="58">
        <v>0</v>
      </c>
      <c r="Y64" s="58">
        <v>0</v>
      </c>
      <c r="Z64" s="58">
        <v>0</v>
      </c>
      <c r="AA64" s="50">
        <v>0</v>
      </c>
      <c r="AB64" s="50">
        <v>0</v>
      </c>
      <c r="AC64" s="50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0">
        <v>0</v>
      </c>
      <c r="X65" s="58">
        <v>0</v>
      </c>
      <c r="Y65" s="58">
        <v>0</v>
      </c>
      <c r="Z65" s="58">
        <v>0</v>
      </c>
      <c r="AA65" s="50">
        <v>0</v>
      </c>
      <c r="AB65" s="50">
        <v>0</v>
      </c>
      <c r="AC65" s="50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50">
        <v>0</v>
      </c>
      <c r="X66" s="63">
        <v>0</v>
      </c>
      <c r="Y66" s="63">
        <v>0</v>
      </c>
      <c r="Z66" s="63">
        <v>0</v>
      </c>
      <c r="AA66" s="50">
        <v>0</v>
      </c>
      <c r="AB66" s="50">
        <v>0</v>
      </c>
      <c r="AC66" s="50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50">
        <v>0</v>
      </c>
      <c r="X67" s="63">
        <v>0</v>
      </c>
      <c r="Y67" s="63">
        <v>0</v>
      </c>
      <c r="Z67" s="63">
        <v>0</v>
      </c>
      <c r="AA67" s="50">
        <v>0</v>
      </c>
      <c r="AB67" s="50">
        <v>0</v>
      </c>
      <c r="AC67" s="50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82</v>
      </c>
      <c r="C68" s="72">
        <f>SUM(C57:C67)</f>
        <v>75.400000000000006</v>
      </c>
      <c r="D68" s="72">
        <f t="shared" ref="D68:AF68" si="10">SUM(D57:D67)</f>
        <v>70</v>
      </c>
      <c r="E68" s="72">
        <f t="shared" si="10"/>
        <v>85</v>
      </c>
      <c r="F68" s="72">
        <f t="shared" si="10"/>
        <v>83</v>
      </c>
      <c r="G68" s="72">
        <f t="shared" si="10"/>
        <v>69</v>
      </c>
      <c r="H68" s="72">
        <f t="shared" si="10"/>
        <v>118.6</v>
      </c>
      <c r="I68" s="72">
        <f t="shared" si="10"/>
        <v>174</v>
      </c>
      <c r="J68" s="72">
        <f t="shared" si="10"/>
        <v>152</v>
      </c>
      <c r="K68" s="72">
        <f t="shared" si="10"/>
        <v>200</v>
      </c>
      <c r="L68" s="72">
        <f t="shared" si="10"/>
        <v>211</v>
      </c>
      <c r="M68" s="72">
        <f t="shared" si="10"/>
        <v>122</v>
      </c>
      <c r="N68" s="72">
        <f t="shared" si="10"/>
        <v>122</v>
      </c>
      <c r="O68" s="72">
        <f t="shared" si="10"/>
        <v>200</v>
      </c>
      <c r="P68" s="72">
        <f t="shared" si="10"/>
        <v>293</v>
      </c>
      <c r="Q68" s="72">
        <f t="shared" si="10"/>
        <v>293</v>
      </c>
      <c r="R68" s="72">
        <f t="shared" si="10"/>
        <v>293</v>
      </c>
      <c r="S68" s="72">
        <f t="shared" si="10"/>
        <v>301</v>
      </c>
      <c r="T68" s="72">
        <f t="shared" si="10"/>
        <v>331</v>
      </c>
      <c r="U68" s="72">
        <f t="shared" si="10"/>
        <v>345</v>
      </c>
      <c r="V68" s="72">
        <f t="shared" si="10"/>
        <v>360</v>
      </c>
      <c r="W68" s="72">
        <f t="shared" si="10"/>
        <v>217.9</v>
      </c>
      <c r="X68" s="72">
        <v>344.5</v>
      </c>
      <c r="Y68" s="72">
        <f t="shared" si="10"/>
        <v>317.60000000000002</v>
      </c>
      <c r="Z68" s="72">
        <f t="shared" si="10"/>
        <v>233.3</v>
      </c>
      <c r="AA68" s="72">
        <f t="shared" si="10"/>
        <v>222.5</v>
      </c>
      <c r="AB68" s="72">
        <f t="shared" si="10"/>
        <v>219</v>
      </c>
      <c r="AC68" s="72">
        <f t="shared" si="10"/>
        <v>169</v>
      </c>
      <c r="AD68" s="72">
        <f t="shared" si="10"/>
        <v>240</v>
      </c>
      <c r="AE68" s="72">
        <f t="shared" si="10"/>
        <v>161</v>
      </c>
      <c r="AF68" s="72">
        <f t="shared" si="10"/>
        <v>160.9</v>
      </c>
      <c r="AG68" s="78">
        <f>SUM(AG57:AG67)</f>
        <v>0</v>
      </c>
      <c r="AH68" s="54">
        <f t="shared" si="2"/>
        <v>360</v>
      </c>
      <c r="AI68" s="55">
        <f t="shared" si="3"/>
        <v>69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809.54</v>
      </c>
      <c r="C73" s="89">
        <f>C68+C56+C52+C38+C72</f>
        <v>814.04</v>
      </c>
      <c r="D73" s="89">
        <f t="shared" ref="D73:AG73" si="12">D68+D56+D52+D38+D72</f>
        <v>795.64</v>
      </c>
      <c r="E73" s="89">
        <f t="shared" si="12"/>
        <v>802.33999999999992</v>
      </c>
      <c r="F73" s="89">
        <f t="shared" si="12"/>
        <v>817.83999999999992</v>
      </c>
      <c r="G73" s="89">
        <f t="shared" si="12"/>
        <v>885.34</v>
      </c>
      <c r="H73" s="89">
        <f t="shared" si="12"/>
        <v>953.94</v>
      </c>
      <c r="I73" s="89">
        <f t="shared" si="12"/>
        <v>1051.3400000000001</v>
      </c>
      <c r="J73" s="89">
        <f t="shared" si="12"/>
        <v>1153.3400000000001</v>
      </c>
      <c r="K73" s="89">
        <f t="shared" si="12"/>
        <v>1248.94</v>
      </c>
      <c r="L73" s="89">
        <f t="shared" si="12"/>
        <v>1361.44</v>
      </c>
      <c r="M73" s="89">
        <f t="shared" si="12"/>
        <v>1391.74</v>
      </c>
      <c r="N73" s="89">
        <f t="shared" si="12"/>
        <v>1357.24</v>
      </c>
      <c r="O73" s="89">
        <f t="shared" si="12"/>
        <v>1357.8400000000001</v>
      </c>
      <c r="P73" s="89">
        <f t="shared" si="12"/>
        <v>1284.4399999999998</v>
      </c>
      <c r="Q73" s="89">
        <f t="shared" si="12"/>
        <v>1284.4399999999998</v>
      </c>
      <c r="R73" s="89">
        <f t="shared" si="12"/>
        <v>1268.4399999999998</v>
      </c>
      <c r="S73" s="89">
        <f t="shared" si="12"/>
        <v>1227.44</v>
      </c>
      <c r="T73" s="89">
        <f t="shared" si="12"/>
        <v>1244.3399999999999</v>
      </c>
      <c r="U73" s="89">
        <f t="shared" si="12"/>
        <v>1267.1399999999999</v>
      </c>
      <c r="V73" s="89">
        <f t="shared" si="12"/>
        <v>1342.4399999999998</v>
      </c>
      <c r="W73" s="89">
        <f t="shared" si="12"/>
        <v>1468.04</v>
      </c>
      <c r="X73" s="89">
        <f t="shared" si="12"/>
        <v>1554.94</v>
      </c>
      <c r="Y73" s="89">
        <f t="shared" si="12"/>
        <v>1515.04</v>
      </c>
      <c r="Z73" s="89">
        <f t="shared" si="12"/>
        <v>1463.1399999999999</v>
      </c>
      <c r="AA73" s="89">
        <f t="shared" si="12"/>
        <v>1427.94</v>
      </c>
      <c r="AB73" s="89">
        <f t="shared" si="12"/>
        <v>1418.8400000000001</v>
      </c>
      <c r="AC73" s="89">
        <f t="shared" si="12"/>
        <v>1302.74</v>
      </c>
      <c r="AD73" s="89">
        <f t="shared" si="12"/>
        <v>1159.7399999999998</v>
      </c>
      <c r="AE73" s="89">
        <f t="shared" si="12"/>
        <v>985.1400000000001</v>
      </c>
      <c r="AF73" s="89">
        <f t="shared" si="12"/>
        <v>914.14</v>
      </c>
      <c r="AG73" s="89">
        <f t="shared" si="12"/>
        <v>2144.14</v>
      </c>
      <c r="AH73" s="54">
        <f t="shared" si="2"/>
        <v>1554.94</v>
      </c>
      <c r="AI73" s="55">
        <f t="shared" si="3"/>
        <v>795.64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>
        <v>12</v>
      </c>
      <c r="H74" s="91">
        <v>12</v>
      </c>
      <c r="I74" s="91">
        <v>12</v>
      </c>
      <c r="J74" s="91">
        <v>12</v>
      </c>
      <c r="K74" s="91">
        <v>12</v>
      </c>
      <c r="L74" s="91">
        <v>12</v>
      </c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12</v>
      </c>
      <c r="AI74" s="55">
        <f t="shared" si="3"/>
        <v>12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809.54</v>
      </c>
      <c r="C75" s="89">
        <f>C73+C74</f>
        <v>814.04</v>
      </c>
      <c r="D75" s="89">
        <f t="shared" ref="D75:AF75" si="13">D72+D68+D56+D52+D38+D74</f>
        <v>795.64</v>
      </c>
      <c r="E75" s="89">
        <f t="shared" si="13"/>
        <v>802.33999999999992</v>
      </c>
      <c r="F75" s="89">
        <f t="shared" si="13"/>
        <v>817.83999999999992</v>
      </c>
      <c r="G75" s="89">
        <f t="shared" si="13"/>
        <v>897.34</v>
      </c>
      <c r="H75" s="89">
        <f t="shared" si="13"/>
        <v>965.94</v>
      </c>
      <c r="I75" s="89">
        <f t="shared" si="13"/>
        <v>1063.3400000000001</v>
      </c>
      <c r="J75" s="89">
        <f t="shared" si="13"/>
        <v>1165.3400000000001</v>
      </c>
      <c r="K75" s="89">
        <f t="shared" si="13"/>
        <v>1260.94</v>
      </c>
      <c r="L75" s="89">
        <f t="shared" si="13"/>
        <v>1373.44</v>
      </c>
      <c r="M75" s="89">
        <f t="shared" si="13"/>
        <v>1391.74</v>
      </c>
      <c r="N75" s="89">
        <f t="shared" si="13"/>
        <v>1357.24</v>
      </c>
      <c r="O75" s="89">
        <f t="shared" si="13"/>
        <v>1357.8400000000001</v>
      </c>
      <c r="P75" s="89">
        <f t="shared" si="13"/>
        <v>1284.4399999999998</v>
      </c>
      <c r="Q75" s="89">
        <f t="shared" si="13"/>
        <v>1284.4399999999998</v>
      </c>
      <c r="R75" s="89">
        <f t="shared" si="13"/>
        <v>1268.4399999999998</v>
      </c>
      <c r="S75" s="89">
        <f t="shared" si="13"/>
        <v>1227.44</v>
      </c>
      <c r="T75" s="89">
        <f t="shared" si="13"/>
        <v>1244.3399999999999</v>
      </c>
      <c r="U75" s="89">
        <f t="shared" si="13"/>
        <v>1267.1399999999999</v>
      </c>
      <c r="V75" s="89">
        <f t="shared" si="13"/>
        <v>1342.4399999999998</v>
      </c>
      <c r="W75" s="89">
        <f t="shared" si="13"/>
        <v>1468.04</v>
      </c>
      <c r="X75" s="89">
        <f t="shared" si="13"/>
        <v>1554.94</v>
      </c>
      <c r="Y75" s="89">
        <f t="shared" si="13"/>
        <v>1515.04</v>
      </c>
      <c r="Z75" s="89">
        <f t="shared" si="13"/>
        <v>1463.1399999999999</v>
      </c>
      <c r="AA75" s="89">
        <f t="shared" si="13"/>
        <v>1427.94</v>
      </c>
      <c r="AB75" s="89">
        <f t="shared" si="13"/>
        <v>1418.8400000000001</v>
      </c>
      <c r="AC75" s="89">
        <f t="shared" si="13"/>
        <v>1302.74</v>
      </c>
      <c r="AD75" s="89">
        <f t="shared" si="13"/>
        <v>1159.7399999999998</v>
      </c>
      <c r="AE75" s="89">
        <f t="shared" si="13"/>
        <v>985.1400000000001</v>
      </c>
      <c r="AF75" s="89">
        <f t="shared" si="13"/>
        <v>914.14</v>
      </c>
      <c r="AG75" s="78">
        <f>AG72+AG68+AG56+AG52+AG38+AG74</f>
        <v>2144.14</v>
      </c>
      <c r="AH75" s="54">
        <f t="shared" si="2"/>
        <v>1554.94</v>
      </c>
      <c r="AI75" s="55">
        <f t="shared" si="3"/>
        <v>795.64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1619.08</v>
      </c>
      <c r="C83" s="72">
        <f t="shared" ref="C83:AG83" si="22">SUM(C70:C82)</f>
        <v>1628.08</v>
      </c>
      <c r="D83" s="72">
        <f t="shared" si="22"/>
        <v>1591.28</v>
      </c>
      <c r="E83" s="72">
        <f t="shared" si="22"/>
        <v>1604.6799999999998</v>
      </c>
      <c r="F83" s="72">
        <f t="shared" si="22"/>
        <v>1635.6799999999998</v>
      </c>
      <c r="G83" s="72">
        <f t="shared" si="22"/>
        <v>1794.68</v>
      </c>
      <c r="H83" s="72">
        <f t="shared" si="22"/>
        <v>1931.88</v>
      </c>
      <c r="I83" s="72">
        <f t="shared" si="22"/>
        <v>2126.6800000000003</v>
      </c>
      <c r="J83" s="72">
        <f t="shared" si="22"/>
        <v>2330.6800000000003</v>
      </c>
      <c r="K83" s="72">
        <f t="shared" si="22"/>
        <v>2521.88</v>
      </c>
      <c r="L83" s="72">
        <f t="shared" si="22"/>
        <v>2746.88</v>
      </c>
      <c r="M83" s="72">
        <f t="shared" si="22"/>
        <v>2783.48</v>
      </c>
      <c r="N83" s="72">
        <f t="shared" si="22"/>
        <v>2714.48</v>
      </c>
      <c r="O83" s="72">
        <f t="shared" si="22"/>
        <v>2715.6800000000003</v>
      </c>
      <c r="P83" s="72">
        <f t="shared" si="22"/>
        <v>2568.8799999999997</v>
      </c>
      <c r="Q83" s="72">
        <f t="shared" si="22"/>
        <v>2568.8799999999997</v>
      </c>
      <c r="R83" s="72">
        <f t="shared" si="22"/>
        <v>2536.8799999999997</v>
      </c>
      <c r="S83" s="72">
        <f t="shared" si="22"/>
        <v>2454.88</v>
      </c>
      <c r="T83" s="72">
        <f t="shared" si="22"/>
        <v>2488.6799999999998</v>
      </c>
      <c r="U83" s="72">
        <f t="shared" si="22"/>
        <v>2534.2799999999997</v>
      </c>
      <c r="V83" s="72">
        <f t="shared" si="22"/>
        <v>2684.8799999999997</v>
      </c>
      <c r="W83" s="72">
        <f t="shared" si="22"/>
        <v>2936.08</v>
      </c>
      <c r="X83" s="72">
        <f t="shared" si="22"/>
        <v>3109.88</v>
      </c>
      <c r="Y83" s="72">
        <f t="shared" si="22"/>
        <v>3030.08</v>
      </c>
      <c r="Z83" s="72">
        <f t="shared" si="22"/>
        <v>2926.2799999999997</v>
      </c>
      <c r="AA83" s="72">
        <f t="shared" si="22"/>
        <v>2855.88</v>
      </c>
      <c r="AB83" s="72">
        <f t="shared" si="22"/>
        <v>2837.6800000000003</v>
      </c>
      <c r="AC83" s="72">
        <f t="shared" si="22"/>
        <v>2605.48</v>
      </c>
      <c r="AD83" s="72">
        <f t="shared" si="22"/>
        <v>2319.4799999999996</v>
      </c>
      <c r="AE83" s="72">
        <f t="shared" si="22"/>
        <v>1970.2800000000002</v>
      </c>
      <c r="AF83" s="72">
        <f t="shared" si="22"/>
        <v>1828.28</v>
      </c>
      <c r="AG83" s="78">
        <f t="shared" si="22"/>
        <v>4360.08</v>
      </c>
      <c r="AH83" s="54">
        <f t="shared" si="15"/>
        <v>3109.88</v>
      </c>
      <c r="AI83" s="55">
        <f t="shared" si="16"/>
        <v>1591.28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50.05</v>
      </c>
      <c r="C84" s="95">
        <v>50.06</v>
      </c>
      <c r="D84" s="95">
        <v>50.72</v>
      </c>
      <c r="E84" s="95">
        <v>50.09</v>
      </c>
      <c r="F84" s="95">
        <v>50.1</v>
      </c>
      <c r="G84" s="95">
        <v>50.06</v>
      </c>
      <c r="H84" s="95">
        <v>50.018000000000001</v>
      </c>
      <c r="I84" s="95">
        <v>50.021000000000001</v>
      </c>
      <c r="J84" s="95">
        <v>50.106000000000002</v>
      </c>
      <c r="K84" s="95">
        <v>50.005000000000003</v>
      </c>
      <c r="L84" s="95">
        <v>49.954999999999998</v>
      </c>
      <c r="M84" s="95">
        <v>49.994999999999997</v>
      </c>
      <c r="N84" s="95">
        <v>49.988</v>
      </c>
      <c r="O84" s="95">
        <v>50.07</v>
      </c>
      <c r="P84" s="95">
        <v>50.051000000000002</v>
      </c>
      <c r="Q84" s="95">
        <v>50.051000000000002</v>
      </c>
      <c r="R84" s="95">
        <v>50.051000000000002</v>
      </c>
      <c r="S84" s="95">
        <v>50.04</v>
      </c>
      <c r="T84" s="95">
        <v>50.042999999999999</v>
      </c>
      <c r="U84" s="95">
        <v>49.933999999999997</v>
      </c>
      <c r="V84" s="95">
        <v>50.043999999999997</v>
      </c>
      <c r="W84" s="95">
        <v>50.045000000000002</v>
      </c>
      <c r="X84" s="95">
        <v>50.024000000000001</v>
      </c>
      <c r="Y84" s="95">
        <v>50.015999999999998</v>
      </c>
      <c r="Z84" s="95">
        <v>50.079000000000001</v>
      </c>
      <c r="AA84" s="95">
        <v>50.04</v>
      </c>
      <c r="AB84" s="95">
        <v>50.04</v>
      </c>
      <c r="AC84" s="95">
        <v>50.017000000000003</v>
      </c>
      <c r="AD84" s="95">
        <v>50.069000000000003</v>
      </c>
      <c r="AE84" s="95">
        <v>50.055999999999997</v>
      </c>
      <c r="AF84" s="95">
        <v>49.965000000000003</v>
      </c>
      <c r="AG84" s="96"/>
      <c r="AH84" s="54">
        <f t="shared" si="15"/>
        <v>50.72</v>
      </c>
      <c r="AI84" s="55">
        <f t="shared" si="16"/>
        <v>49.933999999999997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127.5</v>
      </c>
      <c r="C85" s="73">
        <v>128.69999999999999</v>
      </c>
      <c r="D85" s="73">
        <v>128.69999999999999</v>
      </c>
      <c r="E85" s="73">
        <v>128.69999999999999</v>
      </c>
      <c r="F85" s="73">
        <v>128.69999999999999</v>
      </c>
      <c r="G85" s="73">
        <v>127</v>
      </c>
      <c r="H85" s="73">
        <v>127</v>
      </c>
      <c r="I85" s="73">
        <v>127</v>
      </c>
      <c r="J85" s="73">
        <v>126</v>
      </c>
      <c r="K85" s="73">
        <v>124</v>
      </c>
      <c r="L85" s="73">
        <v>124</v>
      </c>
      <c r="M85" s="73">
        <v>123.9</v>
      </c>
      <c r="N85" s="73">
        <v>122.4</v>
      </c>
      <c r="O85" s="73">
        <v>124.2</v>
      </c>
      <c r="P85" s="73">
        <v>124.6</v>
      </c>
      <c r="Q85" s="73">
        <v>124.6</v>
      </c>
      <c r="R85" s="73">
        <v>124.6</v>
      </c>
      <c r="S85" s="73">
        <v>126.1</v>
      </c>
      <c r="T85" s="73">
        <v>124.8</v>
      </c>
      <c r="U85" s="98">
        <v>124</v>
      </c>
      <c r="V85" s="98">
        <v>124.5</v>
      </c>
      <c r="W85" s="98">
        <v>127.1</v>
      </c>
      <c r="X85" s="98">
        <v>125.6</v>
      </c>
      <c r="Y85" s="98">
        <v>127</v>
      </c>
      <c r="Z85" s="98">
        <v>125.9</v>
      </c>
      <c r="AA85" s="98">
        <v>125.3</v>
      </c>
      <c r="AB85" s="98">
        <v>125.3</v>
      </c>
      <c r="AC85" s="73">
        <v>126.6</v>
      </c>
      <c r="AD85" s="73">
        <v>126.5</v>
      </c>
      <c r="AE85" s="73">
        <v>128.19999999999999</v>
      </c>
      <c r="AF85" s="73">
        <v>127.7</v>
      </c>
      <c r="AG85" s="99"/>
      <c r="AH85" s="54">
        <f t="shared" si="15"/>
        <v>128.69999999999999</v>
      </c>
      <c r="AI85" s="55">
        <f t="shared" si="16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131</v>
      </c>
      <c r="C86" s="73">
        <v>132.5</v>
      </c>
      <c r="D86" s="73">
        <v>132.5</v>
      </c>
      <c r="E86" s="73">
        <v>132.5</v>
      </c>
      <c r="F86" s="73">
        <v>132.5</v>
      </c>
      <c r="G86" s="73">
        <v>131.5</v>
      </c>
      <c r="H86" s="73">
        <v>130</v>
      </c>
      <c r="I86" s="73">
        <v>130</v>
      </c>
      <c r="J86" s="73">
        <v>128</v>
      </c>
      <c r="K86" s="73">
        <v>128</v>
      </c>
      <c r="L86" s="73">
        <v>126</v>
      </c>
      <c r="M86" s="73">
        <v>126.5</v>
      </c>
      <c r="N86" s="73">
        <v>125</v>
      </c>
      <c r="O86" s="73">
        <v>127</v>
      </c>
      <c r="P86" s="73">
        <v>127.6</v>
      </c>
      <c r="Q86" s="73">
        <v>127.6</v>
      </c>
      <c r="R86" s="73">
        <v>127.6</v>
      </c>
      <c r="S86" s="73">
        <v>128.6</v>
      </c>
      <c r="T86" s="73">
        <v>128.1</v>
      </c>
      <c r="U86" s="98">
        <v>128</v>
      </c>
      <c r="V86" s="98">
        <v>127.3</v>
      </c>
      <c r="W86" s="98">
        <v>128</v>
      </c>
      <c r="X86" s="98">
        <v>126.6</v>
      </c>
      <c r="Y86" s="98">
        <v>127.3</v>
      </c>
      <c r="Z86" s="98">
        <v>127</v>
      </c>
      <c r="AA86" s="98">
        <v>127</v>
      </c>
      <c r="AB86" s="98">
        <v>127</v>
      </c>
      <c r="AC86" s="73">
        <v>128.30000000000001</v>
      </c>
      <c r="AD86" s="73">
        <v>128.30000000000001</v>
      </c>
      <c r="AE86" s="73">
        <v>130.5</v>
      </c>
      <c r="AF86" s="73">
        <v>131.1</v>
      </c>
      <c r="AG86" s="99"/>
      <c r="AH86" s="54">
        <f t="shared" si="15"/>
        <v>132.5</v>
      </c>
      <c r="AI86" s="55">
        <f t="shared" si="16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129.80000000000001</v>
      </c>
      <c r="C87" s="73">
        <v>127.7</v>
      </c>
      <c r="D87" s="73">
        <v>127.7</v>
      </c>
      <c r="E87" s="73">
        <v>127.7</v>
      </c>
      <c r="F87" s="73">
        <v>127.7</v>
      </c>
      <c r="G87" s="73">
        <v>129</v>
      </c>
      <c r="H87" s="73">
        <v>129</v>
      </c>
      <c r="I87" s="73">
        <v>130</v>
      </c>
      <c r="J87" s="73">
        <v>127</v>
      </c>
      <c r="K87" s="73">
        <v>130</v>
      </c>
      <c r="L87" s="73"/>
      <c r="M87" s="73">
        <v>128</v>
      </c>
      <c r="N87" s="73">
        <v>125</v>
      </c>
      <c r="O87" s="73">
        <v>126.6</v>
      </c>
      <c r="P87" s="73">
        <v>129.80000000000001</v>
      </c>
      <c r="Q87" s="73">
        <v>129.80000000000001</v>
      </c>
      <c r="R87" s="73">
        <v>129.80000000000001</v>
      </c>
      <c r="S87" s="73">
        <v>128.1</v>
      </c>
      <c r="T87" s="73">
        <v>128</v>
      </c>
      <c r="U87" s="73">
        <v>129</v>
      </c>
      <c r="V87" s="73">
        <v>128.30000000000001</v>
      </c>
      <c r="W87" s="73">
        <v>128.19999999999999</v>
      </c>
      <c r="X87" s="98">
        <v>128.9</v>
      </c>
      <c r="Y87" s="98">
        <v>130.4</v>
      </c>
      <c r="Z87" s="98">
        <v>129</v>
      </c>
      <c r="AA87" s="98">
        <v>130</v>
      </c>
      <c r="AB87" s="98">
        <v>130</v>
      </c>
      <c r="AC87" s="73">
        <v>131.30000000000001</v>
      </c>
      <c r="AD87" s="73">
        <v>130</v>
      </c>
      <c r="AE87" s="73">
        <v>130.69999999999999</v>
      </c>
      <c r="AF87" s="73">
        <v>128.69999999999999</v>
      </c>
      <c r="AG87" s="99"/>
      <c r="AH87" s="54">
        <f t="shared" si="15"/>
        <v>131.30000000000001</v>
      </c>
      <c r="AI87" s="55">
        <f t="shared" si="16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133.6</v>
      </c>
      <c r="C88" s="73">
        <v>132.1</v>
      </c>
      <c r="D88" s="73">
        <v>132.1</v>
      </c>
      <c r="E88" s="73">
        <v>132.1</v>
      </c>
      <c r="F88" s="73">
        <v>132.1</v>
      </c>
      <c r="G88" s="73">
        <v>131.6</v>
      </c>
      <c r="H88" s="73">
        <v>131.6</v>
      </c>
      <c r="I88" s="73">
        <v>132</v>
      </c>
      <c r="J88" s="73">
        <v>129</v>
      </c>
      <c r="K88" s="73">
        <v>131.6</v>
      </c>
      <c r="L88" s="73"/>
      <c r="M88" s="73">
        <v>132</v>
      </c>
      <c r="N88" s="73">
        <v>128.69999999999999</v>
      </c>
      <c r="O88" s="73">
        <v>131.6</v>
      </c>
      <c r="P88" s="73">
        <v>134</v>
      </c>
      <c r="Q88" s="73">
        <v>134</v>
      </c>
      <c r="R88" s="73">
        <v>134</v>
      </c>
      <c r="S88" s="73">
        <v>131</v>
      </c>
      <c r="T88" s="73">
        <v>130.6</v>
      </c>
      <c r="U88" s="73">
        <v>133</v>
      </c>
      <c r="V88" s="73">
        <v>134.1</v>
      </c>
      <c r="W88" s="73">
        <v>132</v>
      </c>
      <c r="X88" s="98">
        <v>133.30000000000001</v>
      </c>
      <c r="Y88" s="98">
        <v>136</v>
      </c>
      <c r="Z88" s="98">
        <v>134.30000000000001</v>
      </c>
      <c r="AA88" s="98">
        <v>135</v>
      </c>
      <c r="AB88" s="98">
        <v>135</v>
      </c>
      <c r="AC88" s="73">
        <v>134.6</v>
      </c>
      <c r="AD88" s="73">
        <v>134</v>
      </c>
      <c r="AE88" s="73">
        <v>135.19999999999999</v>
      </c>
      <c r="AF88" s="73">
        <v>133.69999999999999</v>
      </c>
      <c r="AG88" s="99"/>
      <c r="AH88" s="54">
        <f t="shared" si="15"/>
        <v>136</v>
      </c>
      <c r="AI88" s="55">
        <f t="shared" si="16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127.8</v>
      </c>
      <c r="C89" s="101">
        <v>134.5</v>
      </c>
      <c r="D89" s="101">
        <v>134.5</v>
      </c>
      <c r="E89" s="101">
        <v>134.5</v>
      </c>
      <c r="F89" s="101">
        <v>134.5</v>
      </c>
      <c r="G89" s="101">
        <v>134</v>
      </c>
      <c r="H89" s="101">
        <v>134</v>
      </c>
      <c r="I89" s="101">
        <v>134</v>
      </c>
      <c r="J89" s="101">
        <v>134</v>
      </c>
      <c r="K89" s="101">
        <v>131.5</v>
      </c>
      <c r="L89" s="101"/>
      <c r="M89" s="101">
        <v>134.80000000000001</v>
      </c>
      <c r="N89" s="101">
        <v>130.30000000000001</v>
      </c>
      <c r="O89" s="101">
        <v>130.6</v>
      </c>
      <c r="P89" s="101">
        <v>133.80000000000001</v>
      </c>
      <c r="Q89" s="101">
        <v>133.80000000000001</v>
      </c>
      <c r="R89" s="101">
        <v>133.80000000000001</v>
      </c>
      <c r="S89" s="101">
        <v>134.80000000000001</v>
      </c>
      <c r="T89" s="101">
        <v>133.1</v>
      </c>
      <c r="U89" s="101">
        <v>136</v>
      </c>
      <c r="V89" s="101">
        <v>132.9</v>
      </c>
      <c r="W89" s="101">
        <v>135.30000000000001</v>
      </c>
      <c r="X89" s="98">
        <v>132.80000000000001</v>
      </c>
      <c r="Y89" s="98">
        <v>135.5</v>
      </c>
      <c r="Z89" s="98">
        <v>132.69999999999999</v>
      </c>
      <c r="AA89" s="98">
        <v>133.30000000000001</v>
      </c>
      <c r="AB89" s="98">
        <v>133.30000000000001</v>
      </c>
      <c r="AC89" s="101">
        <v>133.5</v>
      </c>
      <c r="AD89" s="101">
        <v>132.69999999999999</v>
      </c>
      <c r="AE89" s="101">
        <v>131.19999999999999</v>
      </c>
      <c r="AF89" s="101">
        <v>133.1</v>
      </c>
      <c r="AG89" s="102"/>
      <c r="AH89" s="54">
        <f t="shared" si="15"/>
        <v>136</v>
      </c>
      <c r="AI89" s="55">
        <f t="shared" si="16"/>
        <v>127.8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128.80000000000001</v>
      </c>
      <c r="C90" s="73">
        <v>134.80000000000001</v>
      </c>
      <c r="D90" s="73">
        <v>134.80000000000001</v>
      </c>
      <c r="E90" s="73">
        <v>134.80000000000001</v>
      </c>
      <c r="F90" s="73">
        <v>134.80000000000001</v>
      </c>
      <c r="G90" s="73">
        <v>135</v>
      </c>
      <c r="H90" s="73">
        <v>135</v>
      </c>
      <c r="I90" s="73">
        <v>135</v>
      </c>
      <c r="J90" s="73">
        <v>132</v>
      </c>
      <c r="K90" s="73">
        <v>127</v>
      </c>
      <c r="L90" s="73"/>
      <c r="M90" s="73">
        <v>134.6</v>
      </c>
      <c r="N90" s="73">
        <v>126.9</v>
      </c>
      <c r="O90" s="73">
        <v>124.9</v>
      </c>
      <c r="P90" s="73">
        <v>133.6</v>
      </c>
      <c r="Q90" s="73">
        <v>133.6</v>
      </c>
      <c r="R90" s="73">
        <v>133.6</v>
      </c>
      <c r="S90" s="73">
        <v>132.5</v>
      </c>
      <c r="T90" s="73">
        <v>125.2</v>
      </c>
      <c r="U90" s="73">
        <v>135</v>
      </c>
      <c r="V90" s="73">
        <v>130.19999999999999</v>
      </c>
      <c r="W90" s="73">
        <v>132</v>
      </c>
      <c r="X90" s="98">
        <v>129</v>
      </c>
      <c r="Y90" s="98">
        <v>135.5</v>
      </c>
      <c r="Z90" s="98">
        <v>133.5</v>
      </c>
      <c r="AA90" s="98">
        <v>134.9</v>
      </c>
      <c r="AB90" s="98">
        <v>134.9</v>
      </c>
      <c r="AC90" s="73">
        <v>131.4</v>
      </c>
      <c r="AD90" s="73">
        <v>133.30000000000001</v>
      </c>
      <c r="AE90" s="73">
        <v>132.30000000000001</v>
      </c>
      <c r="AF90" s="73">
        <v>138.6</v>
      </c>
      <c r="AG90" s="99"/>
      <c r="AH90" s="54">
        <f t="shared" si="15"/>
        <v>138.6</v>
      </c>
      <c r="AI90" s="55">
        <f t="shared" si="16"/>
        <v>124.9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66.599999999999994</v>
      </c>
      <c r="C91" s="103">
        <v>67.400000000000006</v>
      </c>
      <c r="D91" s="103">
        <v>67.400000000000006</v>
      </c>
      <c r="E91" s="103">
        <v>67.400000000000006</v>
      </c>
      <c r="F91" s="103">
        <v>67.400000000000006</v>
      </c>
      <c r="G91" s="103">
        <v>66.8</v>
      </c>
      <c r="H91" s="103">
        <v>66.8</v>
      </c>
      <c r="I91" s="103">
        <v>65.8</v>
      </c>
      <c r="J91" s="103">
        <v>65</v>
      </c>
      <c r="K91" s="103">
        <v>65</v>
      </c>
      <c r="L91" s="103"/>
      <c r="M91" s="103">
        <v>64.400000000000006</v>
      </c>
      <c r="N91" s="103">
        <v>63.5</v>
      </c>
      <c r="O91" s="103">
        <v>65</v>
      </c>
      <c r="P91" s="103">
        <v>64.900000000000006</v>
      </c>
      <c r="Q91" s="103">
        <v>64.900000000000006</v>
      </c>
      <c r="R91" s="103">
        <v>64.900000000000006</v>
      </c>
      <c r="S91" s="103">
        <v>65.599999999999994</v>
      </c>
      <c r="T91" s="103">
        <v>65.400000000000006</v>
      </c>
      <c r="U91" s="103">
        <v>65</v>
      </c>
      <c r="V91" s="103">
        <v>64.8</v>
      </c>
      <c r="W91" s="103">
        <v>64.900000000000006</v>
      </c>
      <c r="X91" s="103">
        <v>64.099999999999994</v>
      </c>
      <c r="Y91" s="103">
        <v>64.400000000000006</v>
      </c>
      <c r="Z91" s="103">
        <v>64.2</v>
      </c>
      <c r="AA91" s="103">
        <v>64.5</v>
      </c>
      <c r="AB91" s="103">
        <v>64.5</v>
      </c>
      <c r="AC91" s="103">
        <v>65</v>
      </c>
      <c r="AD91" s="103">
        <v>65.099999999999994</v>
      </c>
      <c r="AE91" s="103">
        <v>66.3</v>
      </c>
      <c r="AF91" s="103">
        <v>66.3</v>
      </c>
      <c r="AG91" s="104"/>
      <c r="AH91" s="54">
        <f t="shared" si="15"/>
        <v>67.400000000000006</v>
      </c>
      <c r="AI91" s="55">
        <f t="shared" si="16"/>
        <v>63.5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204.34</v>
      </c>
      <c r="C93" s="110">
        <f>SUM(C15,C18,C21:C22,C42,C44:C45,C47,C49,C94:C97,C102,C108,C114,C123,C125,C137,C144,C147:C148,C155,C157,C159,C163:C165,C167:C169,C174,C180:C181,C183:C185,C193,C198)</f>
        <v>165.94</v>
      </c>
      <c r="D93" s="110">
        <f t="shared" ref="D93:AF93" si="23">SUM(D15,D18,D21:D22,D42,D44:D45,D47,D49,D94:D97,D102,D108,D114,D123,D125,D137,D144,D147:D148,D155,D157,D159,D163:D165,D167:D169,D174,D180:D181,D183:D185,D193,D198)</f>
        <v>162.64000000000001</v>
      </c>
      <c r="E93" s="110">
        <f t="shared" si="23"/>
        <v>166.24</v>
      </c>
      <c r="F93" s="110">
        <f t="shared" si="23"/>
        <v>172.74</v>
      </c>
      <c r="G93" s="109">
        <f t="shared" si="23"/>
        <v>202.04000000000002</v>
      </c>
      <c r="H93" s="109">
        <f t="shared" si="23"/>
        <v>224.33999999999997</v>
      </c>
      <c r="I93" s="109">
        <f t="shared" si="23"/>
        <v>268.34000000000003</v>
      </c>
      <c r="J93" s="109">
        <f t="shared" si="23"/>
        <v>296.24000000000007</v>
      </c>
      <c r="K93" s="109">
        <f t="shared" si="23"/>
        <v>339.19000000000005</v>
      </c>
      <c r="L93" s="109">
        <f t="shared" si="23"/>
        <v>191.04</v>
      </c>
      <c r="M93" s="109">
        <f t="shared" si="23"/>
        <v>292.94000000000005</v>
      </c>
      <c r="N93" s="109">
        <f t="shared" si="23"/>
        <v>376.04000000000008</v>
      </c>
      <c r="O93" s="109">
        <f t="shared" si="23"/>
        <v>378.24000000000007</v>
      </c>
      <c r="P93" s="109">
        <f t="shared" si="23"/>
        <v>250.04</v>
      </c>
      <c r="Q93" s="109">
        <f t="shared" si="23"/>
        <v>250.04</v>
      </c>
      <c r="R93" s="109">
        <f t="shared" si="23"/>
        <v>250.04</v>
      </c>
      <c r="S93" s="109">
        <f t="shared" si="23"/>
        <v>321.24000000000007</v>
      </c>
      <c r="T93" s="109">
        <f t="shared" si="23"/>
        <v>324.84000000000003</v>
      </c>
      <c r="U93" s="109">
        <f t="shared" si="23"/>
        <v>338.24000000000007</v>
      </c>
      <c r="V93" s="109">
        <f t="shared" si="23"/>
        <v>381.04000000000008</v>
      </c>
      <c r="W93" s="109">
        <f t="shared" si="23"/>
        <v>427.04</v>
      </c>
      <c r="X93" s="109">
        <f t="shared" si="23"/>
        <v>465.64000000000004</v>
      </c>
      <c r="Y93" s="109">
        <f t="shared" si="23"/>
        <v>470.94000000000005</v>
      </c>
      <c r="Z93" s="109">
        <f t="shared" si="23"/>
        <v>454.44000000000005</v>
      </c>
      <c r="AA93" s="109">
        <f t="shared" si="23"/>
        <v>450.04000000000008</v>
      </c>
      <c r="AB93" s="109">
        <f t="shared" si="23"/>
        <v>426.54000000000008</v>
      </c>
      <c r="AC93" s="109">
        <f t="shared" si="23"/>
        <v>413.04000000000008</v>
      </c>
      <c r="AD93" s="109">
        <f t="shared" si="23"/>
        <v>361.53999999999996</v>
      </c>
      <c r="AE93" s="109">
        <f t="shared" si="23"/>
        <v>282.94000000000005</v>
      </c>
      <c r="AF93" s="109">
        <f t="shared" si="23"/>
        <v>215.04</v>
      </c>
      <c r="AG93" s="111"/>
      <c r="AH93" s="54">
        <f>MAX(C93:AF93)</f>
        <v>470.94000000000005</v>
      </c>
      <c r="AI93" s="55">
        <f>MIN(C93:AF93)</f>
        <v>162.64000000000001</v>
      </c>
    </row>
    <row r="94" spans="1:88" x14ac:dyDescent="0.25">
      <c r="A94" s="112" t="s">
        <v>98</v>
      </c>
      <c r="B94" s="113">
        <v>25.4</v>
      </c>
      <c r="C94" s="113">
        <v>24.3</v>
      </c>
      <c r="D94" s="58">
        <v>15.3</v>
      </c>
      <c r="E94" s="58">
        <v>17</v>
      </c>
      <c r="F94" s="58">
        <v>19</v>
      </c>
      <c r="G94" s="114">
        <v>34.200000000000003</v>
      </c>
      <c r="H94" s="114">
        <v>43.3</v>
      </c>
      <c r="I94" s="114">
        <v>41.7</v>
      </c>
      <c r="J94" s="114">
        <v>39.700000000000003</v>
      </c>
      <c r="K94" s="114">
        <v>48</v>
      </c>
      <c r="L94" s="114"/>
      <c r="M94" s="113">
        <v>36.4</v>
      </c>
      <c r="N94" s="114">
        <v>39</v>
      </c>
      <c r="O94" s="114">
        <v>33.9</v>
      </c>
      <c r="P94" s="114">
        <v>25</v>
      </c>
      <c r="Q94" s="114">
        <v>25</v>
      </c>
      <c r="R94" s="114">
        <v>25</v>
      </c>
      <c r="S94" s="114">
        <v>19.399999999999999</v>
      </c>
      <c r="T94" s="114">
        <v>32.299999999999997</v>
      </c>
      <c r="U94" s="113">
        <v>30.9</v>
      </c>
      <c r="V94" s="113">
        <v>35.9</v>
      </c>
      <c r="W94" s="113">
        <v>43</v>
      </c>
      <c r="X94" s="114">
        <v>44.3</v>
      </c>
      <c r="Y94" s="114">
        <v>38.5</v>
      </c>
      <c r="Z94" s="114">
        <v>57.8</v>
      </c>
      <c r="AA94" s="114">
        <v>63.2</v>
      </c>
      <c r="AB94" s="114">
        <v>55</v>
      </c>
      <c r="AC94" s="113">
        <v>44.9</v>
      </c>
      <c r="AD94" s="113">
        <v>30.4</v>
      </c>
      <c r="AE94" s="113">
        <v>18.3</v>
      </c>
      <c r="AF94" s="113">
        <v>29.5</v>
      </c>
      <c r="AG94" s="115">
        <v>75</v>
      </c>
      <c r="AH94" s="54">
        <f t="shared" ref="AH94:AH99" si="24">IF(ABS(MAX(C94:AF94))&gt;ABS(MIN(C94:AF94)),MAX(C94:AF94),MIN(C94:AF94))</f>
        <v>63.2</v>
      </c>
      <c r="AI94" s="116">
        <f t="shared" ref="AI94:AI99" si="25">INDEX($C$9:$AF$9,1,MATCH(AH94,C94:AF94,0))</f>
        <v>0.8125</v>
      </c>
    </row>
    <row r="95" spans="1:88" x14ac:dyDescent="0.25">
      <c r="A95" s="117" t="s">
        <v>99</v>
      </c>
      <c r="B95" s="73">
        <f>-26-30.6</f>
        <v>-56.6</v>
      </c>
      <c r="C95" s="73">
        <f>-32.4-38.3</f>
        <v>-70.699999999999989</v>
      </c>
      <c r="D95" s="60">
        <v>-69.2</v>
      </c>
      <c r="E95" s="60">
        <v>-68.5</v>
      </c>
      <c r="F95" s="60">
        <v>-68</v>
      </c>
      <c r="G95" s="60">
        <v>-61</v>
      </c>
      <c r="H95" s="60">
        <v>-53</v>
      </c>
      <c r="I95" s="60">
        <v>-38</v>
      </c>
      <c r="J95" s="60">
        <v>-27</v>
      </c>
      <c r="K95" s="60">
        <v>-12.35</v>
      </c>
      <c r="L95" s="60"/>
      <c r="M95" s="60">
        <v>7</v>
      </c>
      <c r="N95" s="60">
        <v>-2</v>
      </c>
      <c r="O95" s="60">
        <f>0.7-4.7</f>
        <v>-4</v>
      </c>
      <c r="P95" s="60">
        <v>-6</v>
      </c>
      <c r="Q95" s="60">
        <v>-6</v>
      </c>
      <c r="R95" s="60">
        <v>-6</v>
      </c>
      <c r="S95" s="60">
        <v>-12</v>
      </c>
      <c r="T95" s="60">
        <v>-14</v>
      </c>
      <c r="U95" s="60">
        <v>-10.199999999999999</v>
      </c>
      <c r="V95" s="60">
        <v>7</v>
      </c>
      <c r="W95" s="60">
        <v>33</v>
      </c>
      <c r="X95" s="60">
        <v>50</v>
      </c>
      <c r="Y95" s="60">
        <v>60</v>
      </c>
      <c r="Z95" s="60">
        <v>23</v>
      </c>
      <c r="AA95" s="60">
        <v>22</v>
      </c>
      <c r="AB95" s="60">
        <v>19</v>
      </c>
      <c r="AC95" s="73">
        <v>23</v>
      </c>
      <c r="AD95" s="73">
        <v>-1.8</v>
      </c>
      <c r="AE95" s="73">
        <v>-25.3</v>
      </c>
      <c r="AF95" s="73">
        <v>-58</v>
      </c>
      <c r="AG95" s="115">
        <v>240</v>
      </c>
      <c r="AH95" s="54">
        <f t="shared" si="24"/>
        <v>-70.699999999999989</v>
      </c>
      <c r="AI95" s="116">
        <f t="shared" si="25"/>
        <v>4.1666666666666664E-2</v>
      </c>
    </row>
    <row r="96" spans="1:88" x14ac:dyDescent="0.25">
      <c r="A96" s="117" t="s">
        <v>100</v>
      </c>
      <c r="B96" s="73">
        <v>9.6</v>
      </c>
      <c r="C96" s="73">
        <v>5.3</v>
      </c>
      <c r="D96" s="60">
        <v>4.5</v>
      </c>
      <c r="E96" s="60">
        <v>4.7</v>
      </c>
      <c r="F96" s="60">
        <v>4.7</v>
      </c>
      <c r="G96" s="60">
        <v>5.0999999999999996</v>
      </c>
      <c r="H96" s="60">
        <v>9</v>
      </c>
      <c r="I96" s="60">
        <v>13.6</v>
      </c>
      <c r="J96" s="60">
        <v>17.5</v>
      </c>
      <c r="K96" s="60">
        <v>22.5</v>
      </c>
      <c r="L96" s="60"/>
      <c r="M96" s="60">
        <v>58.5</v>
      </c>
      <c r="N96" s="60">
        <v>48</v>
      </c>
      <c r="O96" s="60">
        <v>47.3</v>
      </c>
      <c r="P96" s="60">
        <v>40</v>
      </c>
      <c r="Q96" s="60">
        <v>40</v>
      </c>
      <c r="R96" s="60">
        <v>40</v>
      </c>
      <c r="S96" s="60">
        <v>37.299999999999997</v>
      </c>
      <c r="T96" s="60">
        <v>37.299999999999997</v>
      </c>
      <c r="U96" s="60">
        <v>33.200000000000003</v>
      </c>
      <c r="V96" s="60">
        <v>48.4</v>
      </c>
      <c r="W96" s="60">
        <v>59.3</v>
      </c>
      <c r="X96" s="60">
        <v>60</v>
      </c>
      <c r="Y96" s="60">
        <v>60.9</v>
      </c>
      <c r="Z96" s="60">
        <v>60.1</v>
      </c>
      <c r="AA96" s="60">
        <v>50.5</v>
      </c>
      <c r="AB96" s="60">
        <v>46</v>
      </c>
      <c r="AC96" s="73">
        <v>43.6</v>
      </c>
      <c r="AD96" s="73">
        <v>38.6</v>
      </c>
      <c r="AE96" s="73">
        <v>20.6</v>
      </c>
      <c r="AF96" s="73">
        <v>10</v>
      </c>
      <c r="AG96" s="115">
        <v>60</v>
      </c>
      <c r="AH96" s="54">
        <f t="shared" si="24"/>
        <v>60.9</v>
      </c>
      <c r="AI96" s="116">
        <f t="shared" si="25"/>
        <v>0.77083333333333337</v>
      </c>
    </row>
    <row r="97" spans="1:37" x14ac:dyDescent="0.25">
      <c r="A97" s="118" t="s">
        <v>101</v>
      </c>
      <c r="B97" s="119">
        <v>34.9</v>
      </c>
      <c r="C97" s="119">
        <v>16</v>
      </c>
      <c r="D97" s="63">
        <v>21</v>
      </c>
      <c r="E97" s="63">
        <v>22</v>
      </c>
      <c r="F97" s="63">
        <v>26</v>
      </c>
      <c r="G97" s="63">
        <v>32.700000000000003</v>
      </c>
      <c r="H97" s="63">
        <v>34</v>
      </c>
      <c r="I97" s="63">
        <v>60</v>
      </c>
      <c r="J97" s="63">
        <v>75</v>
      </c>
      <c r="K97" s="63">
        <v>90</v>
      </c>
      <c r="L97" s="63"/>
      <c r="M97" s="63" t="s">
        <v>231</v>
      </c>
      <c r="N97" s="63">
        <v>100</v>
      </c>
      <c r="O97" s="63">
        <v>110</v>
      </c>
      <c r="P97" s="63" t="s">
        <v>231</v>
      </c>
      <c r="Q97" s="63" t="s">
        <v>231</v>
      </c>
      <c r="R97" s="63" t="s">
        <v>231</v>
      </c>
      <c r="S97" s="63">
        <v>85.5</v>
      </c>
      <c r="T97" s="63">
        <v>78.2</v>
      </c>
      <c r="U97" s="63">
        <v>93.3</v>
      </c>
      <c r="V97" s="63">
        <v>98.7</v>
      </c>
      <c r="W97" s="63">
        <v>100.7</v>
      </c>
      <c r="X97" s="63">
        <v>110.8</v>
      </c>
      <c r="Y97" s="63">
        <v>111</v>
      </c>
      <c r="Z97" s="63">
        <v>113</v>
      </c>
      <c r="AA97" s="63">
        <v>113.8</v>
      </c>
      <c r="AB97" s="63">
        <v>106</v>
      </c>
      <c r="AC97" s="119">
        <v>101</v>
      </c>
      <c r="AD97" s="119">
        <v>93.6</v>
      </c>
      <c r="AE97" s="119">
        <v>72.7</v>
      </c>
      <c r="AF97" s="119">
        <v>36.6</v>
      </c>
      <c r="AG97" s="120">
        <v>120</v>
      </c>
      <c r="AH97" s="54">
        <f t="shared" si="24"/>
        <v>113.8</v>
      </c>
      <c r="AI97" s="116">
        <f t="shared" si="25"/>
        <v>0.8125</v>
      </c>
    </row>
    <row r="98" spans="1:37" x14ac:dyDescent="0.25">
      <c r="A98" s="118" t="s">
        <v>102</v>
      </c>
      <c r="B98" s="119">
        <v>43.6</v>
      </c>
      <c r="C98" s="119">
        <v>33.1</v>
      </c>
      <c r="D98" s="63">
        <v>29.7</v>
      </c>
      <c r="E98" s="63">
        <v>32</v>
      </c>
      <c r="F98" s="63">
        <v>38</v>
      </c>
      <c r="G98" s="63">
        <v>46</v>
      </c>
      <c r="H98" s="63">
        <v>42</v>
      </c>
      <c r="I98" s="63">
        <v>62</v>
      </c>
      <c r="J98" s="63">
        <v>75</v>
      </c>
      <c r="K98" s="63">
        <v>87</v>
      </c>
      <c r="L98" s="63"/>
      <c r="M98" s="63">
        <v>82</v>
      </c>
      <c r="N98" s="63">
        <v>90</v>
      </c>
      <c r="O98" s="63">
        <v>99.9</v>
      </c>
      <c r="P98" s="63">
        <v>99</v>
      </c>
      <c r="Q98" s="63">
        <v>99</v>
      </c>
      <c r="R98" s="63">
        <v>99</v>
      </c>
      <c r="S98" s="63">
        <v>87.6</v>
      </c>
      <c r="T98" s="63">
        <v>83.1</v>
      </c>
      <c r="U98" s="63">
        <v>96</v>
      </c>
      <c r="V98" s="63">
        <v>93.5</v>
      </c>
      <c r="W98" s="63">
        <v>67</v>
      </c>
      <c r="X98" s="63">
        <v>74</v>
      </c>
      <c r="Y98" s="63">
        <v>73.900000000000006</v>
      </c>
      <c r="Z98" s="63">
        <v>94.9</v>
      </c>
      <c r="AA98" s="63">
        <v>88.5</v>
      </c>
      <c r="AB98" s="63">
        <v>90</v>
      </c>
      <c r="AC98" s="119">
        <v>96.5</v>
      </c>
      <c r="AD98" s="119">
        <v>85.6</v>
      </c>
      <c r="AE98" s="119">
        <v>76</v>
      </c>
      <c r="AF98" s="119">
        <v>51.7</v>
      </c>
      <c r="AG98" s="120"/>
      <c r="AH98" s="54">
        <f t="shared" si="24"/>
        <v>99.9</v>
      </c>
      <c r="AI98" s="116">
        <f t="shared" si="25"/>
        <v>0.41666666666666702</v>
      </c>
    </row>
    <row r="99" spans="1:37" ht="15.75" thickBot="1" x14ac:dyDescent="0.3">
      <c r="A99" s="118" t="s">
        <v>217</v>
      </c>
      <c r="B99" s="119">
        <v>62.9</v>
      </c>
      <c r="C99" s="119">
        <v>57.2</v>
      </c>
      <c r="D99" s="63">
        <v>69.5</v>
      </c>
      <c r="E99" s="63">
        <v>74</v>
      </c>
      <c r="F99" s="63">
        <v>71</v>
      </c>
      <c r="G99" s="63">
        <v>65.5</v>
      </c>
      <c r="H99" s="63">
        <v>47</v>
      </c>
      <c r="I99" s="63">
        <v>49</v>
      </c>
      <c r="J99" s="63">
        <v>57.8</v>
      </c>
      <c r="K99" s="63">
        <v>58</v>
      </c>
      <c r="L99" s="63"/>
      <c r="M99" s="63">
        <v>62</v>
      </c>
      <c r="N99" s="63">
        <v>64</v>
      </c>
      <c r="O99" s="63">
        <v>74</v>
      </c>
      <c r="P99" s="63">
        <v>77</v>
      </c>
      <c r="Q99" s="63">
        <v>77</v>
      </c>
      <c r="R99" s="63">
        <v>77</v>
      </c>
      <c r="S99" s="63">
        <v>85.6</v>
      </c>
      <c r="T99" s="63">
        <v>59.2</v>
      </c>
      <c r="U99" s="63">
        <v>55</v>
      </c>
      <c r="V99" s="63">
        <v>62.8</v>
      </c>
      <c r="W99" s="63">
        <v>58.6</v>
      </c>
      <c r="X99" s="63">
        <v>53.5</v>
      </c>
      <c r="Y99" s="63">
        <v>66.2</v>
      </c>
      <c r="Z99" s="63">
        <v>39.799999999999997</v>
      </c>
      <c r="AA99" s="63">
        <v>36.6</v>
      </c>
      <c r="AB99" s="63">
        <v>49</v>
      </c>
      <c r="AC99" s="119">
        <v>47.8</v>
      </c>
      <c r="AD99" s="119">
        <v>61.9</v>
      </c>
      <c r="AE99" s="119">
        <v>76.3</v>
      </c>
      <c r="AF99" s="119">
        <v>59.3</v>
      </c>
      <c r="AG99" s="121"/>
      <c r="AH99" s="54">
        <f t="shared" si="24"/>
        <v>85.6</v>
      </c>
      <c r="AI99" s="116">
        <f t="shared" si="25"/>
        <v>0.58333333333333304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1391.74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2078/08/4)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809.54</v>
      </c>
      <c r="U213" s="167">
        <f t="shared" si="62"/>
        <v>814.04</v>
      </c>
      <c r="V213" s="167">
        <f t="shared" si="62"/>
        <v>795.64</v>
      </c>
      <c r="W213" s="167">
        <f t="shared" si="62"/>
        <v>802.33999999999992</v>
      </c>
      <c r="X213" s="167">
        <f t="shared" si="62"/>
        <v>817.83999999999992</v>
      </c>
      <c r="Y213" s="167">
        <f t="shared" si="62"/>
        <v>897.34</v>
      </c>
      <c r="Z213" s="167">
        <f t="shared" si="62"/>
        <v>965.94</v>
      </c>
      <c r="AA213" s="167">
        <f t="shared" si="62"/>
        <v>1063.3400000000001</v>
      </c>
      <c r="AB213" s="167">
        <f t="shared" si="62"/>
        <v>1165.3400000000001</v>
      </c>
      <c r="AC213" s="167">
        <f t="shared" si="62"/>
        <v>1260.94</v>
      </c>
      <c r="AD213" s="167">
        <f t="shared" si="62"/>
        <v>1373.44</v>
      </c>
      <c r="AE213" s="167">
        <f t="shared" si="62"/>
        <v>1391.74</v>
      </c>
      <c r="AF213" s="167">
        <f t="shared" si="62"/>
        <v>1357.24</v>
      </c>
      <c r="AG213" s="167">
        <f t="shared" si="62"/>
        <v>1357.8400000000001</v>
      </c>
      <c r="AH213" s="167">
        <f t="shared" si="62"/>
        <v>1284.4399999999998</v>
      </c>
      <c r="AI213" s="167">
        <f t="shared" si="62"/>
        <v>1284.4399999999998</v>
      </c>
      <c r="AJ213" s="167">
        <f t="shared" si="62"/>
        <v>1268.4399999999998</v>
      </c>
      <c r="AK213" s="167">
        <f t="shared" si="62"/>
        <v>1227.44</v>
      </c>
      <c r="AL213" s="167">
        <f t="shared" si="62"/>
        <v>1244.3399999999999</v>
      </c>
      <c r="AM213" s="167">
        <f t="shared" si="62"/>
        <v>1267.1399999999999</v>
      </c>
      <c r="AN213" s="167">
        <f t="shared" si="62"/>
        <v>1342.4399999999998</v>
      </c>
      <c r="AO213" s="167">
        <f t="shared" si="62"/>
        <v>1468.04</v>
      </c>
      <c r="AP213" s="167">
        <f t="shared" si="62"/>
        <v>1554.94</v>
      </c>
      <c r="AQ213" s="167">
        <f t="shared" si="62"/>
        <v>1515.04</v>
      </c>
      <c r="AR213" s="167">
        <f t="shared" si="62"/>
        <v>1463.1399999999999</v>
      </c>
      <c r="AS213" s="167">
        <f t="shared" si="62"/>
        <v>1427.94</v>
      </c>
      <c r="AT213" s="167">
        <f t="shared" si="62"/>
        <v>1418.8400000000001</v>
      </c>
      <c r="AU213" s="167">
        <f t="shared" si="62"/>
        <v>1302.74</v>
      </c>
      <c r="AV213" s="167">
        <f t="shared" si="62"/>
        <v>1159.7399999999998</v>
      </c>
      <c r="AW213" s="167">
        <f t="shared" si="62"/>
        <v>985.1400000000001</v>
      </c>
      <c r="AX213" s="167">
        <f t="shared" si="62"/>
        <v>914.14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40:T41 AD16:AE16 AB81:AF81 B81:R81 C56:AF56 B82:AF83 D193:AF199 B193:B199 C68:AF72 B9:AF10 B191:AF191 AF57:AF67 B53:B72 AG73 U212:AF212 B73:AF80 B36:L36 C57:N67 M39:S42 O58:T67 T42:U42 U58:W59 U61:V67 N45:W48 M53:AF55 U40:AA42 AD11:AE14 O11:AC11 Z40:AE43 X85:AB91 X18:AD30 AC94:AF99 AE17:AE30 AF12:AF14 AF16:AF30 X36:AF36 AC84:AF91">
    <cfRule type="expression" dxfId="8253" priority="298">
      <formula>B$9&gt;=20/24</formula>
    </cfRule>
    <cfRule type="expression" dxfId="8252" priority="299">
      <formula>AND(B$9&gt;=14/24,B$9&lt;20/24)</formula>
    </cfRule>
    <cfRule type="expression" dxfId="8251" priority="300">
      <formula>AND(B$9&gt;=8/24,B$9&lt;14/24)</formula>
    </cfRule>
    <cfRule type="expression" dxfId="8250" priority="301">
      <formula>B$9&lt;8/24</formula>
    </cfRule>
  </conditionalFormatting>
  <conditionalFormatting sqref="AL4:AL6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O57:T57">
    <cfRule type="expression" dxfId="8249" priority="293">
      <formula>O$9&gt;=20/24</formula>
    </cfRule>
    <cfRule type="expression" dxfId="8248" priority="294">
      <formula>AND(O$9&gt;=14/24,O$9&lt;20/24)</formula>
    </cfRule>
    <cfRule type="expression" dxfId="8247" priority="295">
      <formula>AND(O$9&gt;=8/24,O$9&lt;14/24)</formula>
    </cfRule>
    <cfRule type="expression" dxfId="8246" priority="296">
      <formula>O$9&lt;8/24</formula>
    </cfRule>
  </conditionalFormatting>
  <conditionalFormatting sqref="M43:W43">
    <cfRule type="expression" dxfId="8245" priority="289">
      <formula>M$9&gt;=20/24</formula>
    </cfRule>
    <cfRule type="expression" dxfId="8244" priority="290">
      <formula>AND(M$9&gt;=14/24,M$9&lt;20/24)</formula>
    </cfRule>
    <cfRule type="expression" dxfId="8243" priority="291">
      <formula>AND(M$9&gt;=8/24,M$9&lt;14/24)</formula>
    </cfRule>
    <cfRule type="expression" dxfId="8242" priority="292">
      <formula>M$9&lt;8/24</formula>
    </cfRule>
  </conditionalFormatting>
  <conditionalFormatting sqref="S39:AE39">
    <cfRule type="expression" dxfId="8241" priority="281">
      <formula>S$9&gt;=20/24</formula>
    </cfRule>
    <cfRule type="expression" dxfId="8240" priority="282">
      <formula>AND(S$9&gt;=14/24,S$9&lt;20/24)</formula>
    </cfRule>
    <cfRule type="expression" dxfId="8239" priority="283">
      <formula>AND(S$9&gt;=8/24,S$9&lt;14/24)</formula>
    </cfRule>
    <cfRule type="expression" dxfId="8238" priority="284">
      <formula>S$9&lt;8/24</formula>
    </cfRule>
  </conditionalFormatting>
  <conditionalFormatting sqref="U57:AE57">
    <cfRule type="expression" dxfId="8237" priority="277">
      <formula>U$9&gt;=20/24</formula>
    </cfRule>
    <cfRule type="expression" dxfId="8236" priority="278">
      <formula>AND(U$9&gt;=14/24,U$9&lt;20/24)</formula>
    </cfRule>
    <cfRule type="expression" dxfId="8235" priority="279">
      <formula>AND(U$9&gt;=8/24,U$9&lt;14/24)</formula>
    </cfRule>
    <cfRule type="expression" dxfId="8234" priority="280">
      <formula>U$9&lt;8/24</formula>
    </cfRule>
  </conditionalFormatting>
  <conditionalFormatting sqref="S81:AA81">
    <cfRule type="expression" dxfId="8233" priority="273">
      <formula>S$9&gt;=20/24</formula>
    </cfRule>
    <cfRule type="expression" dxfId="8232" priority="274">
      <formula>AND(S$9&gt;=14/24,S$9&lt;20/24)</formula>
    </cfRule>
    <cfRule type="expression" dxfId="8231" priority="275">
      <formula>AND(S$9&gt;=8/24,S$9&lt;14/24)</formula>
    </cfRule>
    <cfRule type="expression" dxfId="8230" priority="276">
      <formula>S$9&lt;8/24</formula>
    </cfRule>
  </conditionalFormatting>
  <conditionalFormatting sqref="U84:AB84">
    <cfRule type="expression" dxfId="8229" priority="269">
      <formula>U$9&gt;=20/24</formula>
    </cfRule>
    <cfRule type="expression" dxfId="8228" priority="270">
      <formula>AND(U$9&gt;=14/24,U$9&lt;20/24)</formula>
    </cfRule>
    <cfRule type="expression" dxfId="8227" priority="271">
      <formula>AND(U$9&gt;=8/24,U$9&lt;14/24)</formula>
    </cfRule>
    <cfRule type="expression" dxfId="8226" priority="272">
      <formula>U$9&lt;8/24</formula>
    </cfRule>
  </conditionalFormatting>
  <conditionalFormatting sqref="M49:W49">
    <cfRule type="expression" dxfId="8225" priority="261">
      <formula>M$9&gt;=20/24</formula>
    </cfRule>
    <cfRule type="expression" dxfId="8224" priority="262">
      <formula>AND(M$9&gt;=14/24,M$9&lt;20/24)</formula>
    </cfRule>
    <cfRule type="expression" dxfId="8223" priority="263">
      <formula>AND(M$9&gt;=8/24,M$9&lt;14/24)</formula>
    </cfRule>
    <cfRule type="expression" dxfId="8222" priority="264">
      <formula>M$9&lt;8/24</formula>
    </cfRule>
  </conditionalFormatting>
  <conditionalFormatting sqref="M50:W50">
    <cfRule type="expression" dxfId="8221" priority="257">
      <formula>M$9&gt;=20/24</formula>
    </cfRule>
    <cfRule type="expression" dxfId="8220" priority="258">
      <formula>AND(M$9&gt;=14/24,M$9&lt;20/24)</formula>
    </cfRule>
    <cfRule type="expression" dxfId="8219" priority="259">
      <formula>AND(M$9&gt;=8/24,M$9&lt;14/24)</formula>
    </cfRule>
    <cfRule type="expression" dxfId="8218" priority="260">
      <formula>M$9&lt;8/24</formula>
    </cfRule>
  </conditionalFormatting>
  <conditionalFormatting sqref="M45:W48">
    <cfRule type="expression" dxfId="8217" priority="253">
      <formula>M$9&gt;=20/24</formula>
    </cfRule>
    <cfRule type="expression" dxfId="8216" priority="254">
      <formula>AND(M$9&gt;=14/24,M$9&lt;20/24)</formula>
    </cfRule>
    <cfRule type="expression" dxfId="8215" priority="255">
      <formula>AND(M$9&gt;=8/24,M$9&lt;14/24)</formula>
    </cfRule>
    <cfRule type="expression" dxfId="8214" priority="256">
      <formula>M$9&lt;8/24</formula>
    </cfRule>
  </conditionalFormatting>
  <conditionalFormatting sqref="X37:AE37">
    <cfRule type="expression" dxfId="8213" priority="249">
      <formula>X$9&gt;=20/24</formula>
    </cfRule>
    <cfRule type="expression" dxfId="8212" priority="250">
      <formula>AND(X$9&gt;=14/24,X$9&lt;20/24)</formula>
    </cfRule>
    <cfRule type="expression" dxfId="8211" priority="251">
      <formula>AND(X$9&gt;=8/24,X$9&lt;14/24)</formula>
    </cfRule>
    <cfRule type="expression" dxfId="8210" priority="252">
      <formula>X$9&lt;8/24</formula>
    </cfRule>
  </conditionalFormatting>
  <conditionalFormatting sqref="X31:AF32 X35:AF35">
    <cfRule type="expression" dxfId="8209" priority="245">
      <formula>X$9&gt;=20/24</formula>
    </cfRule>
    <cfRule type="expression" dxfId="8208" priority="246">
      <formula>AND(X$9&gt;=14/24,X$9&lt;20/24)</formula>
    </cfRule>
    <cfRule type="expression" dxfId="8207" priority="247">
      <formula>AND(X$9&gt;=8/24,X$9&lt;14/24)</formula>
    </cfRule>
    <cfRule type="expression" dxfId="8206" priority="248">
      <formula>X$9&lt;8/24</formula>
    </cfRule>
  </conditionalFormatting>
  <conditionalFormatting sqref="S42:W43 U43:AC43 S45:AE48">
    <cfRule type="expression" dxfId="8205" priority="241">
      <formula>S$9&gt;=20/24</formula>
    </cfRule>
    <cfRule type="expression" dxfId="8204" priority="242">
      <formula>AND(S$9&gt;=14/24,S$9&lt;20/24)</formula>
    </cfRule>
    <cfRule type="expression" dxfId="8203" priority="243">
      <formula>AND(S$9&gt;=8/24,S$9&lt;14/24)</formula>
    </cfRule>
    <cfRule type="expression" dxfId="8202" priority="244">
      <formula>S$9&lt;8/24</formula>
    </cfRule>
  </conditionalFormatting>
  <conditionalFormatting sqref="S49:AE49">
    <cfRule type="expression" dxfId="8201" priority="237">
      <formula>S$9&gt;=20/24</formula>
    </cfRule>
    <cfRule type="expression" dxfId="8200" priority="238">
      <formula>AND(S$9&gt;=14/24,S$9&lt;20/24)</formula>
    </cfRule>
    <cfRule type="expression" dxfId="8199" priority="239">
      <formula>AND(S$9&gt;=8/24,S$9&lt;14/24)</formula>
    </cfRule>
    <cfRule type="expression" dxfId="8198" priority="240">
      <formula>S$9&lt;8/24</formula>
    </cfRule>
  </conditionalFormatting>
  <conditionalFormatting sqref="S50:AE50">
    <cfRule type="expression" dxfId="8197" priority="233">
      <formula>S$9&gt;=20/24</formula>
    </cfRule>
    <cfRule type="expression" dxfId="8196" priority="234">
      <formula>AND(S$9&gt;=14/24,S$9&lt;20/24)</formula>
    </cfRule>
    <cfRule type="expression" dxfId="8195" priority="235">
      <formula>AND(S$9&gt;=8/24,S$9&lt;14/24)</formula>
    </cfRule>
    <cfRule type="expression" dxfId="8194" priority="236">
      <formula>S$9&lt;8/24</formula>
    </cfRule>
  </conditionalFormatting>
  <conditionalFormatting sqref="X60:AE67">
    <cfRule type="expression" dxfId="8193" priority="229">
      <formula>X$9&gt;=20/24</formula>
    </cfRule>
    <cfRule type="expression" dxfId="8192" priority="230">
      <formula>AND(X$9&gt;=14/24,X$9&lt;20/24)</formula>
    </cfRule>
    <cfRule type="expression" dxfId="8191" priority="231">
      <formula>AND(X$9&gt;=8/24,X$9&lt;14/24)</formula>
    </cfRule>
    <cfRule type="expression" dxfId="8190" priority="232">
      <formula>X$9&lt;8/24</formula>
    </cfRule>
  </conditionalFormatting>
  <conditionalFormatting sqref="U94:AB97">
    <cfRule type="expression" dxfId="8189" priority="221">
      <formula>U$9&gt;=20/24</formula>
    </cfRule>
    <cfRule type="expression" dxfId="8188" priority="222">
      <formula>AND(U$9&gt;=14/24,U$9&lt;20/24)</formula>
    </cfRule>
    <cfRule type="expression" dxfId="8187" priority="223">
      <formula>AND(U$9&gt;=8/24,U$9&lt;14/24)</formula>
    </cfRule>
    <cfRule type="expression" dxfId="8186" priority="224">
      <formula>U$9&lt;8/24</formula>
    </cfRule>
  </conditionalFormatting>
  <conditionalFormatting sqref="AG51 B11:L32 B34:L36 O11:AF11 B37:AF56 X18:AD32 AE17:AE32 AD12:AE16 X34:AF36 AF12:AF32">
    <cfRule type="expression" dxfId="8185" priority="220">
      <formula>B11&gt;$AG11</formula>
    </cfRule>
  </conditionalFormatting>
  <conditionalFormatting sqref="A100:A156 A84:A97 A11:A14 A16:A32 A45:A72 A80:A82 A74:A78 A35:A43 A169:A199">
    <cfRule type="expression" dxfId="8184" priority="219">
      <formula>$AH11=0</formula>
    </cfRule>
  </conditionalFormatting>
  <conditionalFormatting sqref="U98:AB98">
    <cfRule type="expression" dxfId="8183" priority="215">
      <formula>U$9&gt;=20/24</formula>
    </cfRule>
    <cfRule type="expression" dxfId="8182" priority="216">
      <formula>AND(U$9&gt;=14/24,U$9&lt;20/24)</formula>
    </cfRule>
    <cfRule type="expression" dxfId="8181" priority="217">
      <formula>AND(U$9&gt;=8/24,U$9&lt;14/24)</formula>
    </cfRule>
    <cfRule type="expression" dxfId="8180" priority="218">
      <formula>U$9&lt;8/24</formula>
    </cfRule>
  </conditionalFormatting>
  <conditionalFormatting sqref="A98">
    <cfRule type="expression" dxfId="8179" priority="214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X34:AF34">
    <cfRule type="expression" dxfId="8178" priority="189">
      <formula>X$9&gt;=20/24</formula>
    </cfRule>
    <cfRule type="expression" dxfId="8177" priority="190">
      <formula>AND(X$9&gt;=14/24,X$9&lt;20/24)</formula>
    </cfRule>
    <cfRule type="expression" dxfId="8176" priority="191">
      <formula>AND(X$9&gt;=8/24,X$9&lt;14/24)</formula>
    </cfRule>
    <cfRule type="expression" dxfId="8175" priority="192">
      <formula>X$9&lt;8/24</formula>
    </cfRule>
  </conditionalFormatting>
  <conditionalFormatting sqref="A34">
    <cfRule type="expression" dxfId="8174" priority="188">
      <formula>$AH34=0</formula>
    </cfRule>
  </conditionalFormatting>
  <conditionalFormatting sqref="A83">
    <cfRule type="expression" dxfId="8173" priority="187">
      <formula>$AH83=0</formula>
    </cfRule>
  </conditionalFormatting>
  <conditionalFormatting sqref="AD15:AF15">
    <cfRule type="expression" dxfId="8172" priority="183">
      <formula>AD$9&gt;=20/24</formula>
    </cfRule>
    <cfRule type="expression" dxfId="8171" priority="184">
      <formula>AND(AD$9&gt;=14/24,AD$9&lt;20/24)</formula>
    </cfRule>
    <cfRule type="expression" dxfId="8170" priority="185">
      <formula>AND(AD$9&gt;=8/24,AD$9&lt;14/24)</formula>
    </cfRule>
    <cfRule type="expression" dxfId="8169" priority="186">
      <formula>AD$9&lt;8/24</formula>
    </cfRule>
  </conditionalFormatting>
  <conditionalFormatting sqref="A15">
    <cfRule type="expression" dxfId="8168" priority="177">
      <formula>$AH15=0</formula>
    </cfRule>
  </conditionalFormatting>
  <conditionalFormatting sqref="A163:A168">
    <cfRule type="expression" dxfId="8167" priority="176">
      <formula>$AH163=0</formula>
    </cfRule>
  </conditionalFormatting>
  <conditionalFormatting sqref="A157:A162">
    <cfRule type="expression" dxfId="8166" priority="175">
      <formula>$AH157=0</formula>
    </cfRule>
  </conditionalFormatting>
  <conditionalFormatting sqref="Z44:AE44">
    <cfRule type="expression" dxfId="8165" priority="171">
      <formula>Z$9&gt;=20/24</formula>
    </cfRule>
    <cfRule type="expression" dxfId="8164" priority="172">
      <formula>AND(Z$9&gt;=14/24,Z$9&lt;20/24)</formula>
    </cfRule>
    <cfRule type="expression" dxfId="8163" priority="173">
      <formula>AND(Z$9&gt;=8/24,Z$9&lt;14/24)</formula>
    </cfRule>
    <cfRule type="expression" dxfId="8162" priority="174">
      <formula>Z$9&lt;8/24</formula>
    </cfRule>
  </conditionalFormatting>
  <conditionalFormatting sqref="M44:W44">
    <cfRule type="expression" dxfId="8161" priority="167">
      <formula>M$9&gt;=20/24</formula>
    </cfRule>
    <cfRule type="expression" dxfId="8160" priority="168">
      <formula>AND(M$9&gt;=14/24,M$9&lt;20/24)</formula>
    </cfRule>
    <cfRule type="expression" dxfId="8159" priority="169">
      <formula>AND(M$9&gt;=8/24,M$9&lt;14/24)</formula>
    </cfRule>
    <cfRule type="expression" dxfId="8158" priority="170">
      <formula>M$9&lt;8/24</formula>
    </cfRule>
  </conditionalFormatting>
  <conditionalFormatting sqref="S44:AC44">
    <cfRule type="expression" dxfId="8157" priority="163">
      <formula>S$9&gt;=20/24</formula>
    </cfRule>
    <cfRule type="expression" dxfId="8156" priority="164">
      <formula>AND(S$9&gt;=14/24,S$9&lt;20/24)</formula>
    </cfRule>
    <cfRule type="expression" dxfId="8155" priority="165">
      <formula>AND(S$9&gt;=8/24,S$9&lt;14/24)</formula>
    </cfRule>
    <cfRule type="expression" dxfId="8154" priority="166">
      <formula>S$9&lt;8/24</formula>
    </cfRule>
  </conditionalFormatting>
  <conditionalFormatting sqref="A44">
    <cfRule type="expression" dxfId="8153" priority="162">
      <formula>$AH44=0</formula>
    </cfRule>
  </conditionalFormatting>
  <conditionalFormatting sqref="A79">
    <cfRule type="expression" dxfId="8152" priority="161">
      <formula>$AH79=0</formula>
    </cfRule>
  </conditionalFormatting>
  <conditionalFormatting sqref="A73">
    <cfRule type="expression" dxfId="8151" priority="160">
      <formula>$AH73=0</formula>
    </cfRule>
  </conditionalFormatting>
  <conditionalFormatting sqref="AL34:AL35 AL7:AL31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U60:V60 W60:W67">
    <cfRule type="expression" dxfId="8150" priority="156">
      <formula>U$9&gt;=20/24</formula>
    </cfRule>
    <cfRule type="expression" dxfId="8149" priority="157">
      <formula>AND(U$9&gt;=14/24,U$9&lt;20/24)</formula>
    </cfRule>
    <cfRule type="expression" dxfId="8148" priority="158">
      <formula>AND(U$9&gt;=8/24,U$9&lt;14/24)</formula>
    </cfRule>
    <cfRule type="expression" dxfId="8147" priority="159">
      <formula>U$9&lt;8/24</formula>
    </cfRule>
  </conditionalFormatting>
  <conditionalFormatting sqref="U85:W91">
    <cfRule type="expression" dxfId="8146" priority="152">
      <formula>U$9&gt;=20/24</formula>
    </cfRule>
    <cfRule type="expression" dxfId="8145" priority="153">
      <formula>AND(U$9&gt;=14/24,U$9&lt;20/24)</formula>
    </cfRule>
    <cfRule type="expression" dxfId="8144" priority="154">
      <formula>AND(U$9&gt;=8/24,U$9&lt;14/24)</formula>
    </cfRule>
    <cfRule type="expression" dxfId="8143" priority="155">
      <formula>U$9&lt;8/24</formula>
    </cfRule>
  </conditionalFormatting>
  <conditionalFormatting sqref="E84:R84 G85:T91">
    <cfRule type="expression" dxfId="8142" priority="148">
      <formula>E$9&gt;=20/24</formula>
    </cfRule>
    <cfRule type="expression" dxfId="8141" priority="149">
      <formula>AND(E$9&gt;=14/24,E$9&lt;20/24)</formula>
    </cfRule>
    <cfRule type="expression" dxfId="8140" priority="150">
      <formula>AND(E$9&gt;=8/24,E$9&lt;14/24)</formula>
    </cfRule>
    <cfRule type="expression" dxfId="8139" priority="151">
      <formula>E$9&lt;8/24</formula>
    </cfRule>
  </conditionalFormatting>
  <conditionalFormatting sqref="S84:T84">
    <cfRule type="expression" dxfId="8138" priority="144">
      <formula>S$9&gt;=20/24</formula>
    </cfRule>
    <cfRule type="expression" dxfId="8137" priority="145">
      <formula>AND(S$9&gt;=14/24,S$9&lt;20/24)</formula>
    </cfRule>
    <cfRule type="expression" dxfId="8136" priority="146">
      <formula>AND(S$9&gt;=8/24,S$9&lt;14/24)</formula>
    </cfRule>
    <cfRule type="expression" dxfId="8135" priority="147">
      <formula>S$9&lt;8/24</formula>
    </cfRule>
  </conditionalFormatting>
  <conditionalFormatting sqref="G95:M97 D94:F97">
    <cfRule type="expression" dxfId="8134" priority="140">
      <formula>D$9&gt;=20/24</formula>
    </cfRule>
    <cfRule type="expression" dxfId="8133" priority="141">
      <formula>AND(D$9&gt;=14/24,D$9&lt;20/24)</formula>
    </cfRule>
    <cfRule type="expression" dxfId="8132" priority="142">
      <formula>AND(D$9&gt;=8/24,D$9&lt;14/24)</formula>
    </cfRule>
    <cfRule type="expression" dxfId="8131" priority="143">
      <formula>D$9&lt;8/24</formula>
    </cfRule>
  </conditionalFormatting>
  <conditionalFormatting sqref="N95:S97 O94:S94">
    <cfRule type="expression" dxfId="8130" priority="136">
      <formula>N$9&gt;=20/24</formula>
    </cfRule>
    <cfRule type="expression" dxfId="8129" priority="137">
      <formula>AND(N$9&gt;=14/24,N$9&lt;20/24)</formula>
    </cfRule>
    <cfRule type="expression" dxfId="8128" priority="138">
      <formula>AND(N$9&gt;=8/24,N$9&lt;14/24)</formula>
    </cfRule>
    <cfRule type="expression" dxfId="8127" priority="139">
      <formula>N$9&lt;8/24</formula>
    </cfRule>
  </conditionalFormatting>
  <conditionalFormatting sqref="T94:T97">
    <cfRule type="expression" dxfId="8126" priority="132">
      <formula>T$9&gt;=20/24</formula>
    </cfRule>
    <cfRule type="expression" dxfId="8125" priority="133">
      <formula>AND(T$9&gt;=14/24,T$9&lt;20/24)</formula>
    </cfRule>
    <cfRule type="expression" dxfId="8124" priority="134">
      <formula>AND(T$9&gt;=8/24,T$9&lt;14/24)</formula>
    </cfRule>
    <cfRule type="expression" dxfId="8123" priority="135">
      <formula>T$9&lt;8/24</formula>
    </cfRule>
  </conditionalFormatting>
  <conditionalFormatting sqref="D98:M98">
    <cfRule type="expression" dxfId="8122" priority="128">
      <formula>D$9&gt;=20/24</formula>
    </cfRule>
    <cfRule type="expression" dxfId="8121" priority="129">
      <formula>AND(D$9&gt;=14/24,D$9&lt;20/24)</formula>
    </cfRule>
    <cfRule type="expression" dxfId="8120" priority="130">
      <formula>AND(D$9&gt;=8/24,D$9&lt;14/24)</formula>
    </cfRule>
    <cfRule type="expression" dxfId="8119" priority="131">
      <formula>D$9&lt;8/24</formula>
    </cfRule>
  </conditionalFormatting>
  <conditionalFormatting sqref="N98:S98">
    <cfRule type="expression" dxfId="8118" priority="124">
      <formula>N$9&gt;=20/24</formula>
    </cfRule>
    <cfRule type="expression" dxfId="8117" priority="125">
      <formula>AND(N$9&gt;=14/24,N$9&lt;20/24)</formula>
    </cfRule>
    <cfRule type="expression" dxfId="8116" priority="126">
      <formula>AND(N$9&gt;=8/24,N$9&lt;14/24)</formula>
    </cfRule>
    <cfRule type="expression" dxfId="8115" priority="127">
      <formula>N$9&lt;8/24</formula>
    </cfRule>
  </conditionalFormatting>
  <conditionalFormatting sqref="T98">
    <cfRule type="expression" dxfId="8114" priority="120">
      <formula>T$9&gt;=20/24</formula>
    </cfRule>
    <cfRule type="expression" dxfId="8113" priority="121">
      <formula>AND(T$9&gt;=14/24,T$9&lt;20/24)</formula>
    </cfRule>
    <cfRule type="expression" dxfId="8112" priority="122">
      <formula>AND(T$9&gt;=8/24,T$9&lt;14/24)</formula>
    </cfRule>
    <cfRule type="expression" dxfId="8111" priority="123">
      <formula>T$9&lt;8/24</formula>
    </cfRule>
  </conditionalFormatting>
  <conditionalFormatting sqref="M94:N94">
    <cfRule type="expression" dxfId="8110" priority="116">
      <formula>M$9&gt;=20/24</formula>
    </cfRule>
    <cfRule type="expression" dxfId="8109" priority="117">
      <formula>AND(M$9&gt;=14/24,M$9&lt;20/24)</formula>
    </cfRule>
    <cfRule type="expression" dxfId="8108" priority="118">
      <formula>AND(M$9&gt;=8/24,M$9&lt;14/24)</formula>
    </cfRule>
    <cfRule type="expression" dxfId="8107" priority="119">
      <formula>M$9&lt;8/24</formula>
    </cfRule>
  </conditionalFormatting>
  <conditionalFormatting sqref="G94:L94">
    <cfRule type="expression" dxfId="8106" priority="112">
      <formula>G$9&gt;=20/24</formula>
    </cfRule>
    <cfRule type="expression" dxfId="8105" priority="113">
      <formula>AND(G$9&gt;=14/24,G$9&lt;20/24)</formula>
    </cfRule>
    <cfRule type="expression" dxfId="8104" priority="114">
      <formula>AND(G$9&gt;=8/24,G$9&lt;14/24)</formula>
    </cfRule>
    <cfRule type="expression" dxfId="8103" priority="115">
      <formula>G$9&lt;8/24</formula>
    </cfRule>
  </conditionalFormatting>
  <conditionalFormatting sqref="U94:W94">
    <cfRule type="expression" dxfId="8102" priority="108">
      <formula>U$9&gt;=20/24</formula>
    </cfRule>
    <cfRule type="expression" dxfId="8101" priority="109">
      <formula>AND(U$9&gt;=14/24,U$9&lt;20/24)</formula>
    </cfRule>
    <cfRule type="expression" dxfId="8100" priority="110">
      <formula>AND(U$9&gt;=8/24,U$9&lt;14/24)</formula>
    </cfRule>
    <cfRule type="expression" dxfId="8099" priority="111">
      <formula>U$9&lt;8/24</formula>
    </cfRule>
  </conditionalFormatting>
  <conditionalFormatting sqref="N94:T94">
    <cfRule type="expression" dxfId="8098" priority="104">
      <formula>N$9&gt;=20/24</formula>
    </cfRule>
    <cfRule type="expression" dxfId="8097" priority="105">
      <formula>AND(N$9&gt;=14/24,N$9&lt;20/24)</formula>
    </cfRule>
    <cfRule type="expression" dxfId="8096" priority="106">
      <formula>AND(N$9&gt;=8/24,N$9&lt;14/24)</formula>
    </cfRule>
    <cfRule type="expression" dxfId="8095" priority="107">
      <formula>N$9&lt;8/24</formula>
    </cfRule>
  </conditionalFormatting>
  <conditionalFormatting sqref="U99:AB99">
    <cfRule type="expression" dxfId="8094" priority="100">
      <formula>U$9&gt;=20/24</formula>
    </cfRule>
    <cfRule type="expression" dxfId="8093" priority="101">
      <formula>AND(U$9&gt;=14/24,U$9&lt;20/24)</formula>
    </cfRule>
    <cfRule type="expression" dxfId="8092" priority="102">
      <formula>AND(U$9&gt;=8/24,U$9&lt;14/24)</formula>
    </cfRule>
    <cfRule type="expression" dxfId="8091" priority="103">
      <formula>U$9&lt;8/24</formula>
    </cfRule>
  </conditionalFormatting>
  <conditionalFormatting sqref="D99:M99">
    <cfRule type="expression" dxfId="8090" priority="96">
      <formula>D$9&gt;=20/24</formula>
    </cfRule>
    <cfRule type="expression" dxfId="8089" priority="97">
      <formula>AND(D$9&gt;=14/24,D$9&lt;20/24)</formula>
    </cfRule>
    <cfRule type="expression" dxfId="8088" priority="98">
      <formula>AND(D$9&gt;=8/24,D$9&lt;14/24)</formula>
    </cfRule>
    <cfRule type="expression" dxfId="8087" priority="99">
      <formula>D$9&lt;8/24</formula>
    </cfRule>
  </conditionalFormatting>
  <conditionalFormatting sqref="N99:S99">
    <cfRule type="expression" dxfId="8086" priority="92">
      <formula>N$9&gt;=20/24</formula>
    </cfRule>
    <cfRule type="expression" dxfId="8085" priority="93">
      <formula>AND(N$9&gt;=14/24,N$9&lt;20/24)</formula>
    </cfRule>
    <cfRule type="expression" dxfId="8084" priority="94">
      <formula>AND(N$9&gt;=8/24,N$9&lt;14/24)</formula>
    </cfRule>
    <cfRule type="expression" dxfId="8083" priority="95">
      <formula>N$9&lt;8/24</formula>
    </cfRule>
  </conditionalFormatting>
  <conditionalFormatting sqref="T99">
    <cfRule type="expression" dxfId="8082" priority="88">
      <formula>T$9&gt;=20/24</formula>
    </cfRule>
    <cfRule type="expression" dxfId="8081" priority="89">
      <formula>AND(T$9&gt;=14/24,T$9&lt;20/24)</formula>
    </cfRule>
    <cfRule type="expression" dxfId="8080" priority="90">
      <formula>AND(T$9&gt;=8/24,T$9&lt;14/24)</formula>
    </cfRule>
    <cfRule type="expression" dxfId="8079" priority="91">
      <formula>T$9&lt;8/24</formula>
    </cfRule>
  </conditionalFormatting>
  <conditionalFormatting sqref="X12:AC16">
    <cfRule type="expression" dxfId="8078" priority="84">
      <formula>X$9&gt;=20/24</formula>
    </cfRule>
    <cfRule type="expression" dxfId="8077" priority="85">
      <formula>AND(X$9&gt;=14/24,X$9&lt;20/24)</formula>
    </cfRule>
    <cfRule type="expression" dxfId="8076" priority="86">
      <formula>AND(X$9&gt;=8/24,X$9&lt;14/24)</formula>
    </cfRule>
    <cfRule type="expression" dxfId="8075" priority="87">
      <formula>X$9&lt;8/24</formula>
    </cfRule>
  </conditionalFormatting>
  <conditionalFormatting sqref="X17:AD17">
    <cfRule type="expression" dxfId="8074" priority="80">
      <formula>X$9&gt;=20/24</formula>
    </cfRule>
    <cfRule type="expression" dxfId="8073" priority="81">
      <formula>AND(X$9&gt;=14/24,X$9&lt;20/24)</formula>
    </cfRule>
    <cfRule type="expression" dxfId="8072" priority="82">
      <formula>AND(X$9&gt;=8/24,X$9&lt;14/24)</formula>
    </cfRule>
    <cfRule type="expression" dxfId="8071" priority="83">
      <formula>X$9&lt;8/24</formula>
    </cfRule>
  </conditionalFormatting>
  <conditionalFormatting sqref="X12:AC13">
    <cfRule type="expression" dxfId="8070" priority="76">
      <formula>X$9&gt;=20/24</formula>
    </cfRule>
    <cfRule type="expression" dxfId="8069" priority="77">
      <formula>AND(X$9&gt;=14/24,X$9&lt;20/24)</formula>
    </cfRule>
    <cfRule type="expression" dxfId="8068" priority="78">
      <formula>AND(X$9&gt;=8/24,X$9&lt;14/24)</formula>
    </cfRule>
    <cfRule type="expression" dxfId="8067" priority="79">
      <formula>X$9&lt;8/24</formula>
    </cfRule>
  </conditionalFormatting>
  <conditionalFormatting sqref="AC59:AE59 AD58:AE58">
    <cfRule type="expression" dxfId="8066" priority="72">
      <formula>AC$9&gt;=20/24</formula>
    </cfRule>
    <cfRule type="expression" dxfId="8065" priority="73">
      <formula>AND(AC$9&gt;=14/24,AC$9&lt;20/24)</formula>
    </cfRule>
    <cfRule type="expression" dxfId="8064" priority="74">
      <formula>AND(AC$9&gt;=8/24,AC$9&lt;14/24)</formula>
    </cfRule>
    <cfRule type="expression" dxfId="8063" priority="75">
      <formula>AC$9&lt;8/24</formula>
    </cfRule>
  </conditionalFormatting>
  <conditionalFormatting sqref="AL33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062" priority="305">
      <formula>C$9&gt;=20/24</formula>
    </cfRule>
    <cfRule type="expression" dxfId="8061" priority="306">
      <formula>AND(C$9&gt;=14/24,C$9&lt;20/24)</formula>
    </cfRule>
    <cfRule type="expression" dxfId="8060" priority="307">
      <formula>AND(C$9&gt;=8/24,C$9&lt;14/24)</formula>
    </cfRule>
    <cfRule type="expression" dxfId="8059" priority="308">
      <formula>C$9&lt;8/24</formula>
    </cfRule>
  </conditionalFormatting>
  <conditionalFormatting sqref="A200">
    <cfRule type="expression" dxfId="8058" priority="309">
      <formula>$AH200=0</formula>
    </cfRule>
  </conditionalFormatting>
  <conditionalFormatting sqref="AG212">
    <cfRule type="expression" dxfId="8057" priority="311">
      <formula>B$9&gt;=20/24</formula>
    </cfRule>
    <cfRule type="expression" dxfId="8056" priority="312">
      <formula>AND(B$9&gt;=14/24,B$9&lt;20/24)</formula>
    </cfRule>
    <cfRule type="expression" dxfId="8055" priority="313">
      <formula>AND(B$9&gt;=8/24,B$9&lt;14/24)</formula>
    </cfRule>
    <cfRule type="expression" dxfId="8054" priority="314">
      <formula>B$9&lt;8/24</formula>
    </cfRule>
  </conditionalFormatting>
  <conditionalFormatting sqref="S8">
    <cfRule type="expression" dxfId="8053" priority="61">
      <formula>U$9&gt;=20/24</formula>
    </cfRule>
    <cfRule type="expression" dxfId="8052" priority="62">
      <formula>AND(U$9&gt;=14/24,U$9&lt;20/24)</formula>
    </cfRule>
    <cfRule type="expression" dxfId="8051" priority="63">
      <formula>AND(U$9&gt;=8/24,U$9&lt;14/24)</formula>
    </cfRule>
    <cfRule type="expression" dxfId="8050" priority="64">
      <formula>U$9&lt;8/24</formula>
    </cfRule>
  </conditionalFormatting>
  <conditionalFormatting sqref="AB8">
    <cfRule type="expression" dxfId="8049" priority="57">
      <formula>AD$9&gt;=20/24</formula>
    </cfRule>
    <cfRule type="expression" dxfId="8048" priority="58">
      <formula>AND(AD$9&gt;=14/24,AD$9&lt;20/24)</formula>
    </cfRule>
    <cfRule type="expression" dxfId="8047" priority="59">
      <formula>AND(AD$9&gt;=8/24,AD$9&lt;14/24)</formula>
    </cfRule>
    <cfRule type="expression" dxfId="8046" priority="60">
      <formula>AD$9&lt;8/24</formula>
    </cfRule>
  </conditionalFormatting>
  <conditionalFormatting sqref="AH212:AX212">
    <cfRule type="expression" dxfId="8045" priority="315">
      <formula>AG$9&gt;=20/24</formula>
    </cfRule>
    <cfRule type="expression" dxfId="8044" priority="316">
      <formula>AND(AG$9&gt;=14/24,AG$9&lt;20/24)</formula>
    </cfRule>
    <cfRule type="expression" dxfId="8043" priority="317">
      <formula>AND(AG$9&gt;=8/24,AG$9&lt;14/24)</formula>
    </cfRule>
    <cfRule type="expression" dxfId="8042" priority="318">
      <formula>AG$9&lt;8/24</formula>
    </cfRule>
  </conditionalFormatting>
  <conditionalFormatting sqref="T212">
    <cfRule type="expression" dxfId="8041" priority="319">
      <formula>AX$9&gt;=20/24</formula>
    </cfRule>
    <cfRule type="expression" dxfId="8040" priority="320">
      <formula>AND(AX$9&gt;=14/24,AX$9&lt;20/24)</formula>
    </cfRule>
    <cfRule type="expression" dxfId="8039" priority="321">
      <formula>AND(AX$9&gt;=8/24,AX$9&lt;14/24)</formula>
    </cfRule>
    <cfRule type="expression" dxfId="8038" priority="322">
      <formula>AX$9&lt;8/24</formula>
    </cfRule>
  </conditionalFormatting>
  <conditionalFormatting sqref="A99">
    <cfRule type="expression" dxfId="8037" priority="56">
      <formula>$AH99=0</formula>
    </cfRule>
  </conditionalFormatting>
  <conditionalFormatting sqref="B84:D91 E85:F91">
    <cfRule type="expression" dxfId="8036" priority="52">
      <formula>B$9&gt;=20/24</formula>
    </cfRule>
    <cfRule type="expression" dxfId="8035" priority="53">
      <formula>AND(B$9&gt;=14/24,B$9&lt;20/24)</formula>
    </cfRule>
    <cfRule type="expression" dxfId="8034" priority="54">
      <formula>AND(B$9&gt;=8/24,B$9&lt;14/24)</formula>
    </cfRule>
    <cfRule type="expression" dxfId="8033" priority="55">
      <formula>B$9&lt;8/24</formula>
    </cfRule>
  </conditionalFormatting>
  <conditionalFormatting sqref="B94:C99">
    <cfRule type="expression" dxfId="8032" priority="48">
      <formula>B$9&gt;=20/24</formula>
    </cfRule>
    <cfRule type="expression" dxfId="8031" priority="49">
      <formula>AND(B$9&gt;=14/24,B$9&lt;20/24)</formula>
    </cfRule>
    <cfRule type="expression" dxfId="8030" priority="50">
      <formula>AND(B$9&gt;=8/24,B$9&lt;14/24)</formula>
    </cfRule>
    <cfRule type="expression" dxfId="8029" priority="51">
      <formula>B$9&lt;8/24</formula>
    </cfRule>
  </conditionalFormatting>
  <conditionalFormatting sqref="M11:N13 O12:W13 M15:W31 M35:W36">
    <cfRule type="expression" dxfId="8028" priority="42">
      <formula>M$9&gt;=20/24</formula>
    </cfRule>
    <cfRule type="expression" dxfId="8027" priority="43">
      <formula>AND(M$9&gt;=14/24,M$9&lt;20/24)</formula>
    </cfRule>
    <cfRule type="expression" dxfId="8026" priority="44">
      <formula>AND(M$9&gt;=8/24,M$9&lt;14/24)</formula>
    </cfRule>
    <cfRule type="expression" dxfId="8025" priority="45">
      <formula>M$9&lt;8/24</formula>
    </cfRule>
  </conditionalFormatting>
  <conditionalFormatting sqref="M34:W34">
    <cfRule type="expression" dxfId="8024" priority="38">
      <formula>M$9&gt;=20/24</formula>
    </cfRule>
    <cfRule type="expression" dxfId="8023" priority="39">
      <formula>AND(M$9&gt;=14/24,M$9&lt;20/24)</formula>
    </cfRule>
    <cfRule type="expression" dxfId="8022" priority="40">
      <formula>AND(M$9&gt;=8/24,M$9&lt;14/24)</formula>
    </cfRule>
    <cfRule type="expression" dxfId="8021" priority="41">
      <formula>M$9&lt;8/24</formula>
    </cfRule>
  </conditionalFormatting>
  <conditionalFormatting sqref="M11:N13 O12:W13 M15:W31 M33:W36">
    <cfRule type="expression" dxfId="8020" priority="37">
      <formula>M11&gt;$AG11</formula>
    </cfRule>
  </conditionalFormatting>
  <conditionalFormatting sqref="M33:W33">
    <cfRule type="expression" dxfId="8019" priority="33">
      <formula>M$9&gt;=20/24</formula>
    </cfRule>
    <cfRule type="expression" dxfId="8018" priority="34">
      <formula>AND(M$9&gt;=14/24,M$9&lt;20/24)</formula>
    </cfRule>
    <cfRule type="expression" dxfId="8017" priority="35">
      <formula>AND(M$9&gt;=8/24,M$9&lt;14/24)</formula>
    </cfRule>
    <cfRule type="expression" dxfId="8016" priority="36">
      <formula>M$9&lt;8/24</formula>
    </cfRule>
  </conditionalFormatting>
  <conditionalFormatting sqref="M14:W14">
    <cfRule type="expression" dxfId="8015" priority="29">
      <formula>M$9&gt;=20/24</formula>
    </cfRule>
    <cfRule type="expression" dxfId="8014" priority="30">
      <formula>AND(M$9&gt;=14/24,M$9&lt;20/24)</formula>
    </cfRule>
    <cfRule type="expression" dxfId="8013" priority="31">
      <formula>AND(M$9&gt;=8/24,M$9&lt;14/24)</formula>
    </cfRule>
    <cfRule type="expression" dxfId="8012" priority="32">
      <formula>M$9&lt;8/24</formula>
    </cfRule>
  </conditionalFormatting>
  <conditionalFormatting sqref="M14:W14">
    <cfRule type="expression" dxfId="8011" priority="28">
      <formula>M14&gt;$AG14</formula>
    </cfRule>
  </conditionalFormatting>
  <conditionalFormatting sqref="X33:AF33">
    <cfRule type="expression" dxfId="8010" priority="15">
      <formula>X$9&gt;=20/24</formula>
    </cfRule>
    <cfRule type="expression" dxfId="8009" priority="16">
      <formula>AND(X$9&gt;=14/24,X$9&lt;20/24)</formula>
    </cfRule>
    <cfRule type="expression" dxfId="8008" priority="17">
      <formula>AND(X$9&gt;=8/24,X$9&lt;14/24)</formula>
    </cfRule>
    <cfRule type="expression" dxfId="8007" priority="18">
      <formula>X$9&lt;8/24</formula>
    </cfRule>
  </conditionalFormatting>
  <conditionalFormatting sqref="X33:AF33">
    <cfRule type="expression" dxfId="8006" priority="14">
      <formula>X33&gt;$AG33</formula>
    </cfRule>
  </conditionalFormatting>
  <conditionalFormatting sqref="M32:W32">
    <cfRule type="expression" dxfId="8005" priority="10">
      <formula>M$9&gt;=20/24</formula>
    </cfRule>
    <cfRule type="expression" dxfId="8004" priority="11">
      <formula>AND(M$9&gt;=14/24,M$9&lt;20/24)</formula>
    </cfRule>
    <cfRule type="expression" dxfId="8003" priority="12">
      <formula>AND(M$9&gt;=8/24,M$9&lt;14/24)</formula>
    </cfRule>
    <cfRule type="expression" dxfId="8002" priority="13">
      <formula>M$9&lt;8/24</formula>
    </cfRule>
  </conditionalFormatting>
  <conditionalFormatting sqref="M32:W32">
    <cfRule type="expression" dxfId="8001" priority="9">
      <formula>M32&gt;$AG32</formula>
    </cfRule>
  </conditionalFormatting>
  <conditionalFormatting sqref="M37:W37">
    <cfRule type="expression" dxfId="8000" priority="5">
      <formula>M$9&gt;=20/24</formula>
    </cfRule>
    <cfRule type="expression" dxfId="7999" priority="6">
      <formula>AND(M$9&gt;=14/24,M$9&lt;20/24)</formula>
    </cfRule>
    <cfRule type="expression" dxfId="7998" priority="7">
      <formula>AND(M$9&gt;=8/24,M$9&lt;14/24)</formula>
    </cfRule>
    <cfRule type="expression" dxfId="7997" priority="8">
      <formula>M$9&lt;8/24</formula>
    </cfRule>
  </conditionalFormatting>
  <conditionalFormatting sqref="AB58:AB59 AC58">
    <cfRule type="expression" dxfId="7996" priority="1">
      <formula>AB$9&gt;=20/24</formula>
    </cfRule>
    <cfRule type="expression" dxfId="7995" priority="2">
      <formula>AND(AB$9&gt;=14/24,AB$9&lt;20/24)</formula>
    </cfRule>
    <cfRule type="expression" dxfId="7994" priority="3">
      <formula>AND(AB$9&gt;=8/24,AB$9&lt;14/24)</formula>
    </cfRule>
    <cfRule type="expression" dxfId="7993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8D71AB30-4EDD-4170-81F8-AC7EE2C15EC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310" id="{F5E862A2-5969-445B-A9FD-9C51E080D33D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94" sqref="AE94:AE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2078/08/5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109</v>
      </c>
      <c r="C5" s="32">
        <f t="shared" si="0"/>
        <v>105.4</v>
      </c>
      <c r="D5" s="32">
        <f t="shared" si="0"/>
        <v>123</v>
      </c>
      <c r="E5" s="32">
        <f t="shared" si="0"/>
        <v>118</v>
      </c>
      <c r="F5" s="32">
        <f t="shared" si="0"/>
        <v>133.5</v>
      </c>
      <c r="G5" s="32">
        <f t="shared" si="0"/>
        <v>156</v>
      </c>
      <c r="H5" s="32">
        <f t="shared" si="0"/>
        <v>149</v>
      </c>
      <c r="I5" s="32">
        <f t="shared" si="0"/>
        <v>117</v>
      </c>
      <c r="J5" s="32">
        <f t="shared" si="0"/>
        <v>96</v>
      </c>
      <c r="K5" s="32">
        <f t="shared" si="0"/>
        <v>64.3</v>
      </c>
      <c r="L5" s="32">
        <f t="shared" si="0"/>
        <v>117.5</v>
      </c>
      <c r="M5" s="32">
        <f t="shared" si="0"/>
        <v>180</v>
      </c>
      <c r="N5" s="32">
        <f t="shared" si="0"/>
        <v>184</v>
      </c>
      <c r="O5" s="32">
        <f t="shared" si="0"/>
        <v>455</v>
      </c>
      <c r="P5" s="32">
        <f t="shared" si="0"/>
        <v>358</v>
      </c>
      <c r="Q5" s="32">
        <f t="shared" si="0"/>
        <v>357</v>
      </c>
      <c r="R5" s="32">
        <f t="shared" si="0"/>
        <v>323.3</v>
      </c>
      <c r="S5" s="32">
        <f t="shared" si="0"/>
        <v>372</v>
      </c>
      <c r="T5" s="32">
        <f t="shared" si="0"/>
        <v>388.9</v>
      </c>
      <c r="U5" s="32">
        <f t="shared" si="0"/>
        <v>91.9</v>
      </c>
      <c r="V5" s="32">
        <f t="shared" si="0"/>
        <v>103</v>
      </c>
      <c r="W5" s="32">
        <f t="shared" si="0"/>
        <v>188.8</v>
      </c>
      <c r="X5" s="32">
        <f t="shared" si="0"/>
        <v>174.9</v>
      </c>
      <c r="Y5" s="32">
        <f t="shared" si="0"/>
        <v>181.7</v>
      </c>
      <c r="Z5" s="32">
        <f t="shared" si="0"/>
        <v>142</v>
      </c>
      <c r="AA5" s="32">
        <f t="shared" si="0"/>
        <v>160</v>
      </c>
      <c r="AB5" s="32">
        <f t="shared" si="0"/>
        <v>170</v>
      </c>
      <c r="AC5" s="32">
        <f t="shared" si="0"/>
        <v>160</v>
      </c>
      <c r="AD5" s="32">
        <f t="shared" si="0"/>
        <v>175</v>
      </c>
      <c r="AE5" s="32">
        <f t="shared" si="0"/>
        <v>172</v>
      </c>
      <c r="AF5" s="32">
        <f>B68</f>
        <v>119.9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1443MW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Load=812</v>
      </c>
      <c r="B7" s="37">
        <f>B75</f>
        <v>889.04</v>
      </c>
      <c r="C7" s="37">
        <f t="shared" ref="C7:AF7" si="1">C75</f>
        <v>854.24</v>
      </c>
      <c r="D7" s="37">
        <f t="shared" si="1"/>
        <v>837.54</v>
      </c>
      <c r="E7" s="37">
        <f t="shared" si="1"/>
        <v>841.33999999999992</v>
      </c>
      <c r="F7" s="37">
        <f t="shared" si="1"/>
        <v>812.33999999999992</v>
      </c>
      <c r="G7" s="37">
        <f t="shared" si="1"/>
        <v>876.83999999999992</v>
      </c>
      <c r="H7" s="37">
        <f t="shared" si="1"/>
        <v>949.33999999999992</v>
      </c>
      <c r="I7" s="37">
        <f t="shared" si="1"/>
        <v>1049.3399999999999</v>
      </c>
      <c r="J7" s="37">
        <f t="shared" si="1"/>
        <v>1219.3399999999999</v>
      </c>
      <c r="K7" s="37">
        <f t="shared" si="1"/>
        <v>1247.3399999999999</v>
      </c>
      <c r="L7" s="37">
        <f t="shared" si="1"/>
        <v>1438.3400000000001</v>
      </c>
      <c r="M7" s="37">
        <f t="shared" si="1"/>
        <v>1443.44</v>
      </c>
      <c r="N7" s="37">
        <f t="shared" si="1"/>
        <v>1386.94</v>
      </c>
      <c r="O7" s="37">
        <f t="shared" si="1"/>
        <v>1373.04</v>
      </c>
      <c r="P7" s="37">
        <f t="shared" si="1"/>
        <v>1364.6399999999999</v>
      </c>
      <c r="Q7" s="37">
        <f t="shared" si="1"/>
        <v>1225.24</v>
      </c>
      <c r="R7" s="37">
        <f t="shared" si="1"/>
        <v>1148.44</v>
      </c>
      <c r="S7" s="37">
        <f t="shared" si="1"/>
        <v>1149.8400000000001</v>
      </c>
      <c r="T7" s="37">
        <f t="shared" si="1"/>
        <v>1198.8399999999999</v>
      </c>
      <c r="U7" s="37">
        <f t="shared" si="1"/>
        <v>1276.8399999999999</v>
      </c>
      <c r="V7" s="37">
        <f t="shared" si="1"/>
        <v>1385.1399999999999</v>
      </c>
      <c r="W7" s="37">
        <f t="shared" si="1"/>
        <v>1469.1399999999999</v>
      </c>
      <c r="X7" s="37">
        <f t="shared" si="1"/>
        <v>1540.04</v>
      </c>
      <c r="Y7" s="37">
        <f t="shared" si="1"/>
        <v>1506.1399999999999</v>
      </c>
      <c r="Z7" s="37">
        <f t="shared" si="1"/>
        <v>1492.94</v>
      </c>
      <c r="AA7" s="37">
        <f t="shared" si="1"/>
        <v>1366.34</v>
      </c>
      <c r="AB7" s="37">
        <f t="shared" si="1"/>
        <v>1347.34</v>
      </c>
      <c r="AC7" s="37">
        <f t="shared" si="1"/>
        <v>1357.34</v>
      </c>
      <c r="AD7" s="37">
        <f t="shared" si="1"/>
        <v>1227.3399999999999</v>
      </c>
      <c r="AE7" s="37">
        <f t="shared" si="1"/>
        <v>1028.3399999999999</v>
      </c>
      <c r="AF7" s="37">
        <f t="shared" si="1"/>
        <v>945.33999999999992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50</v>
      </c>
      <c r="C11" s="49">
        <v>30</v>
      </c>
      <c r="D11" s="49">
        <v>30</v>
      </c>
      <c r="E11" s="49">
        <v>37</v>
      </c>
      <c r="F11" s="49">
        <v>35</v>
      </c>
      <c r="G11" s="49">
        <v>80</v>
      </c>
      <c r="H11" s="49">
        <v>130</v>
      </c>
      <c r="I11" s="49">
        <v>180</v>
      </c>
      <c r="J11" s="49">
        <v>260</v>
      </c>
      <c r="K11" s="49">
        <v>290</v>
      </c>
      <c r="L11" s="49">
        <v>400</v>
      </c>
      <c r="M11" s="50">
        <v>360</v>
      </c>
      <c r="N11" s="50">
        <v>260</v>
      </c>
      <c r="O11" s="50">
        <v>300</v>
      </c>
      <c r="P11" s="50">
        <v>50</v>
      </c>
      <c r="Q11" s="50">
        <v>30</v>
      </c>
      <c r="R11" s="51">
        <v>20</v>
      </c>
      <c r="S11" s="51">
        <v>50</v>
      </c>
      <c r="T11" s="51">
        <v>50</v>
      </c>
      <c r="U11" s="50">
        <v>75</v>
      </c>
      <c r="V11" s="50">
        <v>380</v>
      </c>
      <c r="W11" s="50">
        <v>425</v>
      </c>
      <c r="X11" s="50">
        <v>400</v>
      </c>
      <c r="Y11" s="50">
        <v>380</v>
      </c>
      <c r="Z11" s="50">
        <v>360</v>
      </c>
      <c r="AA11" s="50">
        <v>275</v>
      </c>
      <c r="AB11" s="50">
        <v>230</v>
      </c>
      <c r="AC11" s="50">
        <v>230</v>
      </c>
      <c r="AD11" s="50">
        <v>110</v>
      </c>
      <c r="AE11" s="50">
        <v>80</v>
      </c>
      <c r="AF11" s="49">
        <v>20</v>
      </c>
      <c r="AG11" s="53">
        <v>456</v>
      </c>
      <c r="AH11" s="54">
        <f>MAX(B11:AF11)</f>
        <v>425</v>
      </c>
      <c r="AI11" s="55">
        <f>MIN(B11:AF11)</f>
        <v>20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50</v>
      </c>
      <c r="J12" s="49">
        <v>50</v>
      </c>
      <c r="K12" s="49">
        <v>50</v>
      </c>
      <c r="L12" s="49">
        <v>50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49">
        <v>50</v>
      </c>
      <c r="T12" s="49">
        <v>50</v>
      </c>
      <c r="U12" s="49">
        <v>50</v>
      </c>
      <c r="V12" s="49">
        <v>50</v>
      </c>
      <c r="W12" s="49">
        <v>50</v>
      </c>
      <c r="X12" s="49">
        <v>50</v>
      </c>
      <c r="Y12" s="49">
        <v>50</v>
      </c>
      <c r="Z12" s="49">
        <v>50</v>
      </c>
      <c r="AA12" s="49">
        <v>50</v>
      </c>
      <c r="AB12" s="49">
        <v>50</v>
      </c>
      <c r="AC12" s="49">
        <v>50</v>
      </c>
      <c r="AD12" s="49">
        <v>50</v>
      </c>
      <c r="AE12" s="49">
        <v>50</v>
      </c>
      <c r="AF12" s="49">
        <v>50</v>
      </c>
      <c r="AG12" s="59">
        <v>60</v>
      </c>
      <c r="AH12" s="54">
        <f t="shared" ref="AH12:AH75" si="2">MAX(B12:AF12)</f>
        <v>50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</v>
      </c>
      <c r="C13" s="49">
        <v>27</v>
      </c>
      <c r="D13" s="49">
        <v>27</v>
      </c>
      <c r="E13" s="49">
        <v>27</v>
      </c>
      <c r="F13" s="49">
        <v>27</v>
      </c>
      <c r="G13" s="49">
        <v>27</v>
      </c>
      <c r="H13" s="49">
        <v>27</v>
      </c>
      <c r="I13" s="49">
        <v>27</v>
      </c>
      <c r="J13" s="49">
        <v>27</v>
      </c>
      <c r="K13" s="49">
        <v>27</v>
      </c>
      <c r="L13" s="49">
        <v>27</v>
      </c>
      <c r="M13" s="49">
        <v>27</v>
      </c>
      <c r="N13" s="49">
        <v>27</v>
      </c>
      <c r="O13" s="49">
        <v>27</v>
      </c>
      <c r="P13" s="49">
        <v>27</v>
      </c>
      <c r="Q13" s="49">
        <v>27.3</v>
      </c>
      <c r="R13" s="49">
        <v>27.3</v>
      </c>
      <c r="S13" s="49">
        <v>27.3</v>
      </c>
      <c r="T13" s="49">
        <v>27.3</v>
      </c>
      <c r="U13" s="49">
        <v>27.3</v>
      </c>
      <c r="V13" s="49">
        <v>27.3</v>
      </c>
      <c r="W13" s="49">
        <v>27.3</v>
      </c>
      <c r="X13" s="49">
        <v>27.3</v>
      </c>
      <c r="Y13" s="49">
        <v>27.3</v>
      </c>
      <c r="Z13" s="49">
        <v>27.3</v>
      </c>
      <c r="AA13" s="49">
        <v>27.3</v>
      </c>
      <c r="AB13" s="49">
        <v>27.3</v>
      </c>
      <c r="AC13" s="49">
        <v>27.3</v>
      </c>
      <c r="AD13" s="49">
        <v>27.3</v>
      </c>
      <c r="AE13" s="49">
        <v>27.3</v>
      </c>
      <c r="AF13" s="49">
        <v>27.3</v>
      </c>
      <c r="AG13" s="59">
        <v>52.4</v>
      </c>
      <c r="AH13" s="54">
        <f t="shared" si="2"/>
        <v>27.3</v>
      </c>
      <c r="AI13" s="55">
        <f t="shared" si="3"/>
        <v>27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50.8</v>
      </c>
      <c r="C14" s="49">
        <v>50.7</v>
      </c>
      <c r="D14" s="49">
        <v>50.8</v>
      </c>
      <c r="E14" s="49">
        <v>50.8</v>
      </c>
      <c r="F14" s="49">
        <v>50.8</v>
      </c>
      <c r="G14" s="49">
        <v>50.8</v>
      </c>
      <c r="H14" s="49">
        <v>50.8</v>
      </c>
      <c r="I14" s="49">
        <v>50.8</v>
      </c>
      <c r="J14" s="49">
        <v>50.8</v>
      </c>
      <c r="K14" s="49">
        <v>50.8</v>
      </c>
      <c r="L14" s="49">
        <v>50.8</v>
      </c>
      <c r="M14" s="50">
        <v>50.4</v>
      </c>
      <c r="N14" s="50">
        <v>51.1</v>
      </c>
      <c r="O14" s="50">
        <v>50.6</v>
      </c>
      <c r="P14" s="50">
        <v>50.6</v>
      </c>
      <c r="Q14" s="50">
        <v>51.1</v>
      </c>
      <c r="R14" s="50">
        <v>51.1</v>
      </c>
      <c r="S14" s="50">
        <v>51.1</v>
      </c>
      <c r="T14" s="50">
        <v>51.1</v>
      </c>
      <c r="U14" s="50">
        <v>51.1</v>
      </c>
      <c r="V14" s="50">
        <v>51.1</v>
      </c>
      <c r="W14" s="50">
        <v>51.1</v>
      </c>
      <c r="X14" s="50">
        <v>51.1</v>
      </c>
      <c r="Y14" s="50">
        <v>51.1</v>
      </c>
      <c r="Z14" s="50">
        <v>51.1</v>
      </c>
      <c r="AA14" s="50">
        <v>51.1</v>
      </c>
      <c r="AB14" s="50">
        <v>51.1</v>
      </c>
      <c r="AC14" s="50">
        <v>51.1</v>
      </c>
      <c r="AD14" s="50">
        <v>51.1</v>
      </c>
      <c r="AE14" s="50">
        <v>51.1</v>
      </c>
      <c r="AF14" s="50">
        <v>51.1</v>
      </c>
      <c r="AG14" s="59">
        <v>50</v>
      </c>
      <c r="AH14" s="54">
        <f t="shared" si="2"/>
        <v>51.1</v>
      </c>
      <c r="AI14" s="55">
        <f t="shared" si="3"/>
        <v>50.4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25.4</v>
      </c>
      <c r="C15" s="61">
        <v>25.4</v>
      </c>
      <c r="D15" s="61">
        <v>25.2</v>
      </c>
      <c r="E15" s="61">
        <v>25.2</v>
      </c>
      <c r="F15" s="61">
        <v>25.2</v>
      </c>
      <c r="G15" s="61">
        <v>25.2</v>
      </c>
      <c r="H15" s="61">
        <v>25.2</v>
      </c>
      <c r="I15" s="61">
        <v>25.2</v>
      </c>
      <c r="J15" s="61">
        <v>25.2</v>
      </c>
      <c r="K15" s="61">
        <v>25.2</v>
      </c>
      <c r="L15" s="61">
        <v>25.2</v>
      </c>
      <c r="M15" s="50">
        <v>23.7</v>
      </c>
      <c r="N15" s="50">
        <v>23.2</v>
      </c>
      <c r="O15" s="50">
        <v>23.2</v>
      </c>
      <c r="P15" s="50">
        <v>23.2</v>
      </c>
      <c r="Q15" s="50">
        <v>23.1</v>
      </c>
      <c r="R15" s="50">
        <v>23.1</v>
      </c>
      <c r="S15" s="50">
        <v>23.1</v>
      </c>
      <c r="T15" s="50">
        <v>23.1</v>
      </c>
      <c r="U15" s="50">
        <v>23.1</v>
      </c>
      <c r="V15" s="50">
        <v>23.1</v>
      </c>
      <c r="W15" s="50">
        <v>23.1</v>
      </c>
      <c r="X15" s="50">
        <v>23.1</v>
      </c>
      <c r="Y15" s="50">
        <v>23.1</v>
      </c>
      <c r="Z15" s="50">
        <v>23.1</v>
      </c>
      <c r="AA15" s="50">
        <v>23.1</v>
      </c>
      <c r="AB15" s="50">
        <v>23.1</v>
      </c>
      <c r="AC15" s="50">
        <v>23.1</v>
      </c>
      <c r="AD15" s="50">
        <v>23.1</v>
      </c>
      <c r="AE15" s="50">
        <v>23.1</v>
      </c>
      <c r="AF15" s="50">
        <v>23.1</v>
      </c>
      <c r="AG15" s="62">
        <v>45</v>
      </c>
      <c r="AH15" s="54">
        <f t="shared" si="2"/>
        <v>25.4</v>
      </c>
      <c r="AI15" s="55">
        <f t="shared" si="3"/>
        <v>23.1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14</v>
      </c>
      <c r="C16" s="49">
        <v>14</v>
      </c>
      <c r="D16" s="49">
        <v>14</v>
      </c>
      <c r="E16" s="49">
        <v>14</v>
      </c>
      <c r="F16" s="49">
        <v>14</v>
      </c>
      <c r="G16" s="49">
        <v>14</v>
      </c>
      <c r="H16" s="49">
        <v>14</v>
      </c>
      <c r="I16" s="49">
        <v>14</v>
      </c>
      <c r="J16" s="49">
        <v>14</v>
      </c>
      <c r="K16" s="49">
        <v>14</v>
      </c>
      <c r="L16" s="49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50">
        <v>13</v>
      </c>
      <c r="Y17" s="50">
        <v>13</v>
      </c>
      <c r="Z17" s="50">
        <v>13</v>
      </c>
      <c r="AA17" s="50">
        <v>13</v>
      </c>
      <c r="AB17" s="50">
        <v>13</v>
      </c>
      <c r="AC17" s="50">
        <v>13</v>
      </c>
      <c r="AD17" s="50">
        <v>13</v>
      </c>
      <c r="AE17" s="50">
        <v>13</v>
      </c>
      <c r="AF17" s="5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12.6</v>
      </c>
      <c r="C19" s="49">
        <v>12.6</v>
      </c>
      <c r="D19" s="49">
        <v>12.4</v>
      </c>
      <c r="E19" s="49">
        <v>12.4</v>
      </c>
      <c r="F19" s="49">
        <v>12.4</v>
      </c>
      <c r="G19" s="49">
        <v>12.4</v>
      </c>
      <c r="H19" s="49">
        <v>12.4</v>
      </c>
      <c r="I19" s="49">
        <v>12.4</v>
      </c>
      <c r="J19" s="49">
        <v>12.4</v>
      </c>
      <c r="K19" s="49">
        <v>12.4</v>
      </c>
      <c r="L19" s="49">
        <v>12.4</v>
      </c>
      <c r="M19" s="50">
        <v>12.4</v>
      </c>
      <c r="N19" s="50">
        <v>12.4</v>
      </c>
      <c r="O19" s="50">
        <v>12.4</v>
      </c>
      <c r="P19" s="50">
        <v>12.4</v>
      </c>
      <c r="Q19" s="50">
        <v>12.4</v>
      </c>
      <c r="R19" s="50">
        <v>12.4</v>
      </c>
      <c r="S19" s="50">
        <v>12.4</v>
      </c>
      <c r="T19" s="50">
        <v>12.4</v>
      </c>
      <c r="U19" s="50">
        <v>12.4</v>
      </c>
      <c r="V19" s="50">
        <v>12.4</v>
      </c>
      <c r="W19" s="50">
        <v>12.4</v>
      </c>
      <c r="X19" s="50">
        <v>12.4</v>
      </c>
      <c r="Y19" s="50">
        <v>12.4</v>
      </c>
      <c r="Z19" s="50">
        <v>12.4</v>
      </c>
      <c r="AA19" s="50">
        <v>12.4</v>
      </c>
      <c r="AB19" s="50">
        <v>12.4</v>
      </c>
      <c r="AC19" s="50">
        <v>12.4</v>
      </c>
      <c r="AD19" s="50">
        <v>12.4</v>
      </c>
      <c r="AE19" s="50">
        <v>12.4</v>
      </c>
      <c r="AF19" s="50">
        <v>12.4</v>
      </c>
      <c r="AG19" s="59">
        <v>30</v>
      </c>
      <c r="AH19" s="54">
        <f t="shared" si="2"/>
        <v>12.6</v>
      </c>
      <c r="AI19" s="55">
        <f t="shared" si="3"/>
        <v>12.4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16.3</v>
      </c>
      <c r="C22" s="49">
        <v>16.3</v>
      </c>
      <c r="D22" s="49">
        <v>16.3</v>
      </c>
      <c r="E22" s="49">
        <v>16.3</v>
      </c>
      <c r="F22" s="49">
        <v>16.3</v>
      </c>
      <c r="G22" s="49">
        <v>16.3</v>
      </c>
      <c r="H22" s="49">
        <v>16.3</v>
      </c>
      <c r="I22" s="49">
        <v>16.3</v>
      </c>
      <c r="J22" s="49">
        <v>16.3</v>
      </c>
      <c r="K22" s="49">
        <v>16.3</v>
      </c>
      <c r="L22" s="49">
        <v>16.3</v>
      </c>
      <c r="M22" s="50">
        <v>16.3</v>
      </c>
      <c r="N22" s="50">
        <v>13.4</v>
      </c>
      <c r="O22" s="50">
        <v>13.4</v>
      </c>
      <c r="P22" s="50">
        <v>13.4</v>
      </c>
      <c r="Q22" s="50">
        <v>13.4</v>
      </c>
      <c r="R22" s="50">
        <v>13.4</v>
      </c>
      <c r="S22" s="50">
        <v>13.4</v>
      </c>
      <c r="T22" s="50">
        <v>13.4</v>
      </c>
      <c r="U22" s="50">
        <v>13.4</v>
      </c>
      <c r="V22" s="50">
        <v>13.4</v>
      </c>
      <c r="W22" s="50">
        <v>13.4</v>
      </c>
      <c r="X22" s="50">
        <v>13.4</v>
      </c>
      <c r="Y22" s="50">
        <v>13.4</v>
      </c>
      <c r="Z22" s="50">
        <v>13.4</v>
      </c>
      <c r="AA22" s="50">
        <v>13.4</v>
      </c>
      <c r="AB22" s="50">
        <v>13.4</v>
      </c>
      <c r="AC22" s="50">
        <v>13.4</v>
      </c>
      <c r="AD22" s="50">
        <v>13.4</v>
      </c>
      <c r="AE22" s="50">
        <v>13.4</v>
      </c>
      <c r="AF22" s="50">
        <v>13.4</v>
      </c>
      <c r="AG22" s="59">
        <v>25</v>
      </c>
      <c r="AH22" s="54">
        <f t="shared" si="2"/>
        <v>16.3</v>
      </c>
      <c r="AI22" s="55">
        <f t="shared" si="3"/>
        <v>13.4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61">
        <v>5</v>
      </c>
      <c r="N34" s="61">
        <v>5</v>
      </c>
      <c r="O34" s="61">
        <v>5</v>
      </c>
      <c r="P34" s="61">
        <v>5</v>
      </c>
      <c r="Q34" s="61">
        <v>5</v>
      </c>
      <c r="R34" s="61">
        <v>5</v>
      </c>
      <c r="S34" s="61">
        <v>5</v>
      </c>
      <c r="T34" s="61">
        <v>5</v>
      </c>
      <c r="U34" s="61">
        <v>5</v>
      </c>
      <c r="V34" s="61">
        <v>5</v>
      </c>
      <c r="W34" s="61">
        <v>5</v>
      </c>
      <c r="X34" s="61">
        <v>5</v>
      </c>
      <c r="Y34" s="61">
        <v>5</v>
      </c>
      <c r="Z34" s="61">
        <v>5</v>
      </c>
      <c r="AA34" s="61">
        <v>5</v>
      </c>
      <c r="AB34" s="61">
        <v>5</v>
      </c>
      <c r="AC34" s="61">
        <v>5</v>
      </c>
      <c r="AD34" s="61">
        <v>5</v>
      </c>
      <c r="AE34" s="61">
        <v>5</v>
      </c>
      <c r="AF34" s="61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v>70.300000000000011</v>
      </c>
      <c r="C37" s="61">
        <f>30.3+39.6</f>
        <v>69.900000000000006</v>
      </c>
      <c r="D37" s="61">
        <f>30.4+39.2</f>
        <v>69.599999999999994</v>
      </c>
      <c r="E37" s="61">
        <v>72</v>
      </c>
      <c r="F37" s="61">
        <v>72</v>
      </c>
      <c r="G37" s="61">
        <v>72</v>
      </c>
      <c r="H37" s="61">
        <v>68.900000000000006</v>
      </c>
      <c r="I37" s="61">
        <v>68.900000000000006</v>
      </c>
      <c r="J37" s="61">
        <v>68.900000000000006</v>
      </c>
      <c r="K37" s="61">
        <v>68.900000000000006</v>
      </c>
      <c r="L37" s="61">
        <f>29.2+39</f>
        <v>68.2</v>
      </c>
      <c r="M37" s="70">
        <f>29.1+38.8</f>
        <v>67.900000000000006</v>
      </c>
      <c r="N37" s="70">
        <f>29.3+39.5</f>
        <v>68.8</v>
      </c>
      <c r="O37" s="70">
        <f>29.3+39.4</f>
        <v>68.7</v>
      </c>
      <c r="P37" s="70">
        <f>29.3+39.4</f>
        <v>68.7</v>
      </c>
      <c r="Q37" s="70">
        <f>38.6+25.9</f>
        <v>64.5</v>
      </c>
      <c r="R37" s="70">
        <f>38.6+25.9</f>
        <v>64.5</v>
      </c>
      <c r="S37" s="70">
        <f>25.4+35.6</f>
        <v>61</v>
      </c>
      <c r="T37" s="70">
        <f>25.4+35.6</f>
        <v>61</v>
      </c>
      <c r="U37" s="70">
        <f>25.1+38.2</f>
        <v>63.300000000000004</v>
      </c>
      <c r="V37" s="70">
        <f>25.1+38.2</f>
        <v>63.300000000000004</v>
      </c>
      <c r="W37" s="70">
        <f>27.7+38.3</f>
        <v>66</v>
      </c>
      <c r="X37" s="70">
        <f>26.8+37.7</f>
        <v>64.5</v>
      </c>
      <c r="Y37" s="70">
        <f t="shared" ref="Y37:Z37" si="4">26.8+37.7</f>
        <v>64.5</v>
      </c>
      <c r="Z37" s="70">
        <f t="shared" si="4"/>
        <v>64.5</v>
      </c>
      <c r="AA37" s="70">
        <f t="shared" ref="AA37:AF37" si="5">27.8+34.1</f>
        <v>61.900000000000006</v>
      </c>
      <c r="AB37" s="70">
        <f t="shared" si="5"/>
        <v>61.900000000000006</v>
      </c>
      <c r="AC37" s="70">
        <f t="shared" si="5"/>
        <v>61.900000000000006</v>
      </c>
      <c r="AD37" s="70">
        <f t="shared" si="5"/>
        <v>61.900000000000006</v>
      </c>
      <c r="AE37" s="70">
        <f t="shared" si="5"/>
        <v>61.900000000000006</v>
      </c>
      <c r="AF37" s="70">
        <f t="shared" si="5"/>
        <v>61.900000000000006</v>
      </c>
      <c r="AG37" s="67">
        <v>240</v>
      </c>
      <c r="AH37" s="54">
        <f t="shared" si="2"/>
        <v>72</v>
      </c>
      <c r="AI37" s="55">
        <f t="shared" si="3"/>
        <v>61</v>
      </c>
      <c r="AK37" s="56"/>
    </row>
    <row r="38" spans="1:88" ht="15.75" thickBot="1" x14ac:dyDescent="0.3">
      <c r="A38" s="71" t="s">
        <v>46</v>
      </c>
      <c r="B38" s="72">
        <f>SUM(B11:B36)</f>
        <v>521.79999999999995</v>
      </c>
      <c r="C38" s="72">
        <f t="shared" ref="C38:AF38" si="6">SUM(C11:C36)</f>
        <v>501.7</v>
      </c>
      <c r="D38" s="72">
        <f t="shared" si="6"/>
        <v>501.4</v>
      </c>
      <c r="E38" s="72">
        <f t="shared" si="6"/>
        <v>508.4</v>
      </c>
      <c r="F38" s="72">
        <f t="shared" si="6"/>
        <v>506.4</v>
      </c>
      <c r="G38" s="72">
        <f t="shared" si="6"/>
        <v>551.4</v>
      </c>
      <c r="H38" s="72">
        <f t="shared" si="6"/>
        <v>601.4</v>
      </c>
      <c r="I38" s="72">
        <f t="shared" si="6"/>
        <v>651.4</v>
      </c>
      <c r="J38" s="72">
        <f t="shared" si="6"/>
        <v>731.4</v>
      </c>
      <c r="K38" s="72">
        <f t="shared" si="6"/>
        <v>761.4</v>
      </c>
      <c r="L38" s="72">
        <f t="shared" si="6"/>
        <v>871.4</v>
      </c>
      <c r="M38" s="72">
        <f t="shared" si="6"/>
        <v>829.49999999999989</v>
      </c>
      <c r="N38" s="72">
        <f t="shared" si="6"/>
        <v>726.8</v>
      </c>
      <c r="O38" s="72">
        <f t="shared" si="6"/>
        <v>766.3</v>
      </c>
      <c r="P38" s="72">
        <f t="shared" si="6"/>
        <v>516.29999999999995</v>
      </c>
      <c r="Q38" s="72">
        <f t="shared" si="6"/>
        <v>497</v>
      </c>
      <c r="R38" s="72">
        <f t="shared" si="6"/>
        <v>487</v>
      </c>
      <c r="S38" s="72">
        <f t="shared" si="6"/>
        <v>517</v>
      </c>
      <c r="T38" s="72">
        <f t="shared" si="6"/>
        <v>517</v>
      </c>
      <c r="U38" s="72">
        <f t="shared" si="6"/>
        <v>542</v>
      </c>
      <c r="V38" s="72">
        <f t="shared" si="6"/>
        <v>847</v>
      </c>
      <c r="W38" s="72">
        <f t="shared" si="6"/>
        <v>892</v>
      </c>
      <c r="X38" s="72">
        <f t="shared" si="6"/>
        <v>867</v>
      </c>
      <c r="Y38" s="72">
        <f t="shared" si="6"/>
        <v>847</v>
      </c>
      <c r="Z38" s="72">
        <f t="shared" ref="Z38" si="7">SUM(Z11:Z36)</f>
        <v>827</v>
      </c>
      <c r="AA38" s="72">
        <f t="shared" si="6"/>
        <v>742</v>
      </c>
      <c r="AB38" s="72">
        <f t="shared" si="6"/>
        <v>697</v>
      </c>
      <c r="AC38" s="72">
        <f t="shared" si="6"/>
        <v>697</v>
      </c>
      <c r="AD38" s="72">
        <f t="shared" si="6"/>
        <v>577</v>
      </c>
      <c r="AE38" s="72">
        <f t="shared" si="6"/>
        <v>547</v>
      </c>
      <c r="AF38" s="72">
        <f t="shared" si="6"/>
        <v>487</v>
      </c>
      <c r="AG38" s="67">
        <f>SUM(AG11:AG37)</f>
        <v>1492.8299999999997</v>
      </c>
      <c r="AH38" s="54">
        <f t="shared" si="2"/>
        <v>892</v>
      </c>
      <c r="AI38" s="55">
        <f t="shared" si="3"/>
        <v>487</v>
      </c>
      <c r="AK38" s="56"/>
    </row>
    <row r="39" spans="1:88" x14ac:dyDescent="0.25">
      <c r="A39" s="57" t="s">
        <v>47</v>
      </c>
      <c r="B39" s="49">
        <v>51.2</v>
      </c>
      <c r="C39" s="49">
        <v>53.3</v>
      </c>
      <c r="D39" s="49">
        <v>52.7</v>
      </c>
      <c r="E39" s="61">
        <v>30</v>
      </c>
      <c r="F39" s="61">
        <v>0</v>
      </c>
      <c r="G39" s="61">
        <v>30</v>
      </c>
      <c r="H39" s="61">
        <v>30</v>
      </c>
      <c r="I39" s="61">
        <v>48</v>
      </c>
      <c r="J39" s="61">
        <v>143</v>
      </c>
      <c r="K39" s="61">
        <v>145</v>
      </c>
      <c r="L39" s="61">
        <v>145.9</v>
      </c>
      <c r="M39" s="61">
        <v>145.9</v>
      </c>
      <c r="N39" s="50">
        <v>145</v>
      </c>
      <c r="O39" s="50">
        <v>137.4</v>
      </c>
      <c r="P39" s="50">
        <v>125</v>
      </c>
      <c r="Q39" s="50">
        <v>121.8</v>
      </c>
      <c r="R39" s="50">
        <v>100</v>
      </c>
      <c r="S39" s="50">
        <v>111.5</v>
      </c>
      <c r="T39" s="50">
        <v>111.5</v>
      </c>
      <c r="U39" s="50">
        <v>111.1</v>
      </c>
      <c r="V39" s="50">
        <v>146.30000000000001</v>
      </c>
      <c r="W39" s="50">
        <v>145.19999999999999</v>
      </c>
      <c r="X39" s="50">
        <v>145.19999999999999</v>
      </c>
      <c r="Y39" s="50">
        <v>145.19999999999999</v>
      </c>
      <c r="Z39" s="50">
        <v>145.19999999999999</v>
      </c>
      <c r="AA39" s="50">
        <v>144.69999999999999</v>
      </c>
      <c r="AB39" s="50">
        <v>144.69999999999999</v>
      </c>
      <c r="AC39" s="50">
        <v>144.69999999999999</v>
      </c>
      <c r="AD39" s="50">
        <v>144.69999999999999</v>
      </c>
      <c r="AE39" s="50">
        <v>90</v>
      </c>
      <c r="AF39" s="49">
        <v>70</v>
      </c>
      <c r="AG39" s="62">
        <v>144</v>
      </c>
      <c r="AH39" s="54">
        <f t="shared" si="2"/>
        <v>146.30000000000001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34.9</v>
      </c>
      <c r="C40" s="61">
        <v>34.1</v>
      </c>
      <c r="D40" s="61">
        <v>22.2</v>
      </c>
      <c r="E40" s="61">
        <v>22</v>
      </c>
      <c r="F40" s="61">
        <v>36</v>
      </c>
      <c r="G40" s="61">
        <v>24</v>
      </c>
      <c r="H40" s="61">
        <v>24</v>
      </c>
      <c r="I40" s="61">
        <v>49</v>
      </c>
      <c r="J40" s="61">
        <v>70</v>
      </c>
      <c r="K40" s="61">
        <v>70</v>
      </c>
      <c r="L40" s="61">
        <v>70.099999999999994</v>
      </c>
      <c r="M40" s="61">
        <v>70.099999999999994</v>
      </c>
      <c r="N40" s="73">
        <v>69.7</v>
      </c>
      <c r="O40" s="73">
        <v>69.400000000000006</v>
      </c>
      <c r="P40" s="73">
        <v>55</v>
      </c>
      <c r="Q40" s="73">
        <v>44.6</v>
      </c>
      <c r="R40" s="73">
        <v>46</v>
      </c>
      <c r="S40" s="73">
        <v>46</v>
      </c>
      <c r="T40" s="73">
        <v>45.8</v>
      </c>
      <c r="U40" s="73">
        <v>71.3</v>
      </c>
      <c r="V40" s="73">
        <v>71.3</v>
      </c>
      <c r="W40" s="73">
        <v>71.8</v>
      </c>
      <c r="X40" s="73">
        <v>71.8</v>
      </c>
      <c r="Y40" s="73">
        <v>71.8</v>
      </c>
      <c r="Z40" s="73">
        <v>71.8</v>
      </c>
      <c r="AA40" s="73">
        <v>70.099999999999994</v>
      </c>
      <c r="AB40" s="73">
        <v>70.099999999999994</v>
      </c>
      <c r="AC40" s="73">
        <v>70.099999999999994</v>
      </c>
      <c r="AD40" s="73">
        <v>70.099999999999994</v>
      </c>
      <c r="AE40" s="73">
        <v>35</v>
      </c>
      <c r="AF40" s="73">
        <v>35</v>
      </c>
      <c r="AG40" s="67">
        <v>70</v>
      </c>
      <c r="AH40" s="54">
        <f t="shared" si="2"/>
        <v>71.8</v>
      </c>
      <c r="AI40" s="55">
        <f t="shared" si="3"/>
        <v>22</v>
      </c>
      <c r="AK40" s="56"/>
    </row>
    <row r="41" spans="1:88" x14ac:dyDescent="0.25">
      <c r="A41" s="66" t="s">
        <v>49</v>
      </c>
      <c r="B41" s="61">
        <v>54.6</v>
      </c>
      <c r="C41" s="61">
        <v>49.8</v>
      </c>
      <c r="D41" s="61">
        <v>49.5</v>
      </c>
      <c r="E41" s="61">
        <v>52</v>
      </c>
      <c r="F41" s="61">
        <v>46</v>
      </c>
      <c r="G41" s="61">
        <v>32</v>
      </c>
      <c r="H41" s="61">
        <v>32</v>
      </c>
      <c r="I41" s="61">
        <v>46</v>
      </c>
      <c r="J41" s="61">
        <v>52</v>
      </c>
      <c r="K41" s="61">
        <v>69</v>
      </c>
      <c r="L41" s="61">
        <v>68.599999999999994</v>
      </c>
      <c r="M41" s="61">
        <v>68.599999999999994</v>
      </c>
      <c r="N41" s="73">
        <v>67.900000000000006</v>
      </c>
      <c r="O41" s="73">
        <v>62</v>
      </c>
      <c r="P41" s="73">
        <v>55</v>
      </c>
      <c r="Q41" s="73">
        <v>53</v>
      </c>
      <c r="R41" s="73">
        <v>35.700000000000003</v>
      </c>
      <c r="S41" s="73">
        <v>35.700000000000003</v>
      </c>
      <c r="T41" s="73">
        <v>36.200000000000003</v>
      </c>
      <c r="U41" s="73">
        <v>47.2</v>
      </c>
      <c r="V41" s="73">
        <v>47.2</v>
      </c>
      <c r="W41" s="73">
        <v>67.5</v>
      </c>
      <c r="X41" s="73">
        <v>67.5</v>
      </c>
      <c r="Y41" s="73">
        <v>67.5</v>
      </c>
      <c r="Z41" s="73">
        <v>67.5</v>
      </c>
      <c r="AA41" s="73">
        <v>67.5</v>
      </c>
      <c r="AB41" s="73">
        <v>67.5</v>
      </c>
      <c r="AC41" s="73">
        <v>67.5</v>
      </c>
      <c r="AD41" s="73">
        <v>67.5</v>
      </c>
      <c r="AE41" s="73">
        <v>60</v>
      </c>
      <c r="AF41" s="73">
        <v>60</v>
      </c>
      <c r="AG41" s="67">
        <v>69</v>
      </c>
      <c r="AH41" s="54">
        <f t="shared" si="2"/>
        <v>69</v>
      </c>
      <c r="AI41" s="55">
        <f t="shared" si="3"/>
        <v>32</v>
      </c>
      <c r="AK41" s="56"/>
    </row>
    <row r="42" spans="1:88" x14ac:dyDescent="0.25">
      <c r="A42" s="66" t="s">
        <v>50</v>
      </c>
      <c r="B42" s="61">
        <v>60.7</v>
      </c>
      <c r="C42" s="61">
        <v>60.4</v>
      </c>
      <c r="D42" s="61">
        <v>60.4</v>
      </c>
      <c r="E42" s="61">
        <v>60</v>
      </c>
      <c r="F42" s="61">
        <v>60</v>
      </c>
      <c r="G42" s="61">
        <v>60</v>
      </c>
      <c r="H42" s="61">
        <v>60</v>
      </c>
      <c r="I42" s="61">
        <v>60</v>
      </c>
      <c r="J42" s="61">
        <v>60</v>
      </c>
      <c r="K42" s="61">
        <v>60</v>
      </c>
      <c r="L42" s="61">
        <v>60.4</v>
      </c>
      <c r="M42" s="61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67">
        <v>60</v>
      </c>
      <c r="AH42" s="54">
        <f t="shared" si="2"/>
        <v>60.7</v>
      </c>
      <c r="AI42" s="55">
        <f t="shared" si="3"/>
        <v>60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27.6</v>
      </c>
      <c r="M43" s="61">
        <v>27.6</v>
      </c>
      <c r="N43" s="50">
        <v>27.3</v>
      </c>
      <c r="O43" s="50">
        <v>10</v>
      </c>
      <c r="P43" s="50">
        <v>10</v>
      </c>
      <c r="Q43" s="50">
        <v>10</v>
      </c>
      <c r="R43" s="50">
        <v>10</v>
      </c>
      <c r="S43" s="50">
        <v>10</v>
      </c>
      <c r="T43" s="50">
        <v>10</v>
      </c>
      <c r="U43" s="50">
        <v>10</v>
      </c>
      <c r="V43" s="50">
        <v>10</v>
      </c>
      <c r="W43" s="50">
        <v>10</v>
      </c>
      <c r="X43" s="50">
        <v>29</v>
      </c>
      <c r="Y43" s="50">
        <v>29</v>
      </c>
      <c r="Z43" s="50">
        <v>29</v>
      </c>
      <c r="AA43" s="50">
        <v>29</v>
      </c>
      <c r="AB43" s="50">
        <v>28</v>
      </c>
      <c r="AC43" s="50">
        <v>28</v>
      </c>
      <c r="AD43" s="50">
        <v>28</v>
      </c>
      <c r="AE43" s="50">
        <v>15</v>
      </c>
      <c r="AF43" s="50">
        <v>15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12</v>
      </c>
      <c r="C47" s="61">
        <v>12</v>
      </c>
      <c r="D47" s="61">
        <v>12</v>
      </c>
      <c r="E47" s="61">
        <v>12</v>
      </c>
      <c r="F47" s="61">
        <v>12</v>
      </c>
      <c r="G47" s="61">
        <v>12</v>
      </c>
      <c r="H47" s="61">
        <v>12</v>
      </c>
      <c r="I47" s="61">
        <v>12</v>
      </c>
      <c r="J47" s="61">
        <v>12</v>
      </c>
      <c r="K47" s="61">
        <v>12</v>
      </c>
      <c r="L47" s="61">
        <v>12</v>
      </c>
      <c r="M47" s="61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7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7">
        <v>14</v>
      </c>
      <c r="AH48" s="54">
        <f t="shared" si="2"/>
        <v>0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61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8">U199</f>
        <v>3.54</v>
      </c>
      <c r="V51" s="77">
        <f t="shared" si="8"/>
        <v>3.54</v>
      </c>
      <c r="W51" s="77">
        <f t="shared" si="8"/>
        <v>3.54</v>
      </c>
      <c r="X51" s="77">
        <f t="shared" si="8"/>
        <v>3.54</v>
      </c>
      <c r="Y51" s="77">
        <f t="shared" si="8"/>
        <v>3.54</v>
      </c>
      <c r="Z51" s="77">
        <v>3.54</v>
      </c>
      <c r="AA51" s="77">
        <f t="shared" si="8"/>
        <v>3.54</v>
      </c>
      <c r="AB51" s="77">
        <f t="shared" si="8"/>
        <v>3.54</v>
      </c>
      <c r="AC51" s="77">
        <f t="shared" si="8"/>
        <v>3.54</v>
      </c>
      <c r="AD51" s="77">
        <f t="shared" si="8"/>
        <v>3.54</v>
      </c>
      <c r="AE51" s="77">
        <f t="shared" si="8"/>
        <v>3.54</v>
      </c>
      <c r="AF51" s="77">
        <f t="shared" si="8"/>
        <v>3.54</v>
      </c>
      <c r="AG51" s="77">
        <f t="shared" si="8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247.33999999999997</v>
      </c>
      <c r="C52" s="72">
        <f t="shared" ref="C52:AF52" si="9">SUM(C39:C51)</f>
        <v>243.54</v>
      </c>
      <c r="D52" s="72">
        <f t="shared" si="9"/>
        <v>230.74</v>
      </c>
      <c r="E52" s="72">
        <f t="shared" si="9"/>
        <v>209.94</v>
      </c>
      <c r="F52" s="72">
        <f t="shared" si="9"/>
        <v>187.94</v>
      </c>
      <c r="G52" s="72">
        <f t="shared" si="9"/>
        <v>191.94</v>
      </c>
      <c r="H52" s="72">
        <f t="shared" si="9"/>
        <v>191.94</v>
      </c>
      <c r="I52" s="72">
        <f t="shared" si="9"/>
        <v>248.94</v>
      </c>
      <c r="J52" s="72">
        <f t="shared" si="9"/>
        <v>370.94</v>
      </c>
      <c r="K52" s="72">
        <f t="shared" si="9"/>
        <v>389.94</v>
      </c>
      <c r="L52" s="72">
        <f t="shared" si="9"/>
        <v>418.54</v>
      </c>
      <c r="M52" s="72">
        <f t="shared" si="9"/>
        <v>418.54</v>
      </c>
      <c r="N52" s="72">
        <f t="shared" si="9"/>
        <v>416.24</v>
      </c>
      <c r="O52" s="72">
        <f t="shared" si="9"/>
        <v>385.14</v>
      </c>
      <c r="P52" s="72">
        <f t="shared" si="9"/>
        <v>351.34</v>
      </c>
      <c r="Q52" s="72">
        <f t="shared" si="9"/>
        <v>335.74</v>
      </c>
      <c r="R52" s="72">
        <f t="shared" si="9"/>
        <v>298.04000000000002</v>
      </c>
      <c r="S52" s="72">
        <f t="shared" si="9"/>
        <v>309.54000000000002</v>
      </c>
      <c r="T52" s="72">
        <f t="shared" si="9"/>
        <v>309.83999999999997</v>
      </c>
      <c r="U52" s="72">
        <f t="shared" si="9"/>
        <v>345.93999999999994</v>
      </c>
      <c r="V52" s="72">
        <f t="shared" si="9"/>
        <v>381.14</v>
      </c>
      <c r="W52" s="72">
        <f t="shared" si="9"/>
        <v>400.84</v>
      </c>
      <c r="X52" s="72">
        <f t="shared" si="9"/>
        <v>419.84</v>
      </c>
      <c r="Y52" s="72">
        <f t="shared" si="9"/>
        <v>419.84</v>
      </c>
      <c r="Z52" s="72">
        <f t="shared" si="9"/>
        <v>419.84</v>
      </c>
      <c r="AA52" s="72">
        <f t="shared" si="9"/>
        <v>417.63999999999993</v>
      </c>
      <c r="AB52" s="72">
        <f t="shared" si="9"/>
        <v>416.63999999999993</v>
      </c>
      <c r="AC52" s="72">
        <f t="shared" si="9"/>
        <v>416.63999999999993</v>
      </c>
      <c r="AD52" s="72">
        <f t="shared" si="9"/>
        <v>416.63999999999993</v>
      </c>
      <c r="AE52" s="72">
        <f t="shared" si="9"/>
        <v>306.33999999999997</v>
      </c>
      <c r="AF52" s="72">
        <f t="shared" si="9"/>
        <v>286.33999999999997</v>
      </c>
      <c r="AG52" s="78">
        <f>SUM(AG39:AG51)</f>
        <v>489.91</v>
      </c>
      <c r="AH52" s="54">
        <f t="shared" si="2"/>
        <v>419.84</v>
      </c>
      <c r="AI52" s="55">
        <f t="shared" si="3"/>
        <v>187.94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50.8</v>
      </c>
      <c r="M53" s="79">
        <v>53.9</v>
      </c>
      <c r="N53" s="79">
        <v>40</v>
      </c>
      <c r="O53" s="79">
        <v>20.2</v>
      </c>
      <c r="P53" s="79">
        <v>20</v>
      </c>
      <c r="Q53" s="50">
        <v>20</v>
      </c>
      <c r="R53" s="50">
        <v>0</v>
      </c>
      <c r="S53" s="50">
        <v>0</v>
      </c>
      <c r="T53" s="50">
        <v>0</v>
      </c>
      <c r="U53" s="50">
        <v>0</v>
      </c>
      <c r="V53" s="50">
        <v>40</v>
      </c>
      <c r="W53" s="50">
        <v>45</v>
      </c>
      <c r="X53" s="50">
        <v>40.299999999999997</v>
      </c>
      <c r="Y53" s="50">
        <v>40.299999999999997</v>
      </c>
      <c r="Z53" s="50">
        <v>40.299999999999997</v>
      </c>
      <c r="AA53" s="50">
        <v>40.299999999999997</v>
      </c>
      <c r="AB53" s="50">
        <v>45</v>
      </c>
      <c r="AC53" s="50">
        <v>45</v>
      </c>
      <c r="AD53" s="50">
        <v>45</v>
      </c>
      <c r="AE53" s="50">
        <v>0</v>
      </c>
      <c r="AF53" s="50">
        <v>0</v>
      </c>
      <c r="AG53" s="62">
        <v>60</v>
      </c>
      <c r="AH53" s="54">
        <f t="shared" si="2"/>
        <v>53.9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24.4</v>
      </c>
      <c r="M54" s="79">
        <v>17.600000000000001</v>
      </c>
      <c r="N54" s="79">
        <v>17.5</v>
      </c>
      <c r="O54" s="79">
        <v>12.7</v>
      </c>
      <c r="P54" s="79">
        <v>15</v>
      </c>
      <c r="Q54" s="73">
        <v>10.6</v>
      </c>
      <c r="R54" s="73">
        <v>4.7</v>
      </c>
      <c r="S54" s="50">
        <v>0</v>
      </c>
      <c r="T54" s="50">
        <v>0</v>
      </c>
      <c r="U54" s="50">
        <v>0</v>
      </c>
      <c r="V54" s="73">
        <v>18.2</v>
      </c>
      <c r="W54" s="73">
        <v>20.7</v>
      </c>
      <c r="X54" s="73">
        <v>17.7</v>
      </c>
      <c r="Y54" s="73">
        <v>17.7</v>
      </c>
      <c r="Z54" s="73">
        <v>17.7</v>
      </c>
      <c r="AA54" s="73">
        <v>17.899999999999999</v>
      </c>
      <c r="AB54" s="73">
        <v>21</v>
      </c>
      <c r="AC54" s="73">
        <v>21</v>
      </c>
      <c r="AD54" s="73">
        <v>21</v>
      </c>
      <c r="AE54" s="73">
        <v>0</v>
      </c>
      <c r="AF54" s="73">
        <v>0</v>
      </c>
      <c r="AG54" s="67">
        <v>32</v>
      </c>
      <c r="AH54" s="54">
        <f t="shared" si="2"/>
        <v>24.4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8.9</v>
      </c>
      <c r="M55" s="81">
        <v>6.4</v>
      </c>
      <c r="N55" s="81">
        <v>6.4</v>
      </c>
      <c r="O55" s="81">
        <v>4.7</v>
      </c>
      <c r="P55" s="81">
        <v>7</v>
      </c>
      <c r="Q55" s="80">
        <v>3.9</v>
      </c>
      <c r="R55" s="80">
        <v>1.7</v>
      </c>
      <c r="S55" s="50">
        <v>0</v>
      </c>
      <c r="T55" s="50">
        <v>0</v>
      </c>
      <c r="U55" s="50">
        <v>0</v>
      </c>
      <c r="V55" s="80">
        <v>6.9</v>
      </c>
      <c r="W55" s="80">
        <v>7.6</v>
      </c>
      <c r="X55" s="80">
        <v>6.4</v>
      </c>
      <c r="Y55" s="80">
        <v>6.4</v>
      </c>
      <c r="Z55" s="80">
        <v>6.4</v>
      </c>
      <c r="AA55" s="80">
        <v>6.5</v>
      </c>
      <c r="AB55" s="80">
        <v>7.7</v>
      </c>
      <c r="AC55" s="80">
        <v>7.7</v>
      </c>
      <c r="AD55" s="80">
        <v>7.7</v>
      </c>
      <c r="AE55" s="80">
        <v>0</v>
      </c>
      <c r="AF55" s="80">
        <v>0</v>
      </c>
      <c r="AG55" s="82">
        <v>14</v>
      </c>
      <c r="AH55" s="54">
        <f t="shared" si="2"/>
        <v>8.9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10">SUM(D53:D55)</f>
        <v>0</v>
      </c>
      <c r="E56" s="72">
        <f t="shared" si="10"/>
        <v>0</v>
      </c>
      <c r="F56" s="72">
        <f t="shared" si="10"/>
        <v>0</v>
      </c>
      <c r="G56" s="72">
        <f t="shared" si="10"/>
        <v>0</v>
      </c>
      <c r="H56" s="72">
        <f t="shared" si="10"/>
        <v>0</v>
      </c>
      <c r="I56" s="72">
        <f t="shared" si="10"/>
        <v>0</v>
      </c>
      <c r="J56" s="72">
        <f t="shared" si="10"/>
        <v>0</v>
      </c>
      <c r="K56" s="72">
        <f t="shared" si="10"/>
        <v>0</v>
      </c>
      <c r="L56" s="72">
        <f t="shared" si="10"/>
        <v>84.1</v>
      </c>
      <c r="M56" s="72">
        <f t="shared" si="10"/>
        <v>77.900000000000006</v>
      </c>
      <c r="N56" s="72">
        <f t="shared" si="10"/>
        <v>63.9</v>
      </c>
      <c r="O56" s="72">
        <f t="shared" si="10"/>
        <v>37.6</v>
      </c>
      <c r="P56" s="72">
        <f t="shared" si="10"/>
        <v>42</v>
      </c>
      <c r="Q56" s="72">
        <f t="shared" si="10"/>
        <v>34.5</v>
      </c>
      <c r="R56" s="72">
        <f t="shared" si="10"/>
        <v>6.4</v>
      </c>
      <c r="S56" s="72">
        <f t="shared" si="10"/>
        <v>0</v>
      </c>
      <c r="T56" s="72">
        <f t="shared" si="10"/>
        <v>0</v>
      </c>
      <c r="U56" s="72">
        <f t="shared" si="10"/>
        <v>0</v>
      </c>
      <c r="V56" s="72">
        <f t="shared" si="10"/>
        <v>65.100000000000009</v>
      </c>
      <c r="W56" s="72">
        <f t="shared" si="10"/>
        <v>73.3</v>
      </c>
      <c r="X56" s="72">
        <f t="shared" si="10"/>
        <v>64.400000000000006</v>
      </c>
      <c r="Y56" s="72">
        <f t="shared" si="10"/>
        <v>64.400000000000006</v>
      </c>
      <c r="Z56" s="72">
        <f t="shared" si="10"/>
        <v>64.400000000000006</v>
      </c>
      <c r="AA56" s="72">
        <f t="shared" si="10"/>
        <v>64.699999999999989</v>
      </c>
      <c r="AB56" s="72">
        <f t="shared" si="10"/>
        <v>73.7</v>
      </c>
      <c r="AC56" s="72">
        <f t="shared" si="10"/>
        <v>73.7</v>
      </c>
      <c r="AD56" s="72">
        <f t="shared" si="10"/>
        <v>73.7</v>
      </c>
      <c r="AE56" s="72">
        <f t="shared" si="10"/>
        <v>0</v>
      </c>
      <c r="AF56" s="72">
        <f t="shared" si="10"/>
        <v>0</v>
      </c>
      <c r="AG56" s="78">
        <f>SUM(AG53:AG55)</f>
        <v>106</v>
      </c>
      <c r="AH56" s="54">
        <f t="shared" si="2"/>
        <v>84.1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45</v>
      </c>
      <c r="C57" s="50">
        <v>46</v>
      </c>
      <c r="D57" s="50">
        <v>37.5</v>
      </c>
      <c r="E57" s="50">
        <v>58</v>
      </c>
      <c r="F57" s="50">
        <v>49</v>
      </c>
      <c r="G57" s="50">
        <v>52.9</v>
      </c>
      <c r="H57" s="50">
        <v>50</v>
      </c>
      <c r="I57" s="50">
        <v>57</v>
      </c>
      <c r="J57" s="50">
        <v>32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33.9</v>
      </c>
      <c r="V57" s="50">
        <v>33.9</v>
      </c>
      <c r="W57" s="50">
        <v>54</v>
      </c>
      <c r="X57" s="50">
        <v>64.7</v>
      </c>
      <c r="Y57" s="50">
        <v>61</v>
      </c>
      <c r="Z57" s="50">
        <v>61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64.7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71.400000000000006</v>
      </c>
      <c r="Y58" s="83">
        <v>68</v>
      </c>
      <c r="Z58" s="83">
        <v>68</v>
      </c>
      <c r="AA58" s="83">
        <v>0</v>
      </c>
      <c r="AB58" s="83">
        <v>0</v>
      </c>
      <c r="AC58" s="83">
        <v>0</v>
      </c>
      <c r="AD58" s="83">
        <v>0</v>
      </c>
      <c r="AE58" s="73">
        <v>0</v>
      </c>
      <c r="AF58" s="73">
        <v>0</v>
      </c>
      <c r="AG58" s="67"/>
      <c r="AH58" s="54">
        <f t="shared" si="2"/>
        <v>71.400000000000006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74.900000000000006</v>
      </c>
      <c r="C59" s="73">
        <v>63</v>
      </c>
      <c r="D59" s="73">
        <v>67.900000000000006</v>
      </c>
      <c r="E59" s="73">
        <v>65</v>
      </c>
      <c r="F59" s="73">
        <v>69</v>
      </c>
      <c r="G59" s="73">
        <v>80.599999999999994</v>
      </c>
      <c r="H59" s="50">
        <v>106</v>
      </c>
      <c r="I59" s="50">
        <v>92</v>
      </c>
      <c r="J59" s="50">
        <v>85</v>
      </c>
      <c r="K59" s="50">
        <v>96</v>
      </c>
      <c r="L59" s="50">
        <v>12.3</v>
      </c>
      <c r="M59" s="73">
        <v>67.5</v>
      </c>
      <c r="N59" s="73">
        <v>60</v>
      </c>
      <c r="O59" s="73">
        <v>48</v>
      </c>
      <c r="P59" s="73">
        <v>300</v>
      </c>
      <c r="Q59" s="73">
        <v>289</v>
      </c>
      <c r="R59" s="73">
        <v>282</v>
      </c>
      <c r="S59" s="73">
        <v>248.3</v>
      </c>
      <c r="T59" s="73">
        <v>300</v>
      </c>
      <c r="U59" s="73">
        <v>307</v>
      </c>
      <c r="V59" s="73">
        <v>10</v>
      </c>
      <c r="W59" s="73">
        <v>0</v>
      </c>
      <c r="X59" s="84">
        <v>0</v>
      </c>
      <c r="Y59" s="84">
        <v>-6.8</v>
      </c>
      <c r="Z59" s="84">
        <v>0</v>
      </c>
      <c r="AA59" s="84">
        <v>89</v>
      </c>
      <c r="AB59" s="84">
        <v>120</v>
      </c>
      <c r="AC59" s="84">
        <v>130</v>
      </c>
      <c r="AD59" s="84">
        <v>120</v>
      </c>
      <c r="AE59" s="73">
        <v>175</v>
      </c>
      <c r="AF59" s="73">
        <v>172</v>
      </c>
      <c r="AG59" s="85"/>
      <c r="AH59" s="54">
        <f t="shared" si="2"/>
        <v>307</v>
      </c>
      <c r="AI59" s="55">
        <f t="shared" si="3"/>
        <v>-6.8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52</v>
      </c>
      <c r="M60" s="73">
        <v>50</v>
      </c>
      <c r="N60" s="73">
        <v>35</v>
      </c>
      <c r="O60" s="73">
        <v>45</v>
      </c>
      <c r="P60" s="73">
        <v>65</v>
      </c>
      <c r="Q60" s="73">
        <v>69</v>
      </c>
      <c r="R60" s="73">
        <v>75</v>
      </c>
      <c r="S60" s="73">
        <v>75</v>
      </c>
      <c r="T60" s="73">
        <v>48</v>
      </c>
      <c r="U60" s="73">
        <v>48</v>
      </c>
      <c r="V60" s="73">
        <v>48</v>
      </c>
      <c r="W60" s="73">
        <v>49</v>
      </c>
      <c r="X60" s="73">
        <v>52.7</v>
      </c>
      <c r="Y60" s="73">
        <v>52.7</v>
      </c>
      <c r="Z60" s="73">
        <v>52.7</v>
      </c>
      <c r="AA60" s="73">
        <v>53</v>
      </c>
      <c r="AB60" s="73">
        <v>40</v>
      </c>
      <c r="AC60" s="73">
        <v>40</v>
      </c>
      <c r="AD60" s="73">
        <v>40</v>
      </c>
      <c r="AE60" s="73">
        <v>0</v>
      </c>
      <c r="AF60" s="58">
        <v>0</v>
      </c>
      <c r="AG60" s="85"/>
      <c r="AH60" s="54">
        <f t="shared" si="2"/>
        <v>75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85</v>
      </c>
      <c r="O61" s="50">
        <v>91</v>
      </c>
      <c r="P61" s="50">
        <v>90</v>
      </c>
      <c r="Q61" s="50">
        <v>0</v>
      </c>
      <c r="R61" s="50">
        <v>0</v>
      </c>
      <c r="S61" s="50">
        <v>0</v>
      </c>
      <c r="T61" s="50">
        <v>24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91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50">
        <v>0</v>
      </c>
      <c r="R62" s="50">
        <v>0</v>
      </c>
      <c r="S62" s="50">
        <v>0</v>
      </c>
      <c r="T62" s="5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0">
        <v>0</v>
      </c>
      <c r="L63" s="50">
        <v>0</v>
      </c>
      <c r="M63" s="50">
        <v>0</v>
      </c>
      <c r="N63" s="60">
        <v>0</v>
      </c>
      <c r="O63" s="60">
        <v>0</v>
      </c>
      <c r="P63" s="60">
        <v>0</v>
      </c>
      <c r="Q63" s="50">
        <v>0</v>
      </c>
      <c r="R63" s="5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73">
        <v>0</v>
      </c>
      <c r="L66" s="73">
        <v>0</v>
      </c>
      <c r="M66" s="73">
        <v>0</v>
      </c>
      <c r="N66" s="63">
        <v>0</v>
      </c>
      <c r="O66" s="63">
        <v>0</v>
      </c>
      <c r="P66" s="63">
        <v>0</v>
      </c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0">
        <v>0</v>
      </c>
      <c r="L67" s="50">
        <v>0</v>
      </c>
      <c r="M67" s="50">
        <v>0</v>
      </c>
      <c r="N67" s="63">
        <v>0</v>
      </c>
      <c r="O67" s="63">
        <v>0</v>
      </c>
      <c r="P67" s="63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119.9</v>
      </c>
      <c r="C68" s="72">
        <f>SUM(C57:C67)</f>
        <v>109</v>
      </c>
      <c r="D68" s="72">
        <f t="shared" ref="D68:AF68" si="11">SUM(D57:D67)</f>
        <v>105.4</v>
      </c>
      <c r="E68" s="72">
        <f t="shared" si="11"/>
        <v>123</v>
      </c>
      <c r="F68" s="72">
        <f t="shared" si="11"/>
        <v>118</v>
      </c>
      <c r="G68" s="72">
        <f t="shared" si="11"/>
        <v>133.5</v>
      </c>
      <c r="H68" s="72">
        <f t="shared" si="11"/>
        <v>156</v>
      </c>
      <c r="I68" s="72">
        <f t="shared" si="11"/>
        <v>149</v>
      </c>
      <c r="J68" s="72">
        <f t="shared" si="11"/>
        <v>117</v>
      </c>
      <c r="K68" s="72">
        <f t="shared" si="11"/>
        <v>96</v>
      </c>
      <c r="L68" s="72">
        <f t="shared" si="11"/>
        <v>64.3</v>
      </c>
      <c r="M68" s="72">
        <f t="shared" si="11"/>
        <v>117.5</v>
      </c>
      <c r="N68" s="72">
        <f t="shared" si="11"/>
        <v>180</v>
      </c>
      <c r="O68" s="72">
        <f t="shared" si="11"/>
        <v>184</v>
      </c>
      <c r="P68" s="72">
        <f t="shared" si="11"/>
        <v>455</v>
      </c>
      <c r="Q68" s="72">
        <f t="shared" si="11"/>
        <v>358</v>
      </c>
      <c r="R68" s="72">
        <f t="shared" si="11"/>
        <v>357</v>
      </c>
      <c r="S68" s="72">
        <f t="shared" si="11"/>
        <v>323.3</v>
      </c>
      <c r="T68" s="72">
        <f t="shared" si="11"/>
        <v>372</v>
      </c>
      <c r="U68" s="72">
        <f t="shared" si="11"/>
        <v>388.9</v>
      </c>
      <c r="V68" s="72">
        <f t="shared" si="11"/>
        <v>91.9</v>
      </c>
      <c r="W68" s="72">
        <f t="shared" si="11"/>
        <v>103</v>
      </c>
      <c r="X68" s="72">
        <f t="shared" si="11"/>
        <v>188.8</v>
      </c>
      <c r="Y68" s="72">
        <f t="shared" si="11"/>
        <v>174.9</v>
      </c>
      <c r="Z68" s="72">
        <f t="shared" si="11"/>
        <v>181.7</v>
      </c>
      <c r="AA68" s="72">
        <f t="shared" si="11"/>
        <v>142</v>
      </c>
      <c r="AB68" s="72">
        <f t="shared" si="11"/>
        <v>160</v>
      </c>
      <c r="AC68" s="72">
        <f t="shared" si="11"/>
        <v>170</v>
      </c>
      <c r="AD68" s="72">
        <f t="shared" si="11"/>
        <v>160</v>
      </c>
      <c r="AE68" s="72">
        <f t="shared" si="11"/>
        <v>175</v>
      </c>
      <c r="AF68" s="72">
        <f t="shared" si="11"/>
        <v>172</v>
      </c>
      <c r="AG68" s="78">
        <f>SUM(AG57:AG67)</f>
        <v>0</v>
      </c>
      <c r="AH68" s="54">
        <f t="shared" si="2"/>
        <v>455</v>
      </c>
      <c r="AI68" s="55">
        <f t="shared" si="3"/>
        <v>64.3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2">SUM(D69:D71)</f>
        <v>0</v>
      </c>
      <c r="E72" s="72">
        <f t="shared" si="12"/>
        <v>0</v>
      </c>
      <c r="F72" s="72">
        <f t="shared" si="12"/>
        <v>0</v>
      </c>
      <c r="G72" s="72">
        <f t="shared" si="12"/>
        <v>0</v>
      </c>
      <c r="H72" s="72">
        <f t="shared" si="12"/>
        <v>0</v>
      </c>
      <c r="I72" s="72">
        <f t="shared" si="12"/>
        <v>0</v>
      </c>
      <c r="J72" s="72">
        <f t="shared" si="12"/>
        <v>0</v>
      </c>
      <c r="K72" s="72">
        <f t="shared" si="12"/>
        <v>0</v>
      </c>
      <c r="L72" s="72">
        <f t="shared" si="12"/>
        <v>0</v>
      </c>
      <c r="M72" s="72">
        <f t="shared" si="12"/>
        <v>0</v>
      </c>
      <c r="N72" s="72">
        <f t="shared" si="12"/>
        <v>0</v>
      </c>
      <c r="O72" s="72">
        <f t="shared" si="12"/>
        <v>0</v>
      </c>
      <c r="P72" s="72">
        <f t="shared" si="12"/>
        <v>0</v>
      </c>
      <c r="Q72" s="72">
        <f t="shared" si="12"/>
        <v>0</v>
      </c>
      <c r="R72" s="72">
        <f t="shared" si="12"/>
        <v>0</v>
      </c>
      <c r="S72" s="72">
        <f t="shared" si="12"/>
        <v>0</v>
      </c>
      <c r="T72" s="72">
        <f t="shared" si="12"/>
        <v>0</v>
      </c>
      <c r="U72" s="72">
        <f t="shared" si="12"/>
        <v>0</v>
      </c>
      <c r="V72" s="72">
        <f t="shared" si="12"/>
        <v>0</v>
      </c>
      <c r="W72" s="72">
        <f t="shared" si="12"/>
        <v>0</v>
      </c>
      <c r="X72" s="72">
        <f t="shared" si="12"/>
        <v>0</v>
      </c>
      <c r="Y72" s="72">
        <f t="shared" si="12"/>
        <v>0</v>
      </c>
      <c r="Z72" s="72">
        <f t="shared" si="12"/>
        <v>0</v>
      </c>
      <c r="AA72" s="72">
        <f t="shared" si="12"/>
        <v>0</v>
      </c>
      <c r="AB72" s="72">
        <f t="shared" si="12"/>
        <v>0</v>
      </c>
      <c r="AC72" s="72">
        <f t="shared" si="12"/>
        <v>0</v>
      </c>
      <c r="AD72" s="72">
        <f t="shared" si="12"/>
        <v>0</v>
      </c>
      <c r="AE72" s="72">
        <f t="shared" si="12"/>
        <v>0</v>
      </c>
      <c r="AF72" s="72">
        <f t="shared" si="12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889.04</v>
      </c>
      <c r="C73" s="89">
        <f>C68+C56+C52+C38+C72</f>
        <v>854.24</v>
      </c>
      <c r="D73" s="89">
        <f t="shared" ref="D73:AG73" si="13">D68+D56+D52+D38+D72</f>
        <v>837.54</v>
      </c>
      <c r="E73" s="89">
        <f t="shared" si="13"/>
        <v>841.33999999999992</v>
      </c>
      <c r="F73" s="89">
        <f t="shared" si="13"/>
        <v>812.33999999999992</v>
      </c>
      <c r="G73" s="89">
        <f t="shared" si="13"/>
        <v>876.83999999999992</v>
      </c>
      <c r="H73" s="89">
        <f t="shared" si="13"/>
        <v>949.33999999999992</v>
      </c>
      <c r="I73" s="89">
        <f t="shared" si="13"/>
        <v>1049.3399999999999</v>
      </c>
      <c r="J73" s="89">
        <f t="shared" si="13"/>
        <v>1219.3399999999999</v>
      </c>
      <c r="K73" s="89">
        <f t="shared" si="13"/>
        <v>1247.3399999999999</v>
      </c>
      <c r="L73" s="89">
        <f t="shared" si="13"/>
        <v>1438.3400000000001</v>
      </c>
      <c r="M73" s="89">
        <f t="shared" si="13"/>
        <v>1443.44</v>
      </c>
      <c r="N73" s="89">
        <f t="shared" si="13"/>
        <v>1386.94</v>
      </c>
      <c r="O73" s="89">
        <f t="shared" si="13"/>
        <v>1373.04</v>
      </c>
      <c r="P73" s="89">
        <f t="shared" si="13"/>
        <v>1364.6399999999999</v>
      </c>
      <c r="Q73" s="89">
        <f t="shared" si="13"/>
        <v>1225.24</v>
      </c>
      <c r="R73" s="89">
        <f t="shared" si="13"/>
        <v>1148.44</v>
      </c>
      <c r="S73" s="89">
        <f t="shared" si="13"/>
        <v>1149.8400000000001</v>
      </c>
      <c r="T73" s="89">
        <f t="shared" si="13"/>
        <v>1198.8399999999999</v>
      </c>
      <c r="U73" s="89">
        <f t="shared" si="13"/>
        <v>1276.8399999999999</v>
      </c>
      <c r="V73" s="89">
        <f t="shared" si="13"/>
        <v>1385.1399999999999</v>
      </c>
      <c r="W73" s="89">
        <f t="shared" si="13"/>
        <v>1469.1399999999999</v>
      </c>
      <c r="X73" s="89">
        <f t="shared" si="13"/>
        <v>1540.04</v>
      </c>
      <c r="Y73" s="89">
        <f t="shared" si="13"/>
        <v>1506.1399999999999</v>
      </c>
      <c r="Z73" s="89">
        <f t="shared" si="13"/>
        <v>1492.94</v>
      </c>
      <c r="AA73" s="89">
        <f t="shared" si="13"/>
        <v>1366.34</v>
      </c>
      <c r="AB73" s="89">
        <f t="shared" si="13"/>
        <v>1347.34</v>
      </c>
      <c r="AC73" s="89">
        <f t="shared" si="13"/>
        <v>1357.34</v>
      </c>
      <c r="AD73" s="89">
        <f t="shared" si="13"/>
        <v>1227.3399999999999</v>
      </c>
      <c r="AE73" s="89">
        <f t="shared" si="13"/>
        <v>1028.3399999999999</v>
      </c>
      <c r="AF73" s="89">
        <f t="shared" si="13"/>
        <v>945.33999999999992</v>
      </c>
      <c r="AG73" s="89">
        <f t="shared" si="13"/>
        <v>2144.14</v>
      </c>
      <c r="AH73" s="54">
        <f t="shared" si="2"/>
        <v>1540.04</v>
      </c>
      <c r="AI73" s="55">
        <f t="shared" si="3"/>
        <v>812.33999999999992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889.04</v>
      </c>
      <c r="C75" s="89">
        <f>C73+C74</f>
        <v>854.24</v>
      </c>
      <c r="D75" s="89">
        <f t="shared" ref="D75:AF75" si="14">D72+D68+D56+D52+D38+D74</f>
        <v>837.54</v>
      </c>
      <c r="E75" s="89">
        <f t="shared" si="14"/>
        <v>841.33999999999992</v>
      </c>
      <c r="F75" s="89">
        <f t="shared" si="14"/>
        <v>812.33999999999992</v>
      </c>
      <c r="G75" s="89">
        <f t="shared" si="14"/>
        <v>876.83999999999992</v>
      </c>
      <c r="H75" s="89">
        <f t="shared" si="14"/>
        <v>949.33999999999992</v>
      </c>
      <c r="I75" s="89">
        <f t="shared" si="14"/>
        <v>1049.3399999999999</v>
      </c>
      <c r="J75" s="89">
        <f t="shared" si="14"/>
        <v>1219.3399999999999</v>
      </c>
      <c r="K75" s="89">
        <f t="shared" si="14"/>
        <v>1247.3399999999999</v>
      </c>
      <c r="L75" s="89">
        <f t="shared" si="14"/>
        <v>1438.3400000000001</v>
      </c>
      <c r="M75" s="89">
        <f t="shared" si="14"/>
        <v>1443.44</v>
      </c>
      <c r="N75" s="89">
        <f t="shared" si="14"/>
        <v>1386.94</v>
      </c>
      <c r="O75" s="89">
        <f t="shared" si="14"/>
        <v>1373.04</v>
      </c>
      <c r="P75" s="89">
        <f t="shared" si="14"/>
        <v>1364.6399999999999</v>
      </c>
      <c r="Q75" s="89">
        <f t="shared" si="14"/>
        <v>1225.24</v>
      </c>
      <c r="R75" s="89">
        <f t="shared" si="14"/>
        <v>1148.44</v>
      </c>
      <c r="S75" s="89">
        <f t="shared" si="14"/>
        <v>1149.8400000000001</v>
      </c>
      <c r="T75" s="89">
        <f t="shared" si="14"/>
        <v>1198.8399999999999</v>
      </c>
      <c r="U75" s="89">
        <f t="shared" si="14"/>
        <v>1276.8399999999999</v>
      </c>
      <c r="V75" s="89">
        <f t="shared" si="14"/>
        <v>1385.1399999999999</v>
      </c>
      <c r="W75" s="89">
        <f t="shared" si="14"/>
        <v>1469.1399999999999</v>
      </c>
      <c r="X75" s="89">
        <f t="shared" si="14"/>
        <v>1540.04</v>
      </c>
      <c r="Y75" s="89">
        <f t="shared" si="14"/>
        <v>1506.1399999999999</v>
      </c>
      <c r="Z75" s="89">
        <f t="shared" si="14"/>
        <v>1492.94</v>
      </c>
      <c r="AA75" s="89">
        <f t="shared" si="14"/>
        <v>1366.34</v>
      </c>
      <c r="AB75" s="89">
        <f t="shared" si="14"/>
        <v>1347.34</v>
      </c>
      <c r="AC75" s="89">
        <f t="shared" si="14"/>
        <v>1357.34</v>
      </c>
      <c r="AD75" s="89">
        <f t="shared" si="14"/>
        <v>1227.3399999999999</v>
      </c>
      <c r="AE75" s="89">
        <f t="shared" si="14"/>
        <v>1028.3399999999999</v>
      </c>
      <c r="AF75" s="89">
        <f t="shared" si="14"/>
        <v>945.33999999999992</v>
      </c>
      <c r="AG75" s="78">
        <f>AG72+AG68+AG56+AG52+AG38+AG74</f>
        <v>2144.14</v>
      </c>
      <c r="AH75" s="54">
        <f t="shared" si="2"/>
        <v>1540.04</v>
      </c>
      <c r="AI75" s="55">
        <f t="shared" si="3"/>
        <v>812.33999999999992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5">IF(D60&lt;0,D60*-1,0)</f>
        <v>0</v>
      </c>
      <c r="E76" s="58">
        <f t="shared" si="15"/>
        <v>0</v>
      </c>
      <c r="F76" s="58">
        <f t="shared" si="15"/>
        <v>0</v>
      </c>
      <c r="G76" s="58">
        <f t="shared" si="15"/>
        <v>0</v>
      </c>
      <c r="H76" s="58">
        <f t="shared" si="15"/>
        <v>0</v>
      </c>
      <c r="I76" s="58">
        <f t="shared" si="15"/>
        <v>0</v>
      </c>
      <c r="J76" s="58">
        <f t="shared" si="15"/>
        <v>0</v>
      </c>
      <c r="K76" s="58">
        <f t="shared" si="15"/>
        <v>0</v>
      </c>
      <c r="L76" s="58">
        <f t="shared" si="15"/>
        <v>0</v>
      </c>
      <c r="M76" s="58">
        <f t="shared" si="15"/>
        <v>0</v>
      </c>
      <c r="N76" s="58">
        <f t="shared" si="15"/>
        <v>0</v>
      </c>
      <c r="O76" s="58">
        <f t="shared" si="15"/>
        <v>0</v>
      </c>
      <c r="P76" s="58">
        <f t="shared" si="15"/>
        <v>0</v>
      </c>
      <c r="Q76" s="58">
        <f t="shared" si="15"/>
        <v>0</v>
      </c>
      <c r="R76" s="58">
        <f t="shared" si="15"/>
        <v>0</v>
      </c>
      <c r="S76" s="58">
        <f t="shared" si="15"/>
        <v>0</v>
      </c>
      <c r="T76" s="58">
        <f t="shared" si="15"/>
        <v>0</v>
      </c>
      <c r="U76" s="58">
        <f t="shared" si="15"/>
        <v>0</v>
      </c>
      <c r="V76" s="58">
        <f t="shared" si="15"/>
        <v>0</v>
      </c>
      <c r="W76" s="58">
        <f t="shared" si="15"/>
        <v>0</v>
      </c>
      <c r="X76" s="58">
        <f t="shared" si="15"/>
        <v>0</v>
      </c>
      <c r="Y76" s="58">
        <f t="shared" si="15"/>
        <v>0</v>
      </c>
      <c r="Z76" s="58">
        <f t="shared" si="15"/>
        <v>0</v>
      </c>
      <c r="AA76" s="58">
        <f t="shared" si="15"/>
        <v>0</v>
      </c>
      <c r="AB76" s="58">
        <f t="shared" si="15"/>
        <v>0</v>
      </c>
      <c r="AC76" s="58">
        <f t="shared" si="15"/>
        <v>0</v>
      </c>
      <c r="AD76" s="58">
        <f t="shared" si="15"/>
        <v>0</v>
      </c>
      <c r="AE76" s="58">
        <f t="shared" si="15"/>
        <v>0</v>
      </c>
      <c r="AF76" s="58">
        <f t="shared" si="15"/>
        <v>0</v>
      </c>
      <c r="AG76" s="62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8">IF(D58&lt;0,D58*-1,0)</f>
        <v>0</v>
      </c>
      <c r="E77" s="58">
        <f t="shared" si="18"/>
        <v>0</v>
      </c>
      <c r="F77" s="58">
        <f t="shared" si="18"/>
        <v>0</v>
      </c>
      <c r="G77" s="58">
        <f t="shared" si="18"/>
        <v>0</v>
      </c>
      <c r="H77" s="58">
        <f t="shared" si="18"/>
        <v>0</v>
      </c>
      <c r="I77" s="58">
        <f t="shared" si="18"/>
        <v>0</v>
      </c>
      <c r="J77" s="58">
        <f t="shared" si="18"/>
        <v>0</v>
      </c>
      <c r="K77" s="58">
        <f t="shared" si="18"/>
        <v>0</v>
      </c>
      <c r="L77" s="58">
        <f t="shared" si="18"/>
        <v>0</v>
      </c>
      <c r="M77" s="58">
        <f t="shared" si="18"/>
        <v>0</v>
      </c>
      <c r="N77" s="58">
        <f t="shared" si="18"/>
        <v>0</v>
      </c>
      <c r="O77" s="58">
        <f t="shared" si="18"/>
        <v>0</v>
      </c>
      <c r="P77" s="58">
        <f t="shared" si="18"/>
        <v>0</v>
      </c>
      <c r="Q77" s="58">
        <f t="shared" si="18"/>
        <v>0</v>
      </c>
      <c r="R77" s="58">
        <f t="shared" si="18"/>
        <v>0</v>
      </c>
      <c r="S77" s="58">
        <f t="shared" si="18"/>
        <v>0</v>
      </c>
      <c r="T77" s="58">
        <f t="shared" si="18"/>
        <v>0</v>
      </c>
      <c r="U77" s="58">
        <f t="shared" si="18"/>
        <v>0</v>
      </c>
      <c r="V77" s="58">
        <f t="shared" si="18"/>
        <v>0</v>
      </c>
      <c r="W77" s="58">
        <f t="shared" si="18"/>
        <v>0</v>
      </c>
      <c r="X77" s="58">
        <f t="shared" si="18"/>
        <v>0</v>
      </c>
      <c r="Y77" s="58">
        <f t="shared" si="18"/>
        <v>0</v>
      </c>
      <c r="Z77" s="58">
        <f t="shared" si="18"/>
        <v>0</v>
      </c>
      <c r="AA77" s="58">
        <f t="shared" si="18"/>
        <v>0</v>
      </c>
      <c r="AB77" s="58">
        <f t="shared" si="18"/>
        <v>0</v>
      </c>
      <c r="AC77" s="58">
        <f t="shared" si="18"/>
        <v>0</v>
      </c>
      <c r="AD77" s="58">
        <f t="shared" si="18"/>
        <v>0</v>
      </c>
      <c r="AE77" s="58">
        <f t="shared" si="18"/>
        <v>0</v>
      </c>
      <c r="AF77" s="58">
        <f t="shared" si="18"/>
        <v>0</v>
      </c>
      <c r="AG77" s="67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9">IF(D61&lt;0,D61*-1,0)</f>
        <v>0</v>
      </c>
      <c r="E78" s="58">
        <f t="shared" si="19"/>
        <v>0</v>
      </c>
      <c r="F78" s="58">
        <f t="shared" si="19"/>
        <v>0</v>
      </c>
      <c r="G78" s="58">
        <f t="shared" si="19"/>
        <v>0</v>
      </c>
      <c r="H78" s="58">
        <f t="shared" si="19"/>
        <v>0</v>
      </c>
      <c r="I78" s="58">
        <f t="shared" si="19"/>
        <v>0</v>
      </c>
      <c r="J78" s="58">
        <f t="shared" si="19"/>
        <v>0</v>
      </c>
      <c r="K78" s="58">
        <f t="shared" si="19"/>
        <v>0</v>
      </c>
      <c r="L78" s="58">
        <f t="shared" si="19"/>
        <v>0</v>
      </c>
      <c r="M78" s="58">
        <f t="shared" si="19"/>
        <v>0</v>
      </c>
      <c r="N78" s="58">
        <f t="shared" si="19"/>
        <v>0</v>
      </c>
      <c r="O78" s="58">
        <f t="shared" si="19"/>
        <v>0</v>
      </c>
      <c r="P78" s="58">
        <f t="shared" si="19"/>
        <v>0</v>
      </c>
      <c r="Q78" s="58">
        <f t="shared" si="19"/>
        <v>0</v>
      </c>
      <c r="R78" s="58">
        <f t="shared" si="19"/>
        <v>0</v>
      </c>
      <c r="S78" s="58">
        <f t="shared" si="19"/>
        <v>0</v>
      </c>
      <c r="T78" s="58">
        <f t="shared" si="19"/>
        <v>0</v>
      </c>
      <c r="U78" s="58">
        <f t="shared" si="19"/>
        <v>0</v>
      </c>
      <c r="V78" s="58">
        <f t="shared" si="19"/>
        <v>0</v>
      </c>
      <c r="W78" s="58">
        <f t="shared" si="19"/>
        <v>0</v>
      </c>
      <c r="X78" s="58">
        <f t="shared" si="19"/>
        <v>0</v>
      </c>
      <c r="Y78" s="58">
        <f t="shared" si="19"/>
        <v>0</v>
      </c>
      <c r="Z78" s="58">
        <f t="shared" si="19"/>
        <v>0</v>
      </c>
      <c r="AA78" s="58">
        <f t="shared" si="19"/>
        <v>0</v>
      </c>
      <c r="AB78" s="58">
        <f t="shared" si="19"/>
        <v>0</v>
      </c>
      <c r="AC78" s="58">
        <f t="shared" si="19"/>
        <v>0</v>
      </c>
      <c r="AD78" s="58">
        <f t="shared" si="19"/>
        <v>0</v>
      </c>
      <c r="AE78" s="58">
        <f t="shared" si="19"/>
        <v>0</v>
      </c>
      <c r="AF78" s="58">
        <f t="shared" si="19"/>
        <v>0</v>
      </c>
      <c r="AG78" s="92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20">IF(D59&lt;0,D59*-1,0)</f>
        <v>0</v>
      </c>
      <c r="E79" s="58">
        <f t="shared" si="20"/>
        <v>0</v>
      </c>
      <c r="F79" s="58">
        <f t="shared" si="20"/>
        <v>0</v>
      </c>
      <c r="G79" s="58">
        <f t="shared" si="20"/>
        <v>0</v>
      </c>
      <c r="H79" s="58">
        <f t="shared" si="20"/>
        <v>0</v>
      </c>
      <c r="I79" s="58">
        <f t="shared" si="20"/>
        <v>0</v>
      </c>
      <c r="J79" s="58">
        <f t="shared" si="20"/>
        <v>0</v>
      </c>
      <c r="K79" s="58">
        <f t="shared" si="20"/>
        <v>0</v>
      </c>
      <c r="L79" s="58">
        <f t="shared" si="20"/>
        <v>0</v>
      </c>
      <c r="M79" s="58">
        <f t="shared" si="20"/>
        <v>0</v>
      </c>
      <c r="N79" s="58">
        <f t="shared" si="20"/>
        <v>0</v>
      </c>
      <c r="O79" s="58">
        <f t="shared" si="20"/>
        <v>0</v>
      </c>
      <c r="P79" s="58">
        <f t="shared" si="20"/>
        <v>0</v>
      </c>
      <c r="Q79" s="58">
        <f t="shared" si="20"/>
        <v>0</v>
      </c>
      <c r="R79" s="58">
        <f t="shared" si="20"/>
        <v>0</v>
      </c>
      <c r="S79" s="58">
        <f t="shared" si="20"/>
        <v>0</v>
      </c>
      <c r="T79" s="58">
        <f t="shared" si="20"/>
        <v>0</v>
      </c>
      <c r="U79" s="58">
        <f t="shared" si="20"/>
        <v>0</v>
      </c>
      <c r="V79" s="58">
        <f t="shared" si="20"/>
        <v>0</v>
      </c>
      <c r="W79" s="58">
        <f t="shared" si="20"/>
        <v>0</v>
      </c>
      <c r="X79" s="58">
        <f t="shared" si="20"/>
        <v>0</v>
      </c>
      <c r="Y79" s="58">
        <f t="shared" si="20"/>
        <v>6.8</v>
      </c>
      <c r="Z79" s="58">
        <f t="shared" si="20"/>
        <v>0</v>
      </c>
      <c r="AA79" s="58">
        <f t="shared" si="20"/>
        <v>0</v>
      </c>
      <c r="AB79" s="58">
        <f t="shared" si="20"/>
        <v>0</v>
      </c>
      <c r="AC79" s="58">
        <f t="shared" si="20"/>
        <v>0</v>
      </c>
      <c r="AD79" s="58">
        <f t="shared" si="20"/>
        <v>0</v>
      </c>
      <c r="AE79" s="58">
        <f t="shared" si="20"/>
        <v>0</v>
      </c>
      <c r="AF79" s="58">
        <f t="shared" si="20"/>
        <v>0</v>
      </c>
      <c r="AG79" s="92"/>
      <c r="AH79" s="54">
        <f t="shared" si="16"/>
        <v>6.8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1">IF(D57&lt;0,D57*-1,0)</f>
        <v>0</v>
      </c>
      <c r="E80" s="58">
        <f t="shared" si="21"/>
        <v>0</v>
      </c>
      <c r="F80" s="58">
        <f t="shared" si="21"/>
        <v>0</v>
      </c>
      <c r="G80" s="58">
        <f t="shared" si="21"/>
        <v>0</v>
      </c>
      <c r="H80" s="58">
        <f t="shared" si="21"/>
        <v>0</v>
      </c>
      <c r="I80" s="58">
        <f t="shared" si="21"/>
        <v>0</v>
      </c>
      <c r="J80" s="58">
        <f t="shared" si="21"/>
        <v>0</v>
      </c>
      <c r="K80" s="58">
        <f t="shared" si="21"/>
        <v>0</v>
      </c>
      <c r="L80" s="58">
        <f t="shared" si="21"/>
        <v>0</v>
      </c>
      <c r="M80" s="58">
        <f t="shared" si="21"/>
        <v>0</v>
      </c>
      <c r="N80" s="58">
        <f t="shared" si="21"/>
        <v>0</v>
      </c>
      <c r="O80" s="58">
        <f t="shared" si="21"/>
        <v>0</v>
      </c>
      <c r="P80" s="58">
        <f t="shared" si="21"/>
        <v>0</v>
      </c>
      <c r="Q80" s="58">
        <f t="shared" si="21"/>
        <v>0</v>
      </c>
      <c r="R80" s="58">
        <f t="shared" si="21"/>
        <v>0</v>
      </c>
      <c r="S80" s="58">
        <f t="shared" si="21"/>
        <v>0</v>
      </c>
      <c r="T80" s="58">
        <f t="shared" si="21"/>
        <v>0</v>
      </c>
      <c r="U80" s="58">
        <f t="shared" si="21"/>
        <v>0</v>
      </c>
      <c r="V80" s="58">
        <f t="shared" si="21"/>
        <v>0</v>
      </c>
      <c r="W80" s="58">
        <f t="shared" si="21"/>
        <v>0</v>
      </c>
      <c r="X80" s="58">
        <f t="shared" si="21"/>
        <v>0</v>
      </c>
      <c r="Y80" s="58">
        <f t="shared" si="21"/>
        <v>0</v>
      </c>
      <c r="Z80" s="58">
        <f t="shared" si="21"/>
        <v>0</v>
      </c>
      <c r="AA80" s="58">
        <f t="shared" si="21"/>
        <v>0</v>
      </c>
      <c r="AB80" s="58">
        <f t="shared" si="21"/>
        <v>0</v>
      </c>
      <c r="AC80" s="58">
        <f t="shared" si="21"/>
        <v>0</v>
      </c>
      <c r="AD80" s="58">
        <f t="shared" si="21"/>
        <v>0</v>
      </c>
      <c r="AE80" s="58">
        <f t="shared" si="21"/>
        <v>0</v>
      </c>
      <c r="AF80" s="58">
        <f t="shared" si="21"/>
        <v>0</v>
      </c>
      <c r="AG80" s="92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2">SUM(C76:C81)</f>
        <v>0</v>
      </c>
      <c r="D82" s="72">
        <f t="shared" si="22"/>
        <v>0</v>
      </c>
      <c r="E82" s="72">
        <f t="shared" si="22"/>
        <v>0</v>
      </c>
      <c r="F82" s="72">
        <f t="shared" si="22"/>
        <v>0</v>
      </c>
      <c r="G82" s="72">
        <f t="shared" si="22"/>
        <v>0</v>
      </c>
      <c r="H82" s="72">
        <f t="shared" si="22"/>
        <v>0</v>
      </c>
      <c r="I82" s="72">
        <f t="shared" si="22"/>
        <v>0</v>
      </c>
      <c r="J82" s="72">
        <f t="shared" si="22"/>
        <v>0</v>
      </c>
      <c r="K82" s="72">
        <f t="shared" si="22"/>
        <v>0</v>
      </c>
      <c r="L82" s="72">
        <f t="shared" si="22"/>
        <v>0</v>
      </c>
      <c r="M82" s="72">
        <f t="shared" si="22"/>
        <v>0</v>
      </c>
      <c r="N82" s="72">
        <f t="shared" si="22"/>
        <v>0</v>
      </c>
      <c r="O82" s="72">
        <f t="shared" si="22"/>
        <v>0</v>
      </c>
      <c r="P82" s="72">
        <f t="shared" si="22"/>
        <v>0</v>
      </c>
      <c r="Q82" s="72">
        <f t="shared" si="22"/>
        <v>0</v>
      </c>
      <c r="R82" s="72">
        <f t="shared" si="22"/>
        <v>0</v>
      </c>
      <c r="S82" s="72">
        <f t="shared" si="22"/>
        <v>0</v>
      </c>
      <c r="T82" s="72">
        <f t="shared" si="22"/>
        <v>0</v>
      </c>
      <c r="U82" s="72">
        <f t="shared" si="22"/>
        <v>0</v>
      </c>
      <c r="V82" s="72">
        <f t="shared" si="22"/>
        <v>0</v>
      </c>
      <c r="W82" s="72">
        <f t="shared" si="22"/>
        <v>0</v>
      </c>
      <c r="X82" s="72">
        <f t="shared" si="22"/>
        <v>0</v>
      </c>
      <c r="Y82" s="72">
        <f t="shared" si="22"/>
        <v>6.8</v>
      </c>
      <c r="Z82" s="72">
        <f t="shared" si="22"/>
        <v>0</v>
      </c>
      <c r="AA82" s="72">
        <f t="shared" si="22"/>
        <v>0</v>
      </c>
      <c r="AB82" s="72">
        <f t="shared" si="22"/>
        <v>0</v>
      </c>
      <c r="AC82" s="72">
        <f t="shared" si="22"/>
        <v>0</v>
      </c>
      <c r="AD82" s="72">
        <f t="shared" si="22"/>
        <v>0</v>
      </c>
      <c r="AE82" s="72">
        <f t="shared" si="22"/>
        <v>0</v>
      </c>
      <c r="AF82" s="72">
        <f t="shared" si="22"/>
        <v>0</v>
      </c>
      <c r="AG82" s="78">
        <f t="shared" si="22"/>
        <v>0</v>
      </c>
      <c r="AH82" s="54">
        <f t="shared" si="16"/>
        <v>6.8</v>
      </c>
      <c r="AI82" s="55">
        <f t="shared" si="17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1778.08</v>
      </c>
      <c r="C83" s="72">
        <f t="shared" ref="C83:AG83" si="23">SUM(C70:C82)</f>
        <v>1708.48</v>
      </c>
      <c r="D83" s="72">
        <f t="shared" si="23"/>
        <v>1675.08</v>
      </c>
      <c r="E83" s="72">
        <f t="shared" si="23"/>
        <v>1682.6799999999998</v>
      </c>
      <c r="F83" s="72">
        <f t="shared" si="23"/>
        <v>1624.6799999999998</v>
      </c>
      <c r="G83" s="72">
        <f t="shared" si="23"/>
        <v>1753.6799999999998</v>
      </c>
      <c r="H83" s="72">
        <f t="shared" si="23"/>
        <v>1898.6799999999998</v>
      </c>
      <c r="I83" s="72">
        <f t="shared" si="23"/>
        <v>2098.6799999999998</v>
      </c>
      <c r="J83" s="72">
        <f t="shared" si="23"/>
        <v>2438.6799999999998</v>
      </c>
      <c r="K83" s="72">
        <f t="shared" si="23"/>
        <v>2494.6799999999998</v>
      </c>
      <c r="L83" s="72">
        <f t="shared" si="23"/>
        <v>2876.6800000000003</v>
      </c>
      <c r="M83" s="72">
        <f t="shared" si="23"/>
        <v>2886.88</v>
      </c>
      <c r="N83" s="72">
        <f t="shared" si="23"/>
        <v>2773.88</v>
      </c>
      <c r="O83" s="72">
        <f t="shared" si="23"/>
        <v>2746.08</v>
      </c>
      <c r="P83" s="72">
        <f t="shared" si="23"/>
        <v>2729.2799999999997</v>
      </c>
      <c r="Q83" s="72">
        <f t="shared" si="23"/>
        <v>2450.48</v>
      </c>
      <c r="R83" s="72">
        <f t="shared" si="23"/>
        <v>2296.88</v>
      </c>
      <c r="S83" s="72">
        <f t="shared" si="23"/>
        <v>2299.6800000000003</v>
      </c>
      <c r="T83" s="72">
        <f t="shared" si="23"/>
        <v>2397.6799999999998</v>
      </c>
      <c r="U83" s="72">
        <f t="shared" si="23"/>
        <v>2553.6799999999998</v>
      </c>
      <c r="V83" s="72">
        <f t="shared" si="23"/>
        <v>2770.2799999999997</v>
      </c>
      <c r="W83" s="72">
        <f t="shared" si="23"/>
        <v>2938.2799999999997</v>
      </c>
      <c r="X83" s="72">
        <f t="shared" si="23"/>
        <v>3080.08</v>
      </c>
      <c r="Y83" s="72">
        <f t="shared" si="23"/>
        <v>3025.88</v>
      </c>
      <c r="Z83" s="72">
        <f t="shared" si="23"/>
        <v>2985.88</v>
      </c>
      <c r="AA83" s="72">
        <f t="shared" si="23"/>
        <v>2732.68</v>
      </c>
      <c r="AB83" s="72">
        <f t="shared" si="23"/>
        <v>2694.68</v>
      </c>
      <c r="AC83" s="72">
        <f t="shared" si="23"/>
        <v>2714.68</v>
      </c>
      <c r="AD83" s="72">
        <f t="shared" si="23"/>
        <v>2454.6799999999998</v>
      </c>
      <c r="AE83" s="72">
        <f t="shared" si="23"/>
        <v>2056.6799999999998</v>
      </c>
      <c r="AF83" s="72">
        <f t="shared" si="23"/>
        <v>1890.6799999999998</v>
      </c>
      <c r="AG83" s="78">
        <f t="shared" si="23"/>
        <v>4360.08</v>
      </c>
      <c r="AH83" s="54">
        <f t="shared" si="16"/>
        <v>3080.08</v>
      </c>
      <c r="AI83" s="55">
        <f t="shared" si="17"/>
        <v>1624.6799999999998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50.1</v>
      </c>
      <c r="C84" s="171">
        <v>50.087000000000003</v>
      </c>
      <c r="D84" s="171">
        <v>50.220999999999997</v>
      </c>
      <c r="E84" s="95">
        <v>50.220999999999997</v>
      </c>
      <c r="F84" s="95">
        <v>50.097000000000001</v>
      </c>
      <c r="G84" s="95">
        <v>50.029000000000003</v>
      </c>
      <c r="H84" s="95">
        <v>50.045999999999999</v>
      </c>
      <c r="I84" s="95">
        <v>50.045999999999999</v>
      </c>
      <c r="J84" s="95">
        <v>50.045999999999999</v>
      </c>
      <c r="K84" s="95">
        <v>50.048999999999999</v>
      </c>
      <c r="L84" s="95">
        <v>49.953000000000003</v>
      </c>
      <c r="M84" s="95">
        <v>49.984000000000002</v>
      </c>
      <c r="N84" s="95">
        <v>50.02</v>
      </c>
      <c r="O84" s="95">
        <v>50.03</v>
      </c>
      <c r="P84" s="95">
        <v>50.076000000000001</v>
      </c>
      <c r="Q84" s="95">
        <v>50.048999999999999</v>
      </c>
      <c r="R84" s="95">
        <v>49.908000000000001</v>
      </c>
      <c r="S84" s="95">
        <v>50.1</v>
      </c>
      <c r="T84" s="95">
        <v>49.97</v>
      </c>
      <c r="U84" s="95">
        <v>49.942999999999998</v>
      </c>
      <c r="V84" s="95">
        <v>49.98</v>
      </c>
      <c r="W84" s="95">
        <v>49.89</v>
      </c>
      <c r="X84" s="95">
        <v>50.41</v>
      </c>
      <c r="Y84" s="95">
        <v>49.87</v>
      </c>
      <c r="Z84" s="95">
        <v>49.97</v>
      </c>
      <c r="AA84" s="95">
        <v>49.77</v>
      </c>
      <c r="AB84" s="95">
        <v>50.067999999999998</v>
      </c>
      <c r="AC84" s="95">
        <v>50.03</v>
      </c>
      <c r="AD84" s="95">
        <v>50.4</v>
      </c>
      <c r="AE84" s="95">
        <v>50</v>
      </c>
      <c r="AF84" s="95">
        <v>49.98</v>
      </c>
      <c r="AG84" s="96"/>
      <c r="AH84" s="54">
        <f t="shared" si="16"/>
        <v>50.41</v>
      </c>
      <c r="AI84" s="55">
        <f t="shared" si="17"/>
        <v>49.77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127.1</v>
      </c>
      <c r="C85" s="172">
        <v>127.9</v>
      </c>
      <c r="D85" s="172">
        <v>128.19999999999999</v>
      </c>
      <c r="E85" s="73">
        <v>127.8</v>
      </c>
      <c r="F85" s="73">
        <v>127.8</v>
      </c>
      <c r="G85" s="73">
        <v>127.3</v>
      </c>
      <c r="H85" s="73">
        <v>127.7</v>
      </c>
      <c r="I85" s="73">
        <v>127.7</v>
      </c>
      <c r="J85" s="73">
        <v>127.7</v>
      </c>
      <c r="K85" s="73">
        <v>123.9</v>
      </c>
      <c r="L85" s="73">
        <v>124.4</v>
      </c>
      <c r="M85" s="73">
        <v>126.6</v>
      </c>
      <c r="N85" s="73">
        <v>126.1</v>
      </c>
      <c r="O85" s="73">
        <v>125.2</v>
      </c>
      <c r="P85" s="73">
        <v>124.4</v>
      </c>
      <c r="Q85" s="73">
        <v>124.7</v>
      </c>
      <c r="R85" s="73">
        <v>125.1</v>
      </c>
      <c r="S85" s="73">
        <v>126.6</v>
      </c>
      <c r="T85" s="73">
        <v>122.6</v>
      </c>
      <c r="U85" s="98">
        <v>121.5</v>
      </c>
      <c r="V85" s="98">
        <v>124.3</v>
      </c>
      <c r="W85" s="98">
        <v>124.2</v>
      </c>
      <c r="X85" s="98">
        <v>124.8</v>
      </c>
      <c r="Y85" s="98">
        <v>124.5</v>
      </c>
      <c r="Z85" s="98">
        <v>125.9</v>
      </c>
      <c r="AA85" s="98">
        <v>126.5</v>
      </c>
      <c r="AB85" s="73">
        <v>126.5</v>
      </c>
      <c r="AC85" s="73">
        <v>126.5</v>
      </c>
      <c r="AD85" s="73">
        <v>128</v>
      </c>
      <c r="AE85" s="73">
        <v>127</v>
      </c>
      <c r="AF85" s="73">
        <v>128</v>
      </c>
      <c r="AG85" s="99"/>
      <c r="AH85" s="54">
        <f t="shared" si="16"/>
        <v>128.19999999999999</v>
      </c>
      <c r="AI85" s="55">
        <f t="shared" si="17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130.80000000000001</v>
      </c>
      <c r="C86" s="172">
        <v>131.80000000000001</v>
      </c>
      <c r="D86" s="172">
        <v>132.1</v>
      </c>
      <c r="E86" s="73">
        <v>131.69999999999999</v>
      </c>
      <c r="F86" s="73">
        <v>131.6</v>
      </c>
      <c r="G86" s="73">
        <v>130.9</v>
      </c>
      <c r="H86" s="73">
        <v>130.5</v>
      </c>
      <c r="I86" s="73">
        <v>130.5</v>
      </c>
      <c r="J86" s="73">
        <v>130.5</v>
      </c>
      <c r="K86" s="73">
        <v>126.2</v>
      </c>
      <c r="L86" s="73">
        <v>126.7</v>
      </c>
      <c r="M86" s="73">
        <v>128.30000000000001</v>
      </c>
      <c r="N86" s="73">
        <v>128</v>
      </c>
      <c r="O86" s="73">
        <v>127.4</v>
      </c>
      <c r="P86" s="73">
        <v>127.2</v>
      </c>
      <c r="Q86" s="73">
        <v>127.5</v>
      </c>
      <c r="R86" s="73">
        <v>127.6</v>
      </c>
      <c r="S86" s="73">
        <v>128.69999999999999</v>
      </c>
      <c r="T86" s="73">
        <v>125.6</v>
      </c>
      <c r="U86" s="98">
        <v>124.6</v>
      </c>
      <c r="V86" s="98">
        <v>125.6</v>
      </c>
      <c r="W86" s="98">
        <v>125.6</v>
      </c>
      <c r="X86" s="98">
        <v>125.6</v>
      </c>
      <c r="Y86" s="98">
        <v>125.7</v>
      </c>
      <c r="Z86" s="98">
        <v>127.5</v>
      </c>
      <c r="AA86" s="98">
        <v>128</v>
      </c>
      <c r="AB86" s="73">
        <v>128.4</v>
      </c>
      <c r="AC86" s="73">
        <v>128.4</v>
      </c>
      <c r="AD86" s="73">
        <v>131</v>
      </c>
      <c r="AE86" s="73">
        <v>130</v>
      </c>
      <c r="AF86" s="73">
        <v>131</v>
      </c>
      <c r="AG86" s="99"/>
      <c r="AH86" s="54">
        <f t="shared" si="16"/>
        <v>132.1</v>
      </c>
      <c r="AI86" s="55">
        <f t="shared" si="17"/>
        <v>124.6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129.30000000000001</v>
      </c>
      <c r="C87" s="172">
        <v>128.30000000000001</v>
      </c>
      <c r="D87" s="172">
        <v>127.8</v>
      </c>
      <c r="E87" s="73">
        <v>132.5</v>
      </c>
      <c r="F87" s="73">
        <v>128.19999999999999</v>
      </c>
      <c r="G87" s="73">
        <v>129.80000000000001</v>
      </c>
      <c r="H87" s="73">
        <v>128.4</v>
      </c>
      <c r="I87" s="73">
        <v>128.4</v>
      </c>
      <c r="J87" s="73">
        <v>128.4</v>
      </c>
      <c r="K87" s="73">
        <v>125.8</v>
      </c>
      <c r="L87" s="73">
        <v>124.3</v>
      </c>
      <c r="M87" s="73">
        <v>129</v>
      </c>
      <c r="N87" s="73">
        <v>125.9</v>
      </c>
      <c r="O87" s="73">
        <v>127</v>
      </c>
      <c r="P87" s="73">
        <v>128.19999999999999</v>
      </c>
      <c r="Q87" s="73">
        <v>128.19999999999999</v>
      </c>
      <c r="R87" s="73">
        <v>130.19999999999999</v>
      </c>
      <c r="S87" s="73">
        <v>126.3</v>
      </c>
      <c r="T87" s="73">
        <v>124.3</v>
      </c>
      <c r="U87" s="73">
        <v>127.5</v>
      </c>
      <c r="V87" s="73">
        <v>125.1</v>
      </c>
      <c r="W87" s="73">
        <v>125.3</v>
      </c>
      <c r="X87" s="98">
        <v>129.4</v>
      </c>
      <c r="Y87" s="98">
        <v>129</v>
      </c>
      <c r="Z87" s="98">
        <v>129.4</v>
      </c>
      <c r="AA87" s="98">
        <v>129.1</v>
      </c>
      <c r="AB87" s="73">
        <v>132.4</v>
      </c>
      <c r="AC87" s="73">
        <v>132.4</v>
      </c>
      <c r="AD87" s="73">
        <v>130</v>
      </c>
      <c r="AE87" s="73">
        <v>130.6</v>
      </c>
      <c r="AF87" s="73">
        <v>130.5</v>
      </c>
      <c r="AG87" s="99"/>
      <c r="AH87" s="54">
        <f t="shared" si="16"/>
        <v>132.5</v>
      </c>
      <c r="AI87" s="55">
        <f t="shared" si="17"/>
        <v>124.3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133.1</v>
      </c>
      <c r="C88" s="172">
        <v>133.5</v>
      </c>
      <c r="D88" s="172">
        <v>133.30000000000001</v>
      </c>
      <c r="E88" s="73">
        <v>134.04</v>
      </c>
      <c r="F88" s="73">
        <v>134.30000000000001</v>
      </c>
      <c r="G88" s="73">
        <v>133.19999999999999</v>
      </c>
      <c r="H88" s="73">
        <v>133</v>
      </c>
      <c r="I88" s="73">
        <v>133</v>
      </c>
      <c r="J88" s="73">
        <v>133</v>
      </c>
      <c r="K88" s="73">
        <v>129.30000000000001</v>
      </c>
      <c r="L88" s="73">
        <v>130.9</v>
      </c>
      <c r="M88" s="73">
        <v>134</v>
      </c>
      <c r="N88" s="73">
        <v>131.5</v>
      </c>
      <c r="O88" s="73">
        <v>132.6</v>
      </c>
      <c r="P88" s="73">
        <v>131.9</v>
      </c>
      <c r="Q88" s="73">
        <v>133.80000000000001</v>
      </c>
      <c r="R88" s="73">
        <v>133.4</v>
      </c>
      <c r="S88" s="73">
        <v>130.6</v>
      </c>
      <c r="T88" s="73">
        <v>128.80000000000001</v>
      </c>
      <c r="U88" s="73">
        <v>129.69999999999999</v>
      </c>
      <c r="V88" s="73">
        <v>130</v>
      </c>
      <c r="W88" s="73">
        <v>130.4</v>
      </c>
      <c r="X88" s="98">
        <v>133.1</v>
      </c>
      <c r="Y88" s="98">
        <v>133.1</v>
      </c>
      <c r="Z88" s="98">
        <v>133.6</v>
      </c>
      <c r="AA88" s="98">
        <v>134.1</v>
      </c>
      <c r="AB88" s="73">
        <v>134.4</v>
      </c>
      <c r="AC88" s="73">
        <v>134.4</v>
      </c>
      <c r="AD88" s="73">
        <v>135</v>
      </c>
      <c r="AE88" s="73">
        <v>135</v>
      </c>
      <c r="AF88" s="73">
        <v>135</v>
      </c>
      <c r="AG88" s="99"/>
      <c r="AH88" s="54">
        <f t="shared" si="16"/>
        <v>135</v>
      </c>
      <c r="AI88" s="55">
        <f t="shared" si="17"/>
        <v>128.80000000000001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131.1</v>
      </c>
      <c r="C89" s="173">
        <v>130.19999999999999</v>
      </c>
      <c r="D89" s="173">
        <v>135.19999999999999</v>
      </c>
      <c r="E89" s="101">
        <v>132.5</v>
      </c>
      <c r="F89" s="101">
        <v>130.19999999999999</v>
      </c>
      <c r="G89" s="101">
        <v>132.6</v>
      </c>
      <c r="H89" s="101">
        <v>130.4</v>
      </c>
      <c r="I89" s="101">
        <v>130.4</v>
      </c>
      <c r="J89" s="101">
        <v>130.4</v>
      </c>
      <c r="K89" s="101">
        <v>132.80000000000001</v>
      </c>
      <c r="L89" s="101">
        <v>132.19999999999999</v>
      </c>
      <c r="M89" s="101">
        <v>133.6</v>
      </c>
      <c r="N89" s="101">
        <v>133.30000000000001</v>
      </c>
      <c r="O89" s="101">
        <v>132.80000000000001</v>
      </c>
      <c r="P89" s="101">
        <v>134.30000000000001</v>
      </c>
      <c r="Q89" s="101">
        <v>135.4</v>
      </c>
      <c r="R89" s="101">
        <v>131.9</v>
      </c>
      <c r="S89" s="101">
        <v>134.4</v>
      </c>
      <c r="T89" s="101">
        <v>131.4</v>
      </c>
      <c r="U89" s="101">
        <v>135.1</v>
      </c>
      <c r="V89" s="101">
        <v>133.80000000000001</v>
      </c>
      <c r="W89" s="101">
        <v>133.9</v>
      </c>
      <c r="X89" s="98">
        <v>134.4</v>
      </c>
      <c r="Y89" s="98">
        <v>134.6</v>
      </c>
      <c r="Z89" s="98">
        <v>135.30000000000001</v>
      </c>
      <c r="AA89" s="98">
        <v>134.1</v>
      </c>
      <c r="AB89" s="101">
        <v>137</v>
      </c>
      <c r="AC89" s="101">
        <v>137</v>
      </c>
      <c r="AD89" s="101">
        <v>134</v>
      </c>
      <c r="AE89" s="101">
        <v>135.6</v>
      </c>
      <c r="AF89" s="101">
        <v>134</v>
      </c>
      <c r="AG89" s="102"/>
      <c r="AH89" s="54">
        <f t="shared" si="16"/>
        <v>137</v>
      </c>
      <c r="AI89" s="55">
        <f t="shared" si="17"/>
        <v>130.19999999999999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140.4</v>
      </c>
      <c r="C90" s="172">
        <v>139.6</v>
      </c>
      <c r="D90" s="172">
        <v>140.4</v>
      </c>
      <c r="E90" s="73">
        <v>141</v>
      </c>
      <c r="F90" s="73">
        <v>134.80000000000001</v>
      </c>
      <c r="G90" s="73">
        <v>132.80000000000001</v>
      </c>
      <c r="H90" s="73">
        <v>135</v>
      </c>
      <c r="I90" s="73">
        <v>135</v>
      </c>
      <c r="J90" s="73">
        <v>135</v>
      </c>
      <c r="K90" s="73">
        <v>129.4</v>
      </c>
      <c r="L90" s="73">
        <v>132</v>
      </c>
      <c r="M90" s="73">
        <v>133.6</v>
      </c>
      <c r="N90" s="73">
        <v>130.69999999999999</v>
      </c>
      <c r="O90" s="73">
        <v>127.4</v>
      </c>
      <c r="P90" s="73">
        <v>130.9</v>
      </c>
      <c r="Q90" s="73">
        <v>131.80000000000001</v>
      </c>
      <c r="R90" s="73">
        <v>128</v>
      </c>
      <c r="S90" s="73">
        <v>132.4</v>
      </c>
      <c r="T90" s="73">
        <v>128.30000000000001</v>
      </c>
      <c r="U90" s="73">
        <v>135.80000000000001</v>
      </c>
      <c r="V90" s="73">
        <v>134.1</v>
      </c>
      <c r="W90" s="73">
        <v>134</v>
      </c>
      <c r="X90" s="98">
        <v>132.19999999999999</v>
      </c>
      <c r="Y90" s="98">
        <v>132.19999999999999</v>
      </c>
      <c r="Z90" s="98">
        <v>133.80000000000001</v>
      </c>
      <c r="AA90" s="98">
        <v>134.1</v>
      </c>
      <c r="AB90" s="73">
        <v>133.9</v>
      </c>
      <c r="AC90" s="73">
        <v>133.9</v>
      </c>
      <c r="AD90" s="73">
        <v>134</v>
      </c>
      <c r="AE90" s="73">
        <v>135.80000000000001</v>
      </c>
      <c r="AF90" s="73">
        <v>135</v>
      </c>
      <c r="AG90" s="99"/>
      <c r="AH90" s="54">
        <f t="shared" si="16"/>
        <v>141</v>
      </c>
      <c r="AI90" s="55">
        <f t="shared" si="17"/>
        <v>127.4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66.8</v>
      </c>
      <c r="C91" s="174">
        <v>67.3</v>
      </c>
      <c r="D91" s="174">
        <v>67.599999999999994</v>
      </c>
      <c r="E91" s="103">
        <v>67.900000000000006</v>
      </c>
      <c r="F91" s="103">
        <v>67</v>
      </c>
      <c r="G91" s="103">
        <v>66.599999999999994</v>
      </c>
      <c r="H91" s="103">
        <v>66.3</v>
      </c>
      <c r="I91" s="103">
        <v>66.3</v>
      </c>
      <c r="J91" s="103">
        <v>66.3</v>
      </c>
      <c r="K91" s="103">
        <v>64.3</v>
      </c>
      <c r="L91" s="103">
        <v>64.3</v>
      </c>
      <c r="M91" s="103">
        <v>65.099999999999994</v>
      </c>
      <c r="N91" s="103">
        <v>65.099999999999994</v>
      </c>
      <c r="O91" s="103">
        <v>64.900000000000006</v>
      </c>
      <c r="P91" s="103">
        <v>64.400000000000006</v>
      </c>
      <c r="Q91" s="103">
        <v>64.8</v>
      </c>
      <c r="R91" s="103">
        <v>64.7</v>
      </c>
      <c r="S91" s="103">
        <v>65.2</v>
      </c>
      <c r="T91" s="103">
        <v>63.5</v>
      </c>
      <c r="U91" s="103">
        <v>63.4</v>
      </c>
      <c r="V91" s="103">
        <v>63.6</v>
      </c>
      <c r="W91" s="103">
        <v>63.6</v>
      </c>
      <c r="X91" s="103">
        <v>63.6</v>
      </c>
      <c r="Y91" s="103">
        <v>63.6</v>
      </c>
      <c r="Z91" s="103">
        <v>64.7</v>
      </c>
      <c r="AA91" s="103">
        <v>64.400000000000006</v>
      </c>
      <c r="AB91" s="103">
        <v>64.900000000000006</v>
      </c>
      <c r="AC91" s="103">
        <v>64.900000000000006</v>
      </c>
      <c r="AD91" s="103">
        <v>66.3</v>
      </c>
      <c r="AE91" s="103">
        <v>65.7</v>
      </c>
      <c r="AF91" s="103">
        <v>66.599999999999994</v>
      </c>
      <c r="AG91" s="104"/>
      <c r="AH91" s="54">
        <f t="shared" si="16"/>
        <v>67.900000000000006</v>
      </c>
      <c r="AI91" s="55">
        <f t="shared" si="17"/>
        <v>63.4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190.64</v>
      </c>
      <c r="C93" s="110">
        <f>SUM(C15,C18,C21:C22,C42,C44:C45,C47,C49,C94:C97,C102,C108,C114,C123,C125,C137,C144,C147:C148,C155,C157,C159,C163:C165,C167:C169,C174,C180:C181,C183:C185,C193,C198)</f>
        <v>173.03999999999996</v>
      </c>
      <c r="D93" s="110">
        <f t="shared" ref="D93:AF93" si="24">SUM(D15,D18,D21:D22,D42,D44:D45,D47,D49,D94:D97,D102,D108,D114,D123,D125,D137,D144,D147:D148,D155,D157,D159,D163:D165,D167:D169,D174,D180:D181,D183:D185,D193,D198)</f>
        <v>169.94</v>
      </c>
      <c r="E93" s="110">
        <f t="shared" si="24"/>
        <v>163.83999999999997</v>
      </c>
      <c r="F93" s="110">
        <f t="shared" si="24"/>
        <v>177.03999999999996</v>
      </c>
      <c r="G93" s="109">
        <f t="shared" si="24"/>
        <v>208.54</v>
      </c>
      <c r="H93" s="109">
        <f t="shared" si="24"/>
        <v>246.93999999999997</v>
      </c>
      <c r="I93" s="109">
        <f t="shared" si="24"/>
        <v>271.14</v>
      </c>
      <c r="J93" s="109">
        <f t="shared" si="24"/>
        <v>299.04000000000002</v>
      </c>
      <c r="K93" s="109">
        <f t="shared" si="24"/>
        <v>410.14000000000004</v>
      </c>
      <c r="L93" s="109">
        <f t="shared" si="24"/>
        <v>426.74000000000007</v>
      </c>
      <c r="M93" s="109">
        <f t="shared" si="24"/>
        <v>429.34000000000003</v>
      </c>
      <c r="N93" s="109">
        <f t="shared" si="24"/>
        <v>383.54000000000008</v>
      </c>
      <c r="O93" s="109">
        <f t="shared" si="24"/>
        <v>377.14000000000004</v>
      </c>
      <c r="P93" s="109">
        <f t="shared" si="24"/>
        <v>349.34000000000003</v>
      </c>
      <c r="Q93" s="109">
        <f t="shared" si="24"/>
        <v>340.64000000000004</v>
      </c>
      <c r="R93" s="109">
        <f t="shared" si="24"/>
        <v>330.24</v>
      </c>
      <c r="S93" s="109">
        <f t="shared" si="24"/>
        <v>345.94000000000005</v>
      </c>
      <c r="T93" s="109">
        <f t="shared" si="24"/>
        <v>345.64</v>
      </c>
      <c r="U93" s="109">
        <f t="shared" si="24"/>
        <v>353.6400000000001</v>
      </c>
      <c r="V93" s="109">
        <f t="shared" si="24"/>
        <v>398.53999999999996</v>
      </c>
      <c r="W93" s="109">
        <f t="shared" si="24"/>
        <v>460.74</v>
      </c>
      <c r="X93" s="109">
        <f t="shared" si="24"/>
        <v>482.64</v>
      </c>
      <c r="Y93" s="109">
        <f t="shared" si="24"/>
        <v>478.94</v>
      </c>
      <c r="Z93" s="109">
        <f t="shared" si="24"/>
        <v>452.44000000000005</v>
      </c>
      <c r="AA93" s="109">
        <f t="shared" si="24"/>
        <v>445.54</v>
      </c>
      <c r="AB93" s="109">
        <f t="shared" si="24"/>
        <v>418.34000000000003</v>
      </c>
      <c r="AC93" s="109">
        <f t="shared" si="24"/>
        <v>418.34000000000003</v>
      </c>
      <c r="AD93" s="109">
        <f t="shared" si="24"/>
        <v>327.24</v>
      </c>
      <c r="AE93" s="109">
        <f t="shared" si="24"/>
        <v>267.24</v>
      </c>
      <c r="AF93" s="109">
        <f t="shared" si="24"/>
        <v>219.23999999999998</v>
      </c>
      <c r="AG93" s="111"/>
      <c r="AH93" s="54">
        <f>MAX(C93:AF93)</f>
        <v>482.64</v>
      </c>
      <c r="AI93" s="55">
        <f>MIN(C93:AF93)</f>
        <v>163.83999999999997</v>
      </c>
    </row>
    <row r="94" spans="1:88" x14ac:dyDescent="0.25">
      <c r="A94" s="112" t="s">
        <v>98</v>
      </c>
      <c r="B94" s="175">
        <v>25.1</v>
      </c>
      <c r="C94" s="175">
        <v>23.8</v>
      </c>
      <c r="D94" s="175">
        <v>27.8</v>
      </c>
      <c r="E94" s="58">
        <v>26</v>
      </c>
      <c r="F94" s="58">
        <v>24.1</v>
      </c>
      <c r="G94" s="114">
        <v>20.399999999999999</v>
      </c>
      <c r="H94" s="114">
        <v>10.9</v>
      </c>
      <c r="I94" s="114">
        <v>41.7</v>
      </c>
      <c r="J94" s="114">
        <v>39.700000000000003</v>
      </c>
      <c r="K94" s="114">
        <v>48</v>
      </c>
      <c r="L94" s="114">
        <v>50.3</v>
      </c>
      <c r="M94" s="113">
        <v>41.1</v>
      </c>
      <c r="N94" s="114">
        <v>51.5</v>
      </c>
      <c r="O94" s="114">
        <v>45</v>
      </c>
      <c r="P94" s="114">
        <v>46</v>
      </c>
      <c r="Q94" s="114">
        <v>46.9</v>
      </c>
      <c r="R94" s="114">
        <v>41</v>
      </c>
      <c r="S94" s="114">
        <v>43.4</v>
      </c>
      <c r="T94" s="114">
        <v>25.2</v>
      </c>
      <c r="U94" s="113">
        <v>57.7</v>
      </c>
      <c r="V94" s="113">
        <v>59.1</v>
      </c>
      <c r="W94" s="113">
        <v>59.9</v>
      </c>
      <c r="X94" s="113">
        <v>55.8</v>
      </c>
      <c r="Y94" s="113">
        <v>56.8</v>
      </c>
      <c r="Z94" s="113">
        <v>55.2</v>
      </c>
      <c r="AA94" s="113">
        <v>52.3</v>
      </c>
      <c r="AB94" s="113">
        <v>65.3</v>
      </c>
      <c r="AC94" s="113">
        <v>65.3</v>
      </c>
      <c r="AD94" s="113">
        <v>37</v>
      </c>
      <c r="AE94" s="113">
        <v>38</v>
      </c>
      <c r="AF94" s="113">
        <v>38</v>
      </c>
      <c r="AG94" s="115">
        <v>75</v>
      </c>
      <c r="AH94" s="54">
        <f t="shared" ref="AH94:AH99" si="25">IF(ABS(MAX(C94:AF94))&gt;ABS(MIN(C94:AF94)),MAX(C94:AF94),MIN(C94:AF94))</f>
        <v>65.3</v>
      </c>
      <c r="AI94" s="116">
        <f t="shared" ref="AI94:AI99" si="26">INDEX($C$9:$AF$9,1,MATCH(AH94,C94:AF94,0))</f>
        <v>0.83333333333333337</v>
      </c>
    </row>
    <row r="95" spans="1:88" x14ac:dyDescent="0.25">
      <c r="A95" s="117" t="s">
        <v>99</v>
      </c>
      <c r="B95" s="176">
        <v>-66.8</v>
      </c>
      <c r="C95" s="176">
        <v>-73</v>
      </c>
      <c r="D95" s="176">
        <v>-74.900000000000006</v>
      </c>
      <c r="E95" s="60">
        <v>-76</v>
      </c>
      <c r="F95" s="60">
        <v>-70</v>
      </c>
      <c r="G95" s="60">
        <v>-61.5</v>
      </c>
      <c r="H95" s="60">
        <v>-44</v>
      </c>
      <c r="I95" s="60">
        <v>-38</v>
      </c>
      <c r="J95" s="60">
        <v>-27</v>
      </c>
      <c r="K95" s="60">
        <v>5</v>
      </c>
      <c r="L95" s="60">
        <v>17.399999999999999</v>
      </c>
      <c r="M95" s="60">
        <v>23.9</v>
      </c>
      <c r="N95" s="60">
        <f>7.1+3.3</f>
        <v>10.399999999999999</v>
      </c>
      <c r="O95" s="60">
        <f>5.5+3.3</f>
        <v>8.8000000000000007</v>
      </c>
      <c r="P95" s="60">
        <v>-7</v>
      </c>
      <c r="Q95" s="60">
        <v>-10.4</v>
      </c>
      <c r="R95" s="60">
        <v>-7</v>
      </c>
      <c r="S95" s="60">
        <v>-0.4</v>
      </c>
      <c r="T95" s="60">
        <v>0.2</v>
      </c>
      <c r="U95" s="60">
        <v>-12.5</v>
      </c>
      <c r="V95" s="60">
        <f>1.2-4</f>
        <v>-2.8</v>
      </c>
      <c r="W95" s="60">
        <f>19+16.7</f>
        <v>35.700000000000003</v>
      </c>
      <c r="X95" s="60">
        <f>26+25.6</f>
        <v>51.6</v>
      </c>
      <c r="Y95" s="60">
        <v>52.2</v>
      </c>
      <c r="Z95" s="60">
        <f>21+19.8</f>
        <v>40.799999999999997</v>
      </c>
      <c r="AA95" s="60">
        <f>20.2+19.1</f>
        <v>39.299999999999997</v>
      </c>
      <c r="AB95" s="73">
        <v>15</v>
      </c>
      <c r="AC95" s="73">
        <v>15</v>
      </c>
      <c r="AD95" s="73">
        <v>-11</v>
      </c>
      <c r="AE95" s="73">
        <v>-40</v>
      </c>
      <c r="AF95" s="73">
        <v>-60</v>
      </c>
      <c r="AG95" s="115">
        <v>240</v>
      </c>
      <c r="AH95" s="54">
        <f t="shared" si="25"/>
        <v>-76</v>
      </c>
      <c r="AI95" s="116">
        <f t="shared" si="26"/>
        <v>0.125</v>
      </c>
    </row>
    <row r="96" spans="1:88" x14ac:dyDescent="0.25">
      <c r="A96" s="117" t="s">
        <v>100</v>
      </c>
      <c r="B96" s="176">
        <v>7</v>
      </c>
      <c r="C96" s="176">
        <v>5.0999999999999996</v>
      </c>
      <c r="D96" s="176">
        <v>4.4000000000000004</v>
      </c>
      <c r="E96" s="60">
        <v>9</v>
      </c>
      <c r="F96" s="60">
        <v>5</v>
      </c>
      <c r="G96" s="60">
        <v>7.7</v>
      </c>
      <c r="H96" s="60">
        <v>12.1</v>
      </c>
      <c r="I96" s="60">
        <v>13.6</v>
      </c>
      <c r="J96" s="60">
        <v>17.5</v>
      </c>
      <c r="K96" s="60">
        <v>58.3</v>
      </c>
      <c r="L96" s="60">
        <v>58</v>
      </c>
      <c r="M96" s="60">
        <v>64.400000000000006</v>
      </c>
      <c r="N96" s="60">
        <v>45.2</v>
      </c>
      <c r="O96" s="60">
        <v>41.3</v>
      </c>
      <c r="P96" s="60">
        <v>37</v>
      </c>
      <c r="Q96" s="60">
        <v>35.6</v>
      </c>
      <c r="R96" s="60">
        <v>26</v>
      </c>
      <c r="S96" s="60">
        <v>26.2</v>
      </c>
      <c r="T96" s="60">
        <v>25.9</v>
      </c>
      <c r="U96" s="60">
        <v>24.3</v>
      </c>
      <c r="V96" s="60">
        <v>48.9</v>
      </c>
      <c r="W96" s="60">
        <v>61.7</v>
      </c>
      <c r="X96" s="60">
        <v>63.4</v>
      </c>
      <c r="Y96" s="60">
        <v>62.5</v>
      </c>
      <c r="Z96" s="60">
        <v>60.2</v>
      </c>
      <c r="AA96" s="60">
        <v>59.9</v>
      </c>
      <c r="AB96" s="73">
        <v>56.2</v>
      </c>
      <c r="AC96" s="73">
        <v>56.2</v>
      </c>
      <c r="AD96" s="73">
        <v>31</v>
      </c>
      <c r="AE96" s="73">
        <v>20</v>
      </c>
      <c r="AF96" s="73">
        <v>10</v>
      </c>
      <c r="AG96" s="115">
        <v>60</v>
      </c>
      <c r="AH96" s="54">
        <f t="shared" si="25"/>
        <v>64.400000000000006</v>
      </c>
      <c r="AI96" s="116">
        <f t="shared" si="26"/>
        <v>0.33333333333333331</v>
      </c>
    </row>
    <row r="97" spans="1:37" x14ac:dyDescent="0.25">
      <c r="A97" s="118" t="s">
        <v>101</v>
      </c>
      <c r="B97" s="177">
        <v>30.6</v>
      </c>
      <c r="C97" s="177">
        <v>22.7</v>
      </c>
      <c r="D97" s="177">
        <v>18.399999999999999</v>
      </c>
      <c r="E97" s="63">
        <v>11</v>
      </c>
      <c r="F97" s="63">
        <v>24.1</v>
      </c>
      <c r="G97" s="63">
        <v>48.1</v>
      </c>
      <c r="H97" s="63">
        <v>74.099999999999994</v>
      </c>
      <c r="I97" s="63">
        <v>60</v>
      </c>
      <c r="J97" s="63">
        <v>75</v>
      </c>
      <c r="K97" s="63">
        <v>105</v>
      </c>
      <c r="L97" s="63">
        <v>106.8</v>
      </c>
      <c r="M97" s="63">
        <v>107.2</v>
      </c>
      <c r="N97" s="63">
        <v>87.1</v>
      </c>
      <c r="O97" s="63">
        <v>92.7</v>
      </c>
      <c r="P97" s="63">
        <v>84</v>
      </c>
      <c r="Q97" s="63">
        <v>79.3</v>
      </c>
      <c r="R97" s="63">
        <v>81</v>
      </c>
      <c r="S97" s="63">
        <v>87.5</v>
      </c>
      <c r="T97" s="63">
        <v>105.1</v>
      </c>
      <c r="U97" s="63">
        <v>94.9</v>
      </c>
      <c r="V97" s="63">
        <v>104.1</v>
      </c>
      <c r="W97" s="63">
        <v>114.2</v>
      </c>
      <c r="X97" s="63">
        <v>122.6</v>
      </c>
      <c r="Y97" s="63">
        <v>118.2</v>
      </c>
      <c r="Z97" s="63">
        <v>107</v>
      </c>
      <c r="AA97" s="63">
        <v>104.8</v>
      </c>
      <c r="AB97" s="119">
        <v>92.6</v>
      </c>
      <c r="AC97" s="119">
        <v>92.6</v>
      </c>
      <c r="AD97" s="119">
        <v>81</v>
      </c>
      <c r="AE97" s="119">
        <v>60</v>
      </c>
      <c r="AF97" s="119">
        <v>42</v>
      </c>
      <c r="AG97" s="120">
        <v>120</v>
      </c>
      <c r="AH97" s="54">
        <f t="shared" si="25"/>
        <v>122.6</v>
      </c>
      <c r="AI97" s="116">
        <f t="shared" si="26"/>
        <v>0.75</v>
      </c>
    </row>
    <row r="98" spans="1:37" x14ac:dyDescent="0.25">
      <c r="A98" s="118" t="s">
        <v>102</v>
      </c>
      <c r="B98" s="177">
        <v>39.5</v>
      </c>
      <c r="C98" s="177">
        <v>36.299999999999997</v>
      </c>
      <c r="D98" s="177">
        <v>31.5</v>
      </c>
      <c r="E98" s="63">
        <v>36</v>
      </c>
      <c r="F98" s="63">
        <v>33.6</v>
      </c>
      <c r="G98" s="63">
        <v>46.2</v>
      </c>
      <c r="H98" s="63">
        <v>63</v>
      </c>
      <c r="I98" s="63">
        <v>62</v>
      </c>
      <c r="J98" s="63">
        <v>75</v>
      </c>
      <c r="K98" s="63">
        <v>80</v>
      </c>
      <c r="L98" s="63">
        <v>91</v>
      </c>
      <c r="M98" s="63">
        <v>62.3</v>
      </c>
      <c r="N98" s="63">
        <v>59</v>
      </c>
      <c r="O98" s="63">
        <v>64.599999999999994</v>
      </c>
      <c r="P98" s="63">
        <v>84</v>
      </c>
      <c r="Q98" s="63">
        <v>77.8</v>
      </c>
      <c r="R98" s="63">
        <v>80</v>
      </c>
      <c r="S98" s="63">
        <v>76.2</v>
      </c>
      <c r="T98" s="63">
        <v>96.4</v>
      </c>
      <c r="U98" s="63">
        <v>97.3</v>
      </c>
      <c r="V98" s="63">
        <v>83.5</v>
      </c>
      <c r="W98" s="63">
        <v>70.8</v>
      </c>
      <c r="X98" s="63">
        <v>82.2</v>
      </c>
      <c r="Y98" s="63">
        <v>80.2</v>
      </c>
      <c r="Z98" s="63">
        <v>72.7</v>
      </c>
      <c r="AA98" s="63">
        <v>72.7</v>
      </c>
      <c r="AB98" s="119">
        <v>77.400000000000006</v>
      </c>
      <c r="AC98" s="119">
        <v>77.400000000000006</v>
      </c>
      <c r="AD98" s="119">
        <v>80</v>
      </c>
      <c r="AE98" s="119">
        <v>50</v>
      </c>
      <c r="AF98" s="119">
        <v>46</v>
      </c>
      <c r="AG98" s="120"/>
      <c r="AH98" s="54">
        <f t="shared" si="25"/>
        <v>97.3</v>
      </c>
      <c r="AI98" s="116">
        <f t="shared" si="26"/>
        <v>0.66666666666666696</v>
      </c>
    </row>
    <row r="99" spans="1:37" ht="15.75" thickBot="1" x14ac:dyDescent="0.3">
      <c r="A99" s="118" t="s">
        <v>217</v>
      </c>
      <c r="B99" s="177">
        <v>61.9</v>
      </c>
      <c r="C99" s="177">
        <v>62.7</v>
      </c>
      <c r="D99" s="177">
        <v>50</v>
      </c>
      <c r="E99" s="63">
        <v>54</v>
      </c>
      <c r="F99" s="63">
        <v>57</v>
      </c>
      <c r="G99" s="63">
        <v>46.9</v>
      </c>
      <c r="H99" s="63">
        <v>56.6</v>
      </c>
      <c r="I99" s="63">
        <v>49</v>
      </c>
      <c r="J99" s="63">
        <v>57.8</v>
      </c>
      <c r="K99" s="63">
        <v>48</v>
      </c>
      <c r="L99" s="63">
        <v>45.3</v>
      </c>
      <c r="M99" s="63">
        <v>54.7</v>
      </c>
      <c r="N99" s="63">
        <v>53.3</v>
      </c>
      <c r="O99" s="63">
        <v>59.4</v>
      </c>
      <c r="P99" s="63">
        <v>38</v>
      </c>
      <c r="Q99" s="63">
        <v>34.299999999999997</v>
      </c>
      <c r="R99" s="63">
        <v>34</v>
      </c>
      <c r="S99" s="63">
        <v>15</v>
      </c>
      <c r="T99" s="63">
        <v>58.3</v>
      </c>
      <c r="U99" s="63">
        <v>31</v>
      </c>
      <c r="V99" s="63">
        <v>41.6</v>
      </c>
      <c r="W99" s="63">
        <v>31.9</v>
      </c>
      <c r="X99" s="63">
        <v>22.8</v>
      </c>
      <c r="Y99" s="63">
        <v>23.6</v>
      </c>
      <c r="Z99" s="63">
        <v>45.7</v>
      </c>
      <c r="AA99" s="63">
        <v>50.5</v>
      </c>
      <c r="AB99" s="119">
        <v>34.1</v>
      </c>
      <c r="AC99" s="119">
        <v>34.1</v>
      </c>
      <c r="AD99" s="119">
        <v>58</v>
      </c>
      <c r="AE99" s="119">
        <v>57</v>
      </c>
      <c r="AF99" s="119">
        <v>56</v>
      </c>
      <c r="AG99" s="121"/>
      <c r="AH99" s="54">
        <f t="shared" si="25"/>
        <v>62.7</v>
      </c>
      <c r="AI99" s="116">
        <f t="shared" si="26"/>
        <v>4.1666666666666664E-2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7">AF101</f>
        <v>9.9</v>
      </c>
      <c r="C101" s="53">
        <v>9.9</v>
      </c>
      <c r="D101" s="127">
        <f t="shared" ref="D101:S106" si="28">C101</f>
        <v>9.9</v>
      </c>
      <c r="E101" s="127">
        <f t="shared" si="28"/>
        <v>9.9</v>
      </c>
      <c r="F101" s="127">
        <f t="shared" si="28"/>
        <v>9.9</v>
      </c>
      <c r="G101" s="127">
        <f t="shared" si="28"/>
        <v>9.9</v>
      </c>
      <c r="H101" s="127">
        <f t="shared" si="28"/>
        <v>9.9</v>
      </c>
      <c r="I101" s="127">
        <f t="shared" si="28"/>
        <v>9.9</v>
      </c>
      <c r="J101" s="127">
        <f t="shared" si="28"/>
        <v>9.9</v>
      </c>
      <c r="K101" s="127">
        <f t="shared" si="28"/>
        <v>9.9</v>
      </c>
      <c r="L101" s="127">
        <f t="shared" si="28"/>
        <v>9.9</v>
      </c>
      <c r="M101" s="127">
        <f t="shared" si="28"/>
        <v>9.9</v>
      </c>
      <c r="N101" s="127">
        <f t="shared" si="28"/>
        <v>9.9</v>
      </c>
      <c r="O101" s="127">
        <f t="shared" si="28"/>
        <v>9.9</v>
      </c>
      <c r="P101" s="127">
        <f t="shared" si="28"/>
        <v>9.9</v>
      </c>
      <c r="Q101" s="127">
        <f t="shared" si="28"/>
        <v>9.9</v>
      </c>
      <c r="R101" s="127">
        <f t="shared" si="28"/>
        <v>9.9</v>
      </c>
      <c r="S101" s="127">
        <f t="shared" si="28"/>
        <v>9.9</v>
      </c>
      <c r="T101" s="127">
        <f t="shared" ref="T101:AF106" si="29">S101</f>
        <v>9.9</v>
      </c>
      <c r="U101" s="127">
        <f t="shared" si="29"/>
        <v>9.9</v>
      </c>
      <c r="V101" s="127">
        <f t="shared" si="29"/>
        <v>9.9</v>
      </c>
      <c r="W101" s="127">
        <f t="shared" si="29"/>
        <v>9.9</v>
      </c>
      <c r="X101" s="127">
        <f t="shared" si="29"/>
        <v>9.9</v>
      </c>
      <c r="Y101" s="127">
        <f t="shared" si="29"/>
        <v>9.9</v>
      </c>
      <c r="Z101" s="127">
        <f t="shared" si="29"/>
        <v>9.9</v>
      </c>
      <c r="AA101" s="127">
        <f t="shared" si="29"/>
        <v>9.9</v>
      </c>
      <c r="AB101" s="127">
        <f t="shared" si="29"/>
        <v>9.9</v>
      </c>
      <c r="AC101" s="127">
        <f t="shared" si="29"/>
        <v>9.9</v>
      </c>
      <c r="AD101" s="127">
        <f t="shared" si="29"/>
        <v>9.9</v>
      </c>
      <c r="AE101" s="127">
        <f t="shared" si="29"/>
        <v>9.9</v>
      </c>
      <c r="AF101" s="127">
        <f t="shared" si="29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7"/>
        <v>9.6</v>
      </c>
      <c r="C102" s="130">
        <v>9.6</v>
      </c>
      <c r="D102" s="129">
        <f t="shared" si="28"/>
        <v>9.6</v>
      </c>
      <c r="E102" s="129">
        <f t="shared" si="28"/>
        <v>9.6</v>
      </c>
      <c r="F102" s="129">
        <f t="shared" si="28"/>
        <v>9.6</v>
      </c>
      <c r="G102" s="129">
        <f t="shared" si="28"/>
        <v>9.6</v>
      </c>
      <c r="H102" s="129">
        <f t="shared" si="28"/>
        <v>9.6</v>
      </c>
      <c r="I102" s="129">
        <f t="shared" si="28"/>
        <v>9.6</v>
      </c>
      <c r="J102" s="129">
        <f t="shared" si="28"/>
        <v>9.6</v>
      </c>
      <c r="K102" s="129">
        <f t="shared" si="28"/>
        <v>9.6</v>
      </c>
      <c r="L102" s="129">
        <f t="shared" si="28"/>
        <v>9.6</v>
      </c>
      <c r="M102" s="129">
        <f t="shared" si="28"/>
        <v>9.6</v>
      </c>
      <c r="N102" s="129">
        <f t="shared" si="28"/>
        <v>9.6</v>
      </c>
      <c r="O102" s="129">
        <f t="shared" si="28"/>
        <v>9.6</v>
      </c>
      <c r="P102" s="129">
        <f t="shared" si="28"/>
        <v>9.6</v>
      </c>
      <c r="Q102" s="129">
        <f t="shared" si="28"/>
        <v>9.6</v>
      </c>
      <c r="R102" s="129">
        <f t="shared" si="28"/>
        <v>9.6</v>
      </c>
      <c r="S102" s="129">
        <f t="shared" si="28"/>
        <v>9.6</v>
      </c>
      <c r="T102" s="129">
        <f t="shared" si="29"/>
        <v>9.6</v>
      </c>
      <c r="U102" s="129">
        <f t="shared" si="29"/>
        <v>9.6</v>
      </c>
      <c r="V102" s="129">
        <f t="shared" si="29"/>
        <v>9.6</v>
      </c>
      <c r="W102" s="129">
        <f t="shared" si="29"/>
        <v>9.6</v>
      </c>
      <c r="X102" s="129">
        <f t="shared" si="29"/>
        <v>9.6</v>
      </c>
      <c r="Y102" s="129">
        <f t="shared" si="29"/>
        <v>9.6</v>
      </c>
      <c r="Z102" s="129">
        <f t="shared" si="29"/>
        <v>9.6</v>
      </c>
      <c r="AA102" s="129">
        <f t="shared" si="29"/>
        <v>9.6</v>
      </c>
      <c r="AB102" s="129">
        <f t="shared" si="29"/>
        <v>9.6</v>
      </c>
      <c r="AC102" s="129">
        <f t="shared" si="29"/>
        <v>9.6</v>
      </c>
      <c r="AD102" s="129">
        <f t="shared" si="29"/>
        <v>9.6</v>
      </c>
      <c r="AE102" s="129">
        <f t="shared" si="29"/>
        <v>9.6</v>
      </c>
      <c r="AF102" s="129">
        <f t="shared" si="29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7"/>
        <v>9.98</v>
      </c>
      <c r="C103" s="130">
        <v>9.98</v>
      </c>
      <c r="D103" s="129">
        <f t="shared" si="28"/>
        <v>9.98</v>
      </c>
      <c r="E103" s="129">
        <f t="shared" si="28"/>
        <v>9.98</v>
      </c>
      <c r="F103" s="129">
        <f t="shared" si="28"/>
        <v>9.98</v>
      </c>
      <c r="G103" s="129">
        <f t="shared" si="28"/>
        <v>9.98</v>
      </c>
      <c r="H103" s="129">
        <f t="shared" si="28"/>
        <v>9.98</v>
      </c>
      <c r="I103" s="129">
        <f t="shared" si="28"/>
        <v>9.98</v>
      </c>
      <c r="J103" s="129">
        <f t="shared" si="28"/>
        <v>9.98</v>
      </c>
      <c r="K103" s="129">
        <f t="shared" si="28"/>
        <v>9.98</v>
      </c>
      <c r="L103" s="129">
        <f t="shared" si="28"/>
        <v>9.98</v>
      </c>
      <c r="M103" s="129">
        <f t="shared" si="28"/>
        <v>9.98</v>
      </c>
      <c r="N103" s="129">
        <f t="shared" si="28"/>
        <v>9.98</v>
      </c>
      <c r="O103" s="129">
        <f t="shared" si="28"/>
        <v>9.98</v>
      </c>
      <c r="P103" s="129">
        <f t="shared" si="28"/>
        <v>9.98</v>
      </c>
      <c r="Q103" s="129">
        <f t="shared" si="28"/>
        <v>9.98</v>
      </c>
      <c r="R103" s="129">
        <f t="shared" si="28"/>
        <v>9.98</v>
      </c>
      <c r="S103" s="129">
        <f t="shared" si="28"/>
        <v>9.98</v>
      </c>
      <c r="T103" s="129">
        <f t="shared" si="29"/>
        <v>9.98</v>
      </c>
      <c r="U103" s="129">
        <f t="shared" si="29"/>
        <v>9.98</v>
      </c>
      <c r="V103" s="129">
        <f t="shared" si="29"/>
        <v>9.98</v>
      </c>
      <c r="W103" s="129">
        <f t="shared" si="29"/>
        <v>9.98</v>
      </c>
      <c r="X103" s="129">
        <f t="shared" si="29"/>
        <v>9.98</v>
      </c>
      <c r="Y103" s="129">
        <f t="shared" si="29"/>
        <v>9.98</v>
      </c>
      <c r="Z103" s="129">
        <f t="shared" si="29"/>
        <v>9.98</v>
      </c>
      <c r="AA103" s="129">
        <f t="shared" si="29"/>
        <v>9.98</v>
      </c>
      <c r="AB103" s="129">
        <f t="shared" si="29"/>
        <v>9.98</v>
      </c>
      <c r="AC103" s="129">
        <f t="shared" si="29"/>
        <v>9.98</v>
      </c>
      <c r="AD103" s="129">
        <f t="shared" si="29"/>
        <v>9.98</v>
      </c>
      <c r="AE103" s="129">
        <f t="shared" si="29"/>
        <v>9.98</v>
      </c>
      <c r="AF103" s="129">
        <f t="shared" si="29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7"/>
        <v>9.1</v>
      </c>
      <c r="C104" s="130">
        <v>9.1</v>
      </c>
      <c r="D104" s="129">
        <f t="shared" si="28"/>
        <v>9.1</v>
      </c>
      <c r="E104" s="129">
        <f t="shared" si="28"/>
        <v>9.1</v>
      </c>
      <c r="F104" s="129">
        <f t="shared" si="28"/>
        <v>9.1</v>
      </c>
      <c r="G104" s="129">
        <f t="shared" si="28"/>
        <v>9.1</v>
      </c>
      <c r="H104" s="129">
        <f t="shared" si="28"/>
        <v>9.1</v>
      </c>
      <c r="I104" s="129">
        <f t="shared" si="28"/>
        <v>9.1</v>
      </c>
      <c r="J104" s="129">
        <f t="shared" si="28"/>
        <v>9.1</v>
      </c>
      <c r="K104" s="129">
        <f t="shared" si="28"/>
        <v>9.1</v>
      </c>
      <c r="L104" s="129">
        <f t="shared" si="28"/>
        <v>9.1</v>
      </c>
      <c r="M104" s="129">
        <f t="shared" si="28"/>
        <v>9.1</v>
      </c>
      <c r="N104" s="129">
        <f t="shared" si="28"/>
        <v>9.1</v>
      </c>
      <c r="O104" s="129">
        <f t="shared" si="28"/>
        <v>9.1</v>
      </c>
      <c r="P104" s="129">
        <f t="shared" si="28"/>
        <v>9.1</v>
      </c>
      <c r="Q104" s="129">
        <f t="shared" si="28"/>
        <v>9.1</v>
      </c>
      <c r="R104" s="129">
        <f t="shared" si="28"/>
        <v>9.1</v>
      </c>
      <c r="S104" s="129">
        <f t="shared" si="28"/>
        <v>9.1</v>
      </c>
      <c r="T104" s="129">
        <f t="shared" si="29"/>
        <v>9.1</v>
      </c>
      <c r="U104" s="129">
        <f t="shared" si="29"/>
        <v>9.1</v>
      </c>
      <c r="V104" s="129">
        <f t="shared" si="29"/>
        <v>9.1</v>
      </c>
      <c r="W104" s="129">
        <f t="shared" si="29"/>
        <v>9.1</v>
      </c>
      <c r="X104" s="129">
        <f t="shared" si="29"/>
        <v>9.1</v>
      </c>
      <c r="Y104" s="129">
        <f t="shared" si="29"/>
        <v>9.1</v>
      </c>
      <c r="Z104" s="129">
        <f t="shared" si="29"/>
        <v>9.1</v>
      </c>
      <c r="AA104" s="129">
        <f t="shared" si="29"/>
        <v>9.1</v>
      </c>
      <c r="AB104" s="129">
        <f t="shared" si="29"/>
        <v>9.1</v>
      </c>
      <c r="AC104" s="129">
        <f t="shared" si="29"/>
        <v>9.1</v>
      </c>
      <c r="AD104" s="129">
        <f t="shared" si="29"/>
        <v>9.1</v>
      </c>
      <c r="AE104" s="129">
        <f t="shared" si="29"/>
        <v>9.1</v>
      </c>
      <c r="AF104" s="129">
        <f t="shared" si="29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7"/>
        <v>9.18</v>
      </c>
      <c r="C105" s="130">
        <v>9.18</v>
      </c>
      <c r="D105" s="129">
        <f t="shared" si="28"/>
        <v>9.18</v>
      </c>
      <c r="E105" s="129">
        <f t="shared" si="28"/>
        <v>9.18</v>
      </c>
      <c r="F105" s="129">
        <f t="shared" si="28"/>
        <v>9.18</v>
      </c>
      <c r="G105" s="129">
        <f t="shared" si="28"/>
        <v>9.18</v>
      </c>
      <c r="H105" s="129">
        <f t="shared" si="28"/>
        <v>9.18</v>
      </c>
      <c r="I105" s="129">
        <f t="shared" si="28"/>
        <v>9.18</v>
      </c>
      <c r="J105" s="129">
        <f t="shared" si="28"/>
        <v>9.18</v>
      </c>
      <c r="K105" s="129">
        <f t="shared" si="28"/>
        <v>9.18</v>
      </c>
      <c r="L105" s="129">
        <f t="shared" si="28"/>
        <v>9.18</v>
      </c>
      <c r="M105" s="129">
        <f t="shared" si="28"/>
        <v>9.18</v>
      </c>
      <c r="N105" s="129">
        <f t="shared" si="28"/>
        <v>9.18</v>
      </c>
      <c r="O105" s="129">
        <f t="shared" si="28"/>
        <v>9.18</v>
      </c>
      <c r="P105" s="129">
        <f t="shared" si="28"/>
        <v>9.18</v>
      </c>
      <c r="Q105" s="129">
        <f t="shared" si="28"/>
        <v>9.18</v>
      </c>
      <c r="R105" s="129">
        <f t="shared" si="28"/>
        <v>9.18</v>
      </c>
      <c r="S105" s="129">
        <f t="shared" si="28"/>
        <v>9.18</v>
      </c>
      <c r="T105" s="129">
        <f t="shared" si="29"/>
        <v>9.18</v>
      </c>
      <c r="U105" s="129">
        <f t="shared" si="29"/>
        <v>9.18</v>
      </c>
      <c r="V105" s="129">
        <f t="shared" si="29"/>
        <v>9.18</v>
      </c>
      <c r="W105" s="129">
        <f t="shared" si="29"/>
        <v>9.18</v>
      </c>
      <c r="X105" s="129">
        <f t="shared" si="29"/>
        <v>9.18</v>
      </c>
      <c r="Y105" s="129">
        <f t="shared" si="29"/>
        <v>9.18</v>
      </c>
      <c r="Z105" s="129">
        <f t="shared" si="29"/>
        <v>9.18</v>
      </c>
      <c r="AA105" s="129">
        <f t="shared" si="29"/>
        <v>9.18</v>
      </c>
      <c r="AB105" s="129">
        <f t="shared" si="29"/>
        <v>9.18</v>
      </c>
      <c r="AC105" s="129">
        <f t="shared" si="29"/>
        <v>9.18</v>
      </c>
      <c r="AD105" s="129">
        <f t="shared" si="29"/>
        <v>9.18</v>
      </c>
      <c r="AE105" s="129">
        <f t="shared" si="29"/>
        <v>9.18</v>
      </c>
      <c r="AF105" s="129">
        <f t="shared" si="29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7"/>
        <v>7</v>
      </c>
      <c r="C106" s="130">
        <v>7</v>
      </c>
      <c r="D106" s="129">
        <f t="shared" si="28"/>
        <v>7</v>
      </c>
      <c r="E106" s="129">
        <f t="shared" si="28"/>
        <v>7</v>
      </c>
      <c r="F106" s="129">
        <f t="shared" si="28"/>
        <v>7</v>
      </c>
      <c r="G106" s="129">
        <f t="shared" si="28"/>
        <v>7</v>
      </c>
      <c r="H106" s="129">
        <f t="shared" si="28"/>
        <v>7</v>
      </c>
      <c r="I106" s="129">
        <f t="shared" si="28"/>
        <v>7</v>
      </c>
      <c r="J106" s="129">
        <f t="shared" si="28"/>
        <v>7</v>
      </c>
      <c r="K106" s="129">
        <f t="shared" si="28"/>
        <v>7</v>
      </c>
      <c r="L106" s="129">
        <f t="shared" si="28"/>
        <v>7</v>
      </c>
      <c r="M106" s="129">
        <f t="shared" si="28"/>
        <v>7</v>
      </c>
      <c r="N106" s="129">
        <f t="shared" si="28"/>
        <v>7</v>
      </c>
      <c r="O106" s="129">
        <f t="shared" si="28"/>
        <v>7</v>
      </c>
      <c r="P106" s="129">
        <f t="shared" si="28"/>
        <v>7</v>
      </c>
      <c r="Q106" s="129">
        <f t="shared" si="28"/>
        <v>7</v>
      </c>
      <c r="R106" s="129">
        <f t="shared" si="28"/>
        <v>7</v>
      </c>
      <c r="S106" s="129">
        <f t="shared" si="28"/>
        <v>7</v>
      </c>
      <c r="T106" s="129">
        <f t="shared" si="29"/>
        <v>7</v>
      </c>
      <c r="U106" s="129">
        <f t="shared" si="29"/>
        <v>7</v>
      </c>
      <c r="V106" s="129">
        <f t="shared" si="29"/>
        <v>7</v>
      </c>
      <c r="W106" s="129">
        <f t="shared" si="29"/>
        <v>7</v>
      </c>
      <c r="X106" s="129">
        <f t="shared" si="29"/>
        <v>7</v>
      </c>
      <c r="Y106" s="129">
        <f t="shared" si="29"/>
        <v>7</v>
      </c>
      <c r="Z106" s="129">
        <f t="shared" si="29"/>
        <v>7</v>
      </c>
      <c r="AA106" s="129">
        <f t="shared" si="29"/>
        <v>7</v>
      </c>
      <c r="AB106" s="129">
        <f t="shared" si="29"/>
        <v>7</v>
      </c>
      <c r="AC106" s="129">
        <f t="shared" si="29"/>
        <v>7</v>
      </c>
      <c r="AD106" s="129">
        <f t="shared" si="29"/>
        <v>7</v>
      </c>
      <c r="AE106" s="129">
        <f t="shared" si="29"/>
        <v>7</v>
      </c>
      <c r="AF106" s="129">
        <f t="shared" si="29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30">C108</f>
        <v>2.25</v>
      </c>
      <c r="E108" s="129">
        <f t="shared" si="30"/>
        <v>2.25</v>
      </c>
      <c r="F108" s="129">
        <f t="shared" si="30"/>
        <v>2.25</v>
      </c>
      <c r="G108" s="129">
        <f t="shared" si="30"/>
        <v>2.25</v>
      </c>
      <c r="H108" s="129">
        <f t="shared" si="30"/>
        <v>2.25</v>
      </c>
      <c r="I108" s="129">
        <f t="shared" si="30"/>
        <v>2.25</v>
      </c>
      <c r="J108" s="129">
        <f t="shared" si="30"/>
        <v>2.25</v>
      </c>
      <c r="K108" s="129">
        <f t="shared" si="30"/>
        <v>2.25</v>
      </c>
      <c r="L108" s="129">
        <f t="shared" si="30"/>
        <v>2.25</v>
      </c>
      <c r="M108" s="129">
        <f t="shared" si="30"/>
        <v>2.25</v>
      </c>
      <c r="N108" s="129">
        <f t="shared" si="30"/>
        <v>2.25</v>
      </c>
      <c r="O108" s="129">
        <f t="shared" si="30"/>
        <v>2.25</v>
      </c>
      <c r="P108" s="129">
        <f t="shared" si="30"/>
        <v>2.25</v>
      </c>
      <c r="Q108" s="129">
        <f t="shared" si="30"/>
        <v>2.25</v>
      </c>
      <c r="R108" s="129">
        <f t="shared" si="30"/>
        <v>2.25</v>
      </c>
      <c r="S108" s="129">
        <f t="shared" si="30"/>
        <v>2.25</v>
      </c>
      <c r="T108" s="129">
        <f t="shared" ref="T108:AF109" si="31">S108</f>
        <v>2.25</v>
      </c>
      <c r="U108" s="129">
        <f t="shared" si="31"/>
        <v>2.25</v>
      </c>
      <c r="V108" s="129">
        <f t="shared" si="31"/>
        <v>2.25</v>
      </c>
      <c r="W108" s="129">
        <f t="shared" si="31"/>
        <v>2.25</v>
      </c>
      <c r="X108" s="129">
        <f t="shared" si="31"/>
        <v>2.25</v>
      </c>
      <c r="Y108" s="129">
        <f t="shared" si="31"/>
        <v>2.25</v>
      </c>
      <c r="Z108" s="129">
        <f t="shared" si="31"/>
        <v>2.25</v>
      </c>
      <c r="AA108" s="129">
        <f t="shared" si="31"/>
        <v>2.25</v>
      </c>
      <c r="AB108" s="129">
        <f t="shared" si="31"/>
        <v>2.25</v>
      </c>
      <c r="AC108" s="129">
        <f t="shared" si="31"/>
        <v>2.25</v>
      </c>
      <c r="AD108" s="129">
        <f t="shared" si="31"/>
        <v>2.25</v>
      </c>
      <c r="AE108" s="129">
        <f t="shared" si="31"/>
        <v>2.25</v>
      </c>
      <c r="AF108" s="129">
        <f t="shared" si="31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30"/>
        <v>1.64</v>
      </c>
      <c r="E109" s="129">
        <f t="shared" si="30"/>
        <v>1.64</v>
      </c>
      <c r="F109" s="129">
        <f t="shared" si="30"/>
        <v>1.64</v>
      </c>
      <c r="G109" s="129">
        <f t="shared" si="30"/>
        <v>1.64</v>
      </c>
      <c r="H109" s="129">
        <f t="shared" si="30"/>
        <v>1.64</v>
      </c>
      <c r="I109" s="129">
        <f t="shared" si="30"/>
        <v>1.64</v>
      </c>
      <c r="J109" s="129">
        <f t="shared" si="30"/>
        <v>1.64</v>
      </c>
      <c r="K109" s="129">
        <f t="shared" si="30"/>
        <v>1.64</v>
      </c>
      <c r="L109" s="129">
        <f t="shared" si="30"/>
        <v>1.64</v>
      </c>
      <c r="M109" s="129">
        <f t="shared" si="30"/>
        <v>1.64</v>
      </c>
      <c r="N109" s="129">
        <f t="shared" si="30"/>
        <v>1.64</v>
      </c>
      <c r="O109" s="129">
        <f t="shared" si="30"/>
        <v>1.64</v>
      </c>
      <c r="P109" s="129">
        <f t="shared" si="30"/>
        <v>1.64</v>
      </c>
      <c r="Q109" s="129">
        <f t="shared" si="30"/>
        <v>1.64</v>
      </c>
      <c r="R109" s="129">
        <f t="shared" si="30"/>
        <v>1.64</v>
      </c>
      <c r="S109" s="129">
        <f t="shared" si="30"/>
        <v>1.64</v>
      </c>
      <c r="T109" s="129">
        <f t="shared" si="31"/>
        <v>1.64</v>
      </c>
      <c r="U109" s="129">
        <f t="shared" si="31"/>
        <v>1.64</v>
      </c>
      <c r="V109" s="129">
        <f t="shared" si="31"/>
        <v>1.64</v>
      </c>
      <c r="W109" s="129">
        <f t="shared" si="31"/>
        <v>1.64</v>
      </c>
      <c r="X109" s="129">
        <f t="shared" si="31"/>
        <v>1.64</v>
      </c>
      <c r="Y109" s="129">
        <f t="shared" si="31"/>
        <v>1.64</v>
      </c>
      <c r="Z109" s="129">
        <f t="shared" si="31"/>
        <v>1.64</v>
      </c>
      <c r="AA109" s="129">
        <f t="shared" si="31"/>
        <v>1.64</v>
      </c>
      <c r="AB109" s="129">
        <f t="shared" si="31"/>
        <v>1.64</v>
      </c>
      <c r="AC109" s="129">
        <f t="shared" si="31"/>
        <v>1.64</v>
      </c>
      <c r="AD109" s="129">
        <f t="shared" si="31"/>
        <v>1.64</v>
      </c>
      <c r="AE109" s="129">
        <f t="shared" si="31"/>
        <v>1.64</v>
      </c>
      <c r="AF109" s="129">
        <f t="shared" si="31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2">AF111</f>
        <v>1.62</v>
      </c>
      <c r="C111" s="130">
        <v>1.62</v>
      </c>
      <c r="D111" s="129">
        <f t="shared" ref="D111:S118" si="33">C111</f>
        <v>1.62</v>
      </c>
      <c r="E111" s="129">
        <f t="shared" si="33"/>
        <v>1.62</v>
      </c>
      <c r="F111" s="129">
        <f t="shared" si="33"/>
        <v>1.62</v>
      </c>
      <c r="G111" s="129">
        <f t="shared" si="33"/>
        <v>1.62</v>
      </c>
      <c r="H111" s="129">
        <f t="shared" si="33"/>
        <v>1.62</v>
      </c>
      <c r="I111" s="129">
        <f t="shared" si="33"/>
        <v>1.62</v>
      </c>
      <c r="J111" s="129">
        <f t="shared" si="33"/>
        <v>1.62</v>
      </c>
      <c r="K111" s="129">
        <f t="shared" si="33"/>
        <v>1.62</v>
      </c>
      <c r="L111" s="129">
        <f t="shared" si="33"/>
        <v>1.62</v>
      </c>
      <c r="M111" s="129">
        <f t="shared" si="33"/>
        <v>1.62</v>
      </c>
      <c r="N111" s="129">
        <f t="shared" si="33"/>
        <v>1.62</v>
      </c>
      <c r="O111" s="129">
        <f t="shared" si="33"/>
        <v>1.62</v>
      </c>
      <c r="P111" s="129">
        <f t="shared" si="33"/>
        <v>1.62</v>
      </c>
      <c r="Q111" s="129">
        <f t="shared" si="33"/>
        <v>1.62</v>
      </c>
      <c r="R111" s="129">
        <f t="shared" si="33"/>
        <v>1.62</v>
      </c>
      <c r="S111" s="129">
        <f t="shared" si="33"/>
        <v>1.62</v>
      </c>
      <c r="T111" s="129">
        <f t="shared" ref="T111:AF126" si="34">S111</f>
        <v>1.62</v>
      </c>
      <c r="U111" s="129">
        <f t="shared" si="34"/>
        <v>1.62</v>
      </c>
      <c r="V111" s="129">
        <f t="shared" si="34"/>
        <v>1.62</v>
      </c>
      <c r="W111" s="129">
        <f t="shared" si="34"/>
        <v>1.62</v>
      </c>
      <c r="X111" s="129">
        <f t="shared" si="34"/>
        <v>1.62</v>
      </c>
      <c r="Y111" s="129">
        <f t="shared" si="34"/>
        <v>1.62</v>
      </c>
      <c r="Z111" s="129">
        <f t="shared" si="34"/>
        <v>1.62</v>
      </c>
      <c r="AA111" s="129">
        <f t="shared" si="34"/>
        <v>1.62</v>
      </c>
      <c r="AB111" s="129">
        <f t="shared" si="34"/>
        <v>1.62</v>
      </c>
      <c r="AC111" s="129">
        <f t="shared" si="34"/>
        <v>1.62</v>
      </c>
      <c r="AD111" s="129">
        <f t="shared" si="34"/>
        <v>1.62</v>
      </c>
      <c r="AE111" s="129">
        <f t="shared" si="34"/>
        <v>1.62</v>
      </c>
      <c r="AF111" s="129">
        <f t="shared" si="34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2"/>
        <v>8.36</v>
      </c>
      <c r="C112" s="130">
        <v>8.36</v>
      </c>
      <c r="D112" s="129">
        <f t="shared" si="33"/>
        <v>8.36</v>
      </c>
      <c r="E112" s="129">
        <f t="shared" si="33"/>
        <v>8.36</v>
      </c>
      <c r="F112" s="129">
        <f t="shared" si="33"/>
        <v>8.36</v>
      </c>
      <c r="G112" s="129">
        <f t="shared" si="33"/>
        <v>8.36</v>
      </c>
      <c r="H112" s="129">
        <f t="shared" si="33"/>
        <v>8.36</v>
      </c>
      <c r="I112" s="129">
        <f t="shared" si="33"/>
        <v>8.36</v>
      </c>
      <c r="J112" s="129">
        <f t="shared" si="33"/>
        <v>8.36</v>
      </c>
      <c r="K112" s="129">
        <f t="shared" si="33"/>
        <v>8.36</v>
      </c>
      <c r="L112" s="129">
        <f t="shared" si="33"/>
        <v>8.36</v>
      </c>
      <c r="M112" s="129">
        <f t="shared" si="33"/>
        <v>8.36</v>
      </c>
      <c r="N112" s="129">
        <f t="shared" si="33"/>
        <v>8.36</v>
      </c>
      <c r="O112" s="129">
        <f t="shared" si="33"/>
        <v>8.36</v>
      </c>
      <c r="P112" s="129">
        <f t="shared" si="33"/>
        <v>8.36</v>
      </c>
      <c r="Q112" s="129">
        <f t="shared" si="33"/>
        <v>8.36</v>
      </c>
      <c r="R112" s="129">
        <f t="shared" si="33"/>
        <v>8.36</v>
      </c>
      <c r="S112" s="129">
        <f t="shared" si="33"/>
        <v>8.36</v>
      </c>
      <c r="T112" s="129">
        <f t="shared" si="34"/>
        <v>8.36</v>
      </c>
      <c r="U112" s="129">
        <f t="shared" si="34"/>
        <v>8.36</v>
      </c>
      <c r="V112" s="129">
        <f t="shared" si="34"/>
        <v>8.36</v>
      </c>
      <c r="W112" s="129">
        <f t="shared" si="34"/>
        <v>8.36</v>
      </c>
      <c r="X112" s="129">
        <f t="shared" si="34"/>
        <v>8.36</v>
      </c>
      <c r="Y112" s="129">
        <f t="shared" si="34"/>
        <v>8.36</v>
      </c>
      <c r="Z112" s="129">
        <f t="shared" si="34"/>
        <v>8.36</v>
      </c>
      <c r="AA112" s="129">
        <f t="shared" si="34"/>
        <v>8.36</v>
      </c>
      <c r="AB112" s="129">
        <f t="shared" si="34"/>
        <v>8.36</v>
      </c>
      <c r="AC112" s="129">
        <f t="shared" si="34"/>
        <v>8.36</v>
      </c>
      <c r="AD112" s="129">
        <f t="shared" si="34"/>
        <v>8.36</v>
      </c>
      <c r="AE112" s="129">
        <f t="shared" si="34"/>
        <v>8.36</v>
      </c>
      <c r="AF112" s="129">
        <f t="shared" si="34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2"/>
        <v>5.4</v>
      </c>
      <c r="C113" s="130">
        <v>8</v>
      </c>
      <c r="D113" s="129">
        <f t="shared" si="33"/>
        <v>8</v>
      </c>
      <c r="E113" s="129">
        <f t="shared" si="33"/>
        <v>8</v>
      </c>
      <c r="F113" s="129">
        <f t="shared" si="33"/>
        <v>8</v>
      </c>
      <c r="G113" s="129">
        <f t="shared" si="33"/>
        <v>8</v>
      </c>
      <c r="H113" s="129">
        <f t="shared" si="33"/>
        <v>8</v>
      </c>
      <c r="I113" s="129">
        <f t="shared" si="33"/>
        <v>8</v>
      </c>
      <c r="J113" s="129">
        <v>5.4</v>
      </c>
      <c r="K113" s="129">
        <f t="shared" si="33"/>
        <v>5.4</v>
      </c>
      <c r="L113" s="129">
        <f t="shared" si="33"/>
        <v>5.4</v>
      </c>
      <c r="M113" s="129">
        <f t="shared" si="33"/>
        <v>5.4</v>
      </c>
      <c r="N113" s="129">
        <f t="shared" si="33"/>
        <v>5.4</v>
      </c>
      <c r="O113" s="129">
        <f t="shared" si="33"/>
        <v>5.4</v>
      </c>
      <c r="P113" s="129">
        <f t="shared" si="33"/>
        <v>5.4</v>
      </c>
      <c r="Q113" s="129">
        <f t="shared" si="33"/>
        <v>5.4</v>
      </c>
      <c r="R113" s="129">
        <f t="shared" si="33"/>
        <v>5.4</v>
      </c>
      <c r="S113" s="129">
        <f t="shared" si="33"/>
        <v>5.4</v>
      </c>
      <c r="T113" s="129">
        <f t="shared" si="34"/>
        <v>5.4</v>
      </c>
      <c r="U113" s="129">
        <f t="shared" si="34"/>
        <v>5.4</v>
      </c>
      <c r="V113" s="129">
        <f t="shared" si="34"/>
        <v>5.4</v>
      </c>
      <c r="W113" s="129">
        <f t="shared" si="34"/>
        <v>5.4</v>
      </c>
      <c r="X113" s="129">
        <f t="shared" si="34"/>
        <v>5.4</v>
      </c>
      <c r="Y113" s="129">
        <f t="shared" si="34"/>
        <v>5.4</v>
      </c>
      <c r="Z113" s="129">
        <f t="shared" si="34"/>
        <v>5.4</v>
      </c>
      <c r="AA113" s="129">
        <f t="shared" si="34"/>
        <v>5.4</v>
      </c>
      <c r="AB113" s="129">
        <f t="shared" si="34"/>
        <v>5.4</v>
      </c>
      <c r="AC113" s="129">
        <f t="shared" si="34"/>
        <v>5.4</v>
      </c>
      <c r="AD113" s="129">
        <f t="shared" si="34"/>
        <v>5.4</v>
      </c>
      <c r="AE113" s="129">
        <f t="shared" si="34"/>
        <v>5.4</v>
      </c>
      <c r="AF113" s="129">
        <f t="shared" si="34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2"/>
        <v>6.57</v>
      </c>
      <c r="C114" s="130">
        <v>6.57</v>
      </c>
      <c r="D114" s="129">
        <f t="shared" si="33"/>
        <v>6.57</v>
      </c>
      <c r="E114" s="129">
        <f t="shared" si="33"/>
        <v>6.57</v>
      </c>
      <c r="F114" s="129">
        <f t="shared" si="33"/>
        <v>6.57</v>
      </c>
      <c r="G114" s="129">
        <f t="shared" si="33"/>
        <v>6.57</v>
      </c>
      <c r="H114" s="129">
        <f t="shared" si="33"/>
        <v>6.57</v>
      </c>
      <c r="I114" s="129">
        <f t="shared" si="33"/>
        <v>6.57</v>
      </c>
      <c r="J114" s="129">
        <f t="shared" si="33"/>
        <v>6.57</v>
      </c>
      <c r="K114" s="129">
        <f t="shared" si="33"/>
        <v>6.57</v>
      </c>
      <c r="L114" s="129">
        <f t="shared" si="33"/>
        <v>6.57</v>
      </c>
      <c r="M114" s="129">
        <f t="shared" si="33"/>
        <v>6.57</v>
      </c>
      <c r="N114" s="129">
        <f t="shared" si="33"/>
        <v>6.57</v>
      </c>
      <c r="O114" s="129">
        <f t="shared" si="33"/>
        <v>6.57</v>
      </c>
      <c r="P114" s="129">
        <f t="shared" si="33"/>
        <v>6.57</v>
      </c>
      <c r="Q114" s="129">
        <f t="shared" si="33"/>
        <v>6.57</v>
      </c>
      <c r="R114" s="129">
        <f t="shared" si="33"/>
        <v>6.57</v>
      </c>
      <c r="S114" s="129">
        <f t="shared" si="33"/>
        <v>6.57</v>
      </c>
      <c r="T114" s="129">
        <f t="shared" si="34"/>
        <v>6.57</v>
      </c>
      <c r="U114" s="129">
        <f t="shared" si="34"/>
        <v>6.57</v>
      </c>
      <c r="V114" s="129">
        <f t="shared" si="34"/>
        <v>6.57</v>
      </c>
      <c r="W114" s="129">
        <f t="shared" si="34"/>
        <v>6.57</v>
      </c>
      <c r="X114" s="129">
        <f t="shared" si="34"/>
        <v>6.57</v>
      </c>
      <c r="Y114" s="129">
        <f t="shared" si="34"/>
        <v>6.57</v>
      </c>
      <c r="Z114" s="129">
        <f t="shared" si="34"/>
        <v>6.57</v>
      </c>
      <c r="AA114" s="129">
        <f t="shared" si="34"/>
        <v>6.57</v>
      </c>
      <c r="AB114" s="129">
        <f t="shared" si="34"/>
        <v>6.57</v>
      </c>
      <c r="AC114" s="129">
        <f t="shared" si="34"/>
        <v>6.57</v>
      </c>
      <c r="AD114" s="129">
        <f t="shared" si="34"/>
        <v>6.57</v>
      </c>
      <c r="AE114" s="129">
        <f t="shared" si="34"/>
        <v>6.57</v>
      </c>
      <c r="AF114" s="129">
        <f t="shared" si="34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2"/>
        <v>3.43</v>
      </c>
      <c r="C115" s="130">
        <v>3.43</v>
      </c>
      <c r="D115" s="129">
        <f t="shared" si="33"/>
        <v>3.43</v>
      </c>
      <c r="E115" s="129">
        <f t="shared" si="33"/>
        <v>3.43</v>
      </c>
      <c r="F115" s="129">
        <f t="shared" si="33"/>
        <v>3.43</v>
      </c>
      <c r="G115" s="129">
        <f t="shared" si="33"/>
        <v>3.43</v>
      </c>
      <c r="H115" s="129">
        <f t="shared" si="33"/>
        <v>3.43</v>
      </c>
      <c r="I115" s="129">
        <f t="shared" si="33"/>
        <v>3.43</v>
      </c>
      <c r="J115" s="129">
        <f t="shared" si="33"/>
        <v>3.43</v>
      </c>
      <c r="K115" s="129">
        <f t="shared" si="33"/>
        <v>3.43</v>
      </c>
      <c r="L115" s="129">
        <f t="shared" si="33"/>
        <v>3.43</v>
      </c>
      <c r="M115" s="129">
        <f t="shared" si="33"/>
        <v>3.43</v>
      </c>
      <c r="N115" s="129">
        <f t="shared" si="33"/>
        <v>3.43</v>
      </c>
      <c r="O115" s="129">
        <f t="shared" si="33"/>
        <v>3.43</v>
      </c>
      <c r="P115" s="129">
        <f t="shared" si="33"/>
        <v>3.43</v>
      </c>
      <c r="Q115" s="129">
        <f t="shared" si="33"/>
        <v>3.43</v>
      </c>
      <c r="R115" s="129">
        <f t="shared" si="33"/>
        <v>3.43</v>
      </c>
      <c r="S115" s="129">
        <f t="shared" si="33"/>
        <v>3.43</v>
      </c>
      <c r="T115" s="129">
        <f t="shared" si="34"/>
        <v>3.43</v>
      </c>
      <c r="U115" s="129">
        <f t="shared" si="34"/>
        <v>3.43</v>
      </c>
      <c r="V115" s="129">
        <f t="shared" si="34"/>
        <v>3.43</v>
      </c>
      <c r="W115" s="129">
        <f t="shared" si="34"/>
        <v>3.43</v>
      </c>
      <c r="X115" s="129">
        <f t="shared" si="34"/>
        <v>3.43</v>
      </c>
      <c r="Y115" s="129">
        <f t="shared" si="34"/>
        <v>3.43</v>
      </c>
      <c r="Z115" s="129">
        <f t="shared" si="34"/>
        <v>3.43</v>
      </c>
      <c r="AA115" s="129">
        <f t="shared" si="34"/>
        <v>3.43</v>
      </c>
      <c r="AB115" s="129">
        <f t="shared" si="34"/>
        <v>3.43</v>
      </c>
      <c r="AC115" s="129">
        <f t="shared" si="34"/>
        <v>3.43</v>
      </c>
      <c r="AD115" s="129">
        <f t="shared" si="34"/>
        <v>3.43</v>
      </c>
      <c r="AE115" s="129">
        <f t="shared" si="34"/>
        <v>3.43</v>
      </c>
      <c r="AF115" s="129">
        <f t="shared" si="34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2"/>
        <v>2.96</v>
      </c>
      <c r="C116" s="130">
        <v>2.96</v>
      </c>
      <c r="D116" s="129">
        <f t="shared" si="33"/>
        <v>2.96</v>
      </c>
      <c r="E116" s="129">
        <f t="shared" si="33"/>
        <v>2.96</v>
      </c>
      <c r="F116" s="129">
        <f t="shared" si="33"/>
        <v>2.96</v>
      </c>
      <c r="G116" s="129">
        <f t="shared" si="33"/>
        <v>2.96</v>
      </c>
      <c r="H116" s="129">
        <f t="shared" si="33"/>
        <v>2.96</v>
      </c>
      <c r="I116" s="129">
        <f t="shared" si="33"/>
        <v>2.96</v>
      </c>
      <c r="J116" s="129">
        <f t="shared" si="33"/>
        <v>2.96</v>
      </c>
      <c r="K116" s="129">
        <f t="shared" si="33"/>
        <v>2.96</v>
      </c>
      <c r="L116" s="129">
        <f t="shared" si="33"/>
        <v>2.96</v>
      </c>
      <c r="M116" s="129">
        <f t="shared" si="33"/>
        <v>2.96</v>
      </c>
      <c r="N116" s="129">
        <f t="shared" si="33"/>
        <v>2.96</v>
      </c>
      <c r="O116" s="129">
        <f t="shared" si="33"/>
        <v>2.96</v>
      </c>
      <c r="P116" s="129">
        <f t="shared" si="33"/>
        <v>2.96</v>
      </c>
      <c r="Q116" s="129">
        <f t="shared" si="33"/>
        <v>2.96</v>
      </c>
      <c r="R116" s="129">
        <f t="shared" si="33"/>
        <v>2.96</v>
      </c>
      <c r="S116" s="129">
        <f t="shared" si="33"/>
        <v>2.96</v>
      </c>
      <c r="T116" s="129">
        <f t="shared" si="34"/>
        <v>2.96</v>
      </c>
      <c r="U116" s="129">
        <f t="shared" si="34"/>
        <v>2.96</v>
      </c>
      <c r="V116" s="129">
        <f t="shared" si="34"/>
        <v>2.96</v>
      </c>
      <c r="W116" s="129">
        <f t="shared" si="34"/>
        <v>2.96</v>
      </c>
      <c r="X116" s="129">
        <f t="shared" si="34"/>
        <v>2.96</v>
      </c>
      <c r="Y116" s="129">
        <f t="shared" si="34"/>
        <v>2.96</v>
      </c>
      <c r="Z116" s="129">
        <f t="shared" si="34"/>
        <v>2.96</v>
      </c>
      <c r="AA116" s="129">
        <f t="shared" si="34"/>
        <v>2.96</v>
      </c>
      <c r="AB116" s="129">
        <f t="shared" si="34"/>
        <v>2.96</v>
      </c>
      <c r="AC116" s="129">
        <f t="shared" si="34"/>
        <v>2.96</v>
      </c>
      <c r="AD116" s="129">
        <f t="shared" si="34"/>
        <v>2.96</v>
      </c>
      <c r="AE116" s="129">
        <f t="shared" si="34"/>
        <v>2.96</v>
      </c>
      <c r="AF116" s="129">
        <f t="shared" si="34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2"/>
        <v>8</v>
      </c>
      <c r="C117" s="130">
        <v>8</v>
      </c>
      <c r="D117" s="129">
        <f t="shared" si="33"/>
        <v>8</v>
      </c>
      <c r="E117" s="129">
        <f t="shared" si="33"/>
        <v>8</v>
      </c>
      <c r="F117" s="129">
        <f t="shared" si="33"/>
        <v>8</v>
      </c>
      <c r="G117" s="129">
        <f t="shared" si="33"/>
        <v>8</v>
      </c>
      <c r="H117" s="129">
        <f t="shared" si="33"/>
        <v>8</v>
      </c>
      <c r="I117" s="129">
        <f t="shared" si="33"/>
        <v>8</v>
      </c>
      <c r="J117" s="129">
        <f t="shared" si="33"/>
        <v>8</v>
      </c>
      <c r="K117" s="129">
        <f t="shared" si="33"/>
        <v>8</v>
      </c>
      <c r="L117" s="129">
        <f t="shared" si="33"/>
        <v>8</v>
      </c>
      <c r="M117" s="129">
        <f t="shared" si="33"/>
        <v>8</v>
      </c>
      <c r="N117" s="129">
        <f t="shared" si="33"/>
        <v>8</v>
      </c>
      <c r="O117" s="129">
        <f t="shared" si="33"/>
        <v>8</v>
      </c>
      <c r="P117" s="129">
        <f t="shared" si="33"/>
        <v>8</v>
      </c>
      <c r="Q117" s="129">
        <f t="shared" si="33"/>
        <v>8</v>
      </c>
      <c r="R117" s="129">
        <f t="shared" si="33"/>
        <v>8</v>
      </c>
      <c r="S117" s="129">
        <f t="shared" si="33"/>
        <v>8</v>
      </c>
      <c r="T117" s="129">
        <f t="shared" si="34"/>
        <v>8</v>
      </c>
      <c r="U117" s="129">
        <f t="shared" si="34"/>
        <v>8</v>
      </c>
      <c r="V117" s="129">
        <f t="shared" si="34"/>
        <v>8</v>
      </c>
      <c r="W117" s="129">
        <f t="shared" si="34"/>
        <v>8</v>
      </c>
      <c r="X117" s="129">
        <f t="shared" si="34"/>
        <v>8</v>
      </c>
      <c r="Y117" s="129">
        <f t="shared" si="34"/>
        <v>8</v>
      </c>
      <c r="Z117" s="129">
        <f t="shared" si="34"/>
        <v>8</v>
      </c>
      <c r="AA117" s="129">
        <f t="shared" si="34"/>
        <v>8</v>
      </c>
      <c r="AB117" s="129">
        <f t="shared" si="34"/>
        <v>8</v>
      </c>
      <c r="AC117" s="129">
        <f t="shared" si="34"/>
        <v>8</v>
      </c>
      <c r="AD117" s="129">
        <f t="shared" si="34"/>
        <v>8</v>
      </c>
      <c r="AE117" s="129">
        <f t="shared" si="34"/>
        <v>8</v>
      </c>
      <c r="AF117" s="129">
        <f t="shared" si="34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2"/>
        <v>7</v>
      </c>
      <c r="C118" s="130">
        <v>7</v>
      </c>
      <c r="D118" s="129">
        <f>C118</f>
        <v>7</v>
      </c>
      <c r="E118" s="129">
        <f t="shared" si="33"/>
        <v>7</v>
      </c>
      <c r="F118" s="129">
        <f t="shared" si="33"/>
        <v>7</v>
      </c>
      <c r="G118" s="129">
        <f t="shared" si="33"/>
        <v>7</v>
      </c>
      <c r="H118" s="129">
        <f t="shared" si="33"/>
        <v>7</v>
      </c>
      <c r="I118" s="129">
        <f t="shared" si="33"/>
        <v>7</v>
      </c>
      <c r="J118" s="129">
        <f t="shared" si="33"/>
        <v>7</v>
      </c>
      <c r="K118" s="129">
        <f t="shared" si="33"/>
        <v>7</v>
      </c>
      <c r="L118" s="129">
        <f t="shared" si="33"/>
        <v>7</v>
      </c>
      <c r="M118" s="129">
        <f t="shared" si="33"/>
        <v>7</v>
      </c>
      <c r="N118" s="129">
        <f t="shared" si="33"/>
        <v>7</v>
      </c>
      <c r="O118" s="129">
        <f t="shared" si="33"/>
        <v>7</v>
      </c>
      <c r="P118" s="129">
        <f t="shared" si="33"/>
        <v>7</v>
      </c>
      <c r="Q118" s="129">
        <f t="shared" si="33"/>
        <v>7</v>
      </c>
      <c r="R118" s="129">
        <f t="shared" si="33"/>
        <v>7</v>
      </c>
      <c r="S118" s="129">
        <f t="shared" si="33"/>
        <v>7</v>
      </c>
      <c r="T118" s="129">
        <f t="shared" si="34"/>
        <v>7</v>
      </c>
      <c r="U118" s="129">
        <f t="shared" si="34"/>
        <v>7</v>
      </c>
      <c r="V118" s="129">
        <f t="shared" si="34"/>
        <v>7</v>
      </c>
      <c r="W118" s="129">
        <f t="shared" si="34"/>
        <v>7</v>
      </c>
      <c r="X118" s="129">
        <f t="shared" si="34"/>
        <v>7</v>
      </c>
      <c r="Y118" s="129">
        <f t="shared" si="34"/>
        <v>7</v>
      </c>
      <c r="Z118" s="129">
        <f t="shared" si="34"/>
        <v>7</v>
      </c>
      <c r="AA118" s="129">
        <f t="shared" si="34"/>
        <v>7</v>
      </c>
      <c r="AB118" s="129">
        <f t="shared" si="34"/>
        <v>7</v>
      </c>
      <c r="AC118" s="129">
        <f t="shared" si="34"/>
        <v>7</v>
      </c>
      <c r="AD118" s="129">
        <f t="shared" si="34"/>
        <v>7</v>
      </c>
      <c r="AE118" s="129">
        <f t="shared" si="34"/>
        <v>7</v>
      </c>
      <c r="AF118" s="129">
        <f t="shared" si="34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2"/>
        <v>3.47</v>
      </c>
      <c r="C119" s="130">
        <v>3.47</v>
      </c>
      <c r="D119" s="129">
        <f t="shared" ref="D119:S128" si="35">C119</f>
        <v>3.47</v>
      </c>
      <c r="E119" s="129">
        <f t="shared" si="35"/>
        <v>3.47</v>
      </c>
      <c r="F119" s="129">
        <f t="shared" si="35"/>
        <v>3.47</v>
      </c>
      <c r="G119" s="129">
        <f t="shared" si="35"/>
        <v>3.47</v>
      </c>
      <c r="H119" s="129">
        <f t="shared" si="35"/>
        <v>3.47</v>
      </c>
      <c r="I119" s="129">
        <f t="shared" si="35"/>
        <v>3.47</v>
      </c>
      <c r="J119" s="129">
        <f t="shared" si="35"/>
        <v>3.47</v>
      </c>
      <c r="K119" s="129">
        <f t="shared" si="35"/>
        <v>3.47</v>
      </c>
      <c r="L119" s="129">
        <f t="shared" si="35"/>
        <v>3.47</v>
      </c>
      <c r="M119" s="129">
        <f t="shared" si="35"/>
        <v>3.47</v>
      </c>
      <c r="N119" s="129">
        <f t="shared" si="35"/>
        <v>3.47</v>
      </c>
      <c r="O119" s="129">
        <f t="shared" si="35"/>
        <v>3.47</v>
      </c>
      <c r="P119" s="129">
        <f t="shared" si="35"/>
        <v>3.47</v>
      </c>
      <c r="Q119" s="129">
        <f t="shared" si="35"/>
        <v>3.47</v>
      </c>
      <c r="R119" s="129">
        <f t="shared" si="35"/>
        <v>3.47</v>
      </c>
      <c r="S119" s="129">
        <f t="shared" si="35"/>
        <v>3.47</v>
      </c>
      <c r="T119" s="129">
        <f t="shared" si="34"/>
        <v>3.47</v>
      </c>
      <c r="U119" s="129">
        <f t="shared" si="34"/>
        <v>3.47</v>
      </c>
      <c r="V119" s="129">
        <f t="shared" si="34"/>
        <v>3.47</v>
      </c>
      <c r="W119" s="129">
        <f t="shared" si="34"/>
        <v>3.47</v>
      </c>
      <c r="X119" s="129">
        <f t="shared" si="34"/>
        <v>3.47</v>
      </c>
      <c r="Y119" s="129">
        <f t="shared" si="34"/>
        <v>3.47</v>
      </c>
      <c r="Z119" s="129">
        <f t="shared" si="34"/>
        <v>3.47</v>
      </c>
      <c r="AA119" s="129">
        <f t="shared" si="34"/>
        <v>3.47</v>
      </c>
      <c r="AB119" s="129">
        <f t="shared" si="34"/>
        <v>3.47</v>
      </c>
      <c r="AC119" s="129">
        <f t="shared" si="34"/>
        <v>3.47</v>
      </c>
      <c r="AD119" s="129">
        <f t="shared" si="34"/>
        <v>3.47</v>
      </c>
      <c r="AE119" s="129">
        <f t="shared" si="34"/>
        <v>3.47</v>
      </c>
      <c r="AF119" s="129">
        <f t="shared" si="34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2"/>
        <v>2.1</v>
      </c>
      <c r="C120" s="130">
        <v>2.1</v>
      </c>
      <c r="D120" s="129">
        <f t="shared" si="35"/>
        <v>2.1</v>
      </c>
      <c r="E120" s="129">
        <f t="shared" si="35"/>
        <v>2.1</v>
      </c>
      <c r="F120" s="129">
        <f t="shared" si="35"/>
        <v>2.1</v>
      </c>
      <c r="G120" s="129">
        <f t="shared" si="35"/>
        <v>2.1</v>
      </c>
      <c r="H120" s="129">
        <f t="shared" si="35"/>
        <v>2.1</v>
      </c>
      <c r="I120" s="129">
        <f t="shared" si="35"/>
        <v>2.1</v>
      </c>
      <c r="J120" s="129">
        <f t="shared" si="35"/>
        <v>2.1</v>
      </c>
      <c r="K120" s="129">
        <f t="shared" si="35"/>
        <v>2.1</v>
      </c>
      <c r="L120" s="129">
        <f t="shared" si="35"/>
        <v>2.1</v>
      </c>
      <c r="M120" s="129">
        <f t="shared" si="35"/>
        <v>2.1</v>
      </c>
      <c r="N120" s="129">
        <f t="shared" si="35"/>
        <v>2.1</v>
      </c>
      <c r="O120" s="129">
        <f t="shared" si="35"/>
        <v>2.1</v>
      </c>
      <c r="P120" s="129">
        <f t="shared" si="35"/>
        <v>2.1</v>
      </c>
      <c r="Q120" s="129">
        <f t="shared" si="35"/>
        <v>2.1</v>
      </c>
      <c r="R120" s="129">
        <f t="shared" si="35"/>
        <v>2.1</v>
      </c>
      <c r="S120" s="129">
        <f t="shared" si="35"/>
        <v>2.1</v>
      </c>
      <c r="T120" s="129">
        <f t="shared" si="34"/>
        <v>2.1</v>
      </c>
      <c r="U120" s="129">
        <f t="shared" si="34"/>
        <v>2.1</v>
      </c>
      <c r="V120" s="129">
        <f t="shared" si="34"/>
        <v>2.1</v>
      </c>
      <c r="W120" s="129">
        <f t="shared" si="34"/>
        <v>2.1</v>
      </c>
      <c r="X120" s="129">
        <f t="shared" si="34"/>
        <v>2.1</v>
      </c>
      <c r="Y120" s="129">
        <f t="shared" si="34"/>
        <v>2.1</v>
      </c>
      <c r="Z120" s="129">
        <f t="shared" si="34"/>
        <v>2.1</v>
      </c>
      <c r="AA120" s="129">
        <f t="shared" si="34"/>
        <v>2.1</v>
      </c>
      <c r="AB120" s="129">
        <f t="shared" si="34"/>
        <v>2.1</v>
      </c>
      <c r="AC120" s="129">
        <f t="shared" si="34"/>
        <v>2.1</v>
      </c>
      <c r="AD120" s="129">
        <f t="shared" si="34"/>
        <v>2.1</v>
      </c>
      <c r="AE120" s="129">
        <f t="shared" si="34"/>
        <v>2.1</v>
      </c>
      <c r="AF120" s="129">
        <f t="shared" si="34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2"/>
        <v>9.3000000000000007</v>
      </c>
      <c r="C121" s="130">
        <v>9.3000000000000007</v>
      </c>
      <c r="D121" s="129">
        <f t="shared" si="35"/>
        <v>9.3000000000000007</v>
      </c>
      <c r="E121" s="129">
        <f t="shared" si="35"/>
        <v>9.3000000000000007</v>
      </c>
      <c r="F121" s="129">
        <f t="shared" si="35"/>
        <v>9.3000000000000007</v>
      </c>
      <c r="G121" s="129">
        <f t="shared" si="35"/>
        <v>9.3000000000000007</v>
      </c>
      <c r="H121" s="129">
        <f t="shared" si="35"/>
        <v>9.3000000000000007</v>
      </c>
      <c r="I121" s="129">
        <f t="shared" si="35"/>
        <v>9.3000000000000007</v>
      </c>
      <c r="J121" s="129">
        <f t="shared" si="35"/>
        <v>9.3000000000000007</v>
      </c>
      <c r="K121" s="129">
        <f t="shared" si="35"/>
        <v>9.3000000000000007</v>
      </c>
      <c r="L121" s="129">
        <f t="shared" si="35"/>
        <v>9.3000000000000007</v>
      </c>
      <c r="M121" s="129">
        <f t="shared" si="35"/>
        <v>9.3000000000000007</v>
      </c>
      <c r="N121" s="129">
        <f t="shared" si="35"/>
        <v>9.3000000000000007</v>
      </c>
      <c r="O121" s="129">
        <f t="shared" si="35"/>
        <v>9.3000000000000007</v>
      </c>
      <c r="P121" s="129">
        <f t="shared" si="35"/>
        <v>9.3000000000000007</v>
      </c>
      <c r="Q121" s="129">
        <f t="shared" si="35"/>
        <v>9.3000000000000007</v>
      </c>
      <c r="R121" s="129">
        <f t="shared" si="35"/>
        <v>9.3000000000000007</v>
      </c>
      <c r="S121" s="129">
        <f t="shared" si="35"/>
        <v>9.3000000000000007</v>
      </c>
      <c r="T121" s="129">
        <f t="shared" si="34"/>
        <v>9.3000000000000007</v>
      </c>
      <c r="U121" s="129">
        <f t="shared" si="34"/>
        <v>9.3000000000000007</v>
      </c>
      <c r="V121" s="129">
        <f t="shared" si="34"/>
        <v>9.3000000000000007</v>
      </c>
      <c r="W121" s="129">
        <f t="shared" si="34"/>
        <v>9.3000000000000007</v>
      </c>
      <c r="X121" s="129">
        <f t="shared" si="34"/>
        <v>9.3000000000000007</v>
      </c>
      <c r="Y121" s="129">
        <f t="shared" si="34"/>
        <v>9.3000000000000007</v>
      </c>
      <c r="Z121" s="129">
        <f t="shared" si="34"/>
        <v>9.3000000000000007</v>
      </c>
      <c r="AA121" s="129">
        <f t="shared" si="34"/>
        <v>9.3000000000000007</v>
      </c>
      <c r="AB121" s="129">
        <f t="shared" si="34"/>
        <v>9.3000000000000007</v>
      </c>
      <c r="AC121" s="129">
        <f t="shared" si="34"/>
        <v>9.3000000000000007</v>
      </c>
      <c r="AD121" s="129">
        <f t="shared" si="34"/>
        <v>9.3000000000000007</v>
      </c>
      <c r="AE121" s="129">
        <f t="shared" si="34"/>
        <v>9.3000000000000007</v>
      </c>
      <c r="AF121" s="129">
        <f t="shared" si="34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2"/>
        <v>0</v>
      </c>
      <c r="C122" s="130">
        <v>0</v>
      </c>
      <c r="D122" s="129">
        <f t="shared" si="35"/>
        <v>0</v>
      </c>
      <c r="E122" s="129">
        <f t="shared" si="35"/>
        <v>0</v>
      </c>
      <c r="F122" s="129">
        <f t="shared" si="35"/>
        <v>0</v>
      </c>
      <c r="G122" s="129">
        <f t="shared" si="35"/>
        <v>0</v>
      </c>
      <c r="H122" s="129">
        <f t="shared" si="35"/>
        <v>0</v>
      </c>
      <c r="I122" s="129">
        <f t="shared" si="35"/>
        <v>0</v>
      </c>
      <c r="J122" s="129">
        <f t="shared" si="35"/>
        <v>0</v>
      </c>
      <c r="K122" s="129">
        <f t="shared" si="35"/>
        <v>0</v>
      </c>
      <c r="L122" s="129">
        <f t="shared" si="35"/>
        <v>0</v>
      </c>
      <c r="M122" s="129">
        <f t="shared" si="35"/>
        <v>0</v>
      </c>
      <c r="N122" s="129">
        <f t="shared" si="35"/>
        <v>0</v>
      </c>
      <c r="O122" s="129">
        <f t="shared" si="35"/>
        <v>0</v>
      </c>
      <c r="P122" s="129">
        <f t="shared" si="35"/>
        <v>0</v>
      </c>
      <c r="Q122" s="129">
        <f t="shared" si="35"/>
        <v>0</v>
      </c>
      <c r="R122" s="129">
        <f t="shared" si="35"/>
        <v>0</v>
      </c>
      <c r="S122" s="129">
        <f t="shared" si="35"/>
        <v>0</v>
      </c>
      <c r="T122" s="129">
        <f t="shared" si="34"/>
        <v>0</v>
      </c>
      <c r="U122" s="129">
        <f t="shared" si="34"/>
        <v>0</v>
      </c>
      <c r="V122" s="129">
        <f t="shared" si="34"/>
        <v>0</v>
      </c>
      <c r="W122" s="129">
        <f t="shared" si="34"/>
        <v>0</v>
      </c>
      <c r="X122" s="129">
        <f t="shared" si="34"/>
        <v>0</v>
      </c>
      <c r="Y122" s="129">
        <f t="shared" si="34"/>
        <v>0</v>
      </c>
      <c r="Z122" s="129">
        <f t="shared" si="34"/>
        <v>0</v>
      </c>
      <c r="AA122" s="129">
        <f t="shared" si="34"/>
        <v>0</v>
      </c>
      <c r="AB122" s="129">
        <f t="shared" si="34"/>
        <v>0</v>
      </c>
      <c r="AC122" s="129">
        <f t="shared" si="34"/>
        <v>0</v>
      </c>
      <c r="AD122" s="129">
        <f t="shared" si="34"/>
        <v>0</v>
      </c>
      <c r="AE122" s="129">
        <f t="shared" si="34"/>
        <v>0</v>
      </c>
      <c r="AF122" s="129">
        <f t="shared" si="34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2"/>
        <v>0</v>
      </c>
      <c r="C123" s="130">
        <v>0</v>
      </c>
      <c r="D123" s="129">
        <f t="shared" si="35"/>
        <v>0</v>
      </c>
      <c r="E123" s="129">
        <f t="shared" si="35"/>
        <v>0</v>
      </c>
      <c r="F123" s="129">
        <f t="shared" si="35"/>
        <v>0</v>
      </c>
      <c r="G123" s="129">
        <f t="shared" si="35"/>
        <v>0</v>
      </c>
      <c r="H123" s="129">
        <f t="shared" si="35"/>
        <v>0</v>
      </c>
      <c r="I123" s="129">
        <f t="shared" si="35"/>
        <v>0</v>
      </c>
      <c r="J123" s="129">
        <f t="shared" si="35"/>
        <v>0</v>
      </c>
      <c r="K123" s="129">
        <f t="shared" si="35"/>
        <v>0</v>
      </c>
      <c r="L123" s="129">
        <f t="shared" si="35"/>
        <v>0</v>
      </c>
      <c r="M123" s="129">
        <f t="shared" si="35"/>
        <v>0</v>
      </c>
      <c r="N123" s="129">
        <f t="shared" si="35"/>
        <v>0</v>
      </c>
      <c r="O123" s="129">
        <f t="shared" si="35"/>
        <v>0</v>
      </c>
      <c r="P123" s="129">
        <f t="shared" si="35"/>
        <v>0</v>
      </c>
      <c r="Q123" s="129">
        <f t="shared" si="35"/>
        <v>0</v>
      </c>
      <c r="R123" s="129">
        <f t="shared" si="35"/>
        <v>0</v>
      </c>
      <c r="S123" s="129">
        <f t="shared" si="35"/>
        <v>0</v>
      </c>
      <c r="T123" s="129">
        <f t="shared" si="34"/>
        <v>0</v>
      </c>
      <c r="U123" s="129">
        <f t="shared" si="34"/>
        <v>0</v>
      </c>
      <c r="V123" s="129">
        <f t="shared" si="34"/>
        <v>0</v>
      </c>
      <c r="W123" s="129">
        <f t="shared" si="34"/>
        <v>0</v>
      </c>
      <c r="X123" s="129">
        <f t="shared" si="34"/>
        <v>0</v>
      </c>
      <c r="Y123" s="129">
        <f t="shared" si="34"/>
        <v>0</v>
      </c>
      <c r="Z123" s="129">
        <f t="shared" si="34"/>
        <v>0</v>
      </c>
      <c r="AA123" s="129">
        <f t="shared" si="34"/>
        <v>0</v>
      </c>
      <c r="AB123" s="129">
        <f t="shared" si="34"/>
        <v>0</v>
      </c>
      <c r="AC123" s="129">
        <f t="shared" si="34"/>
        <v>0</v>
      </c>
      <c r="AD123" s="129">
        <f t="shared" si="34"/>
        <v>0</v>
      </c>
      <c r="AE123" s="129">
        <f t="shared" si="34"/>
        <v>0</v>
      </c>
      <c r="AF123" s="129">
        <f t="shared" si="34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2"/>
        <v>5</v>
      </c>
      <c r="C124" s="130">
        <v>5</v>
      </c>
      <c r="D124" s="129">
        <f t="shared" si="35"/>
        <v>5</v>
      </c>
      <c r="E124" s="129">
        <f t="shared" si="35"/>
        <v>5</v>
      </c>
      <c r="F124" s="129">
        <f t="shared" si="35"/>
        <v>5</v>
      </c>
      <c r="G124" s="129">
        <f t="shared" si="35"/>
        <v>5</v>
      </c>
      <c r="H124" s="129">
        <f t="shared" si="35"/>
        <v>5</v>
      </c>
      <c r="I124" s="129">
        <f t="shared" si="35"/>
        <v>5</v>
      </c>
      <c r="J124" s="129">
        <f t="shared" si="35"/>
        <v>5</v>
      </c>
      <c r="K124" s="129">
        <f t="shared" si="35"/>
        <v>5</v>
      </c>
      <c r="L124" s="129">
        <f t="shared" si="35"/>
        <v>5</v>
      </c>
      <c r="M124" s="129">
        <f t="shared" si="35"/>
        <v>5</v>
      </c>
      <c r="N124" s="129">
        <f t="shared" si="35"/>
        <v>5</v>
      </c>
      <c r="O124" s="129">
        <f t="shared" si="35"/>
        <v>5</v>
      </c>
      <c r="P124" s="129">
        <f t="shared" si="35"/>
        <v>5</v>
      </c>
      <c r="Q124" s="129">
        <f t="shared" si="35"/>
        <v>5</v>
      </c>
      <c r="R124" s="129">
        <f t="shared" si="35"/>
        <v>5</v>
      </c>
      <c r="S124" s="129">
        <f t="shared" si="35"/>
        <v>5</v>
      </c>
      <c r="T124" s="129">
        <f t="shared" si="34"/>
        <v>5</v>
      </c>
      <c r="U124" s="129">
        <f t="shared" si="34"/>
        <v>5</v>
      </c>
      <c r="V124" s="129">
        <f t="shared" si="34"/>
        <v>5</v>
      </c>
      <c r="W124" s="129">
        <f t="shared" si="34"/>
        <v>5</v>
      </c>
      <c r="X124" s="129">
        <f t="shared" si="34"/>
        <v>5</v>
      </c>
      <c r="Y124" s="129">
        <f t="shared" si="34"/>
        <v>5</v>
      </c>
      <c r="Z124" s="129">
        <f t="shared" si="34"/>
        <v>5</v>
      </c>
      <c r="AA124" s="129">
        <f t="shared" si="34"/>
        <v>5</v>
      </c>
      <c r="AB124" s="129">
        <f t="shared" si="34"/>
        <v>5</v>
      </c>
      <c r="AC124" s="129">
        <f t="shared" si="34"/>
        <v>5</v>
      </c>
      <c r="AD124" s="129">
        <f t="shared" si="34"/>
        <v>5</v>
      </c>
      <c r="AE124" s="129">
        <f t="shared" si="34"/>
        <v>5</v>
      </c>
      <c r="AF124" s="129">
        <f t="shared" si="34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2"/>
        <v>1</v>
      </c>
      <c r="C125" s="130">
        <v>1</v>
      </c>
      <c r="D125" s="129">
        <f t="shared" si="35"/>
        <v>1</v>
      </c>
      <c r="E125" s="129">
        <f t="shared" si="35"/>
        <v>1</v>
      </c>
      <c r="F125" s="129">
        <f t="shared" si="35"/>
        <v>1</v>
      </c>
      <c r="G125" s="129">
        <f t="shared" si="35"/>
        <v>1</v>
      </c>
      <c r="H125" s="129">
        <f t="shared" si="35"/>
        <v>1</v>
      </c>
      <c r="I125" s="129">
        <f t="shared" si="35"/>
        <v>1</v>
      </c>
      <c r="J125" s="129">
        <f t="shared" si="35"/>
        <v>1</v>
      </c>
      <c r="K125" s="129">
        <f t="shared" si="35"/>
        <v>1</v>
      </c>
      <c r="L125" s="129">
        <f t="shared" si="35"/>
        <v>1</v>
      </c>
      <c r="M125" s="129">
        <f t="shared" si="35"/>
        <v>1</v>
      </c>
      <c r="N125" s="129">
        <f t="shared" si="35"/>
        <v>1</v>
      </c>
      <c r="O125" s="129">
        <f t="shared" si="35"/>
        <v>1</v>
      </c>
      <c r="P125" s="129">
        <f t="shared" si="35"/>
        <v>1</v>
      </c>
      <c r="Q125" s="129">
        <f t="shared" si="35"/>
        <v>1</v>
      </c>
      <c r="R125" s="129">
        <f t="shared" si="35"/>
        <v>1</v>
      </c>
      <c r="S125" s="129">
        <f t="shared" si="35"/>
        <v>1</v>
      </c>
      <c r="T125" s="129">
        <f t="shared" si="34"/>
        <v>1</v>
      </c>
      <c r="U125" s="129">
        <f t="shared" si="34"/>
        <v>1</v>
      </c>
      <c r="V125" s="129">
        <f t="shared" si="34"/>
        <v>1</v>
      </c>
      <c r="W125" s="129">
        <f t="shared" si="34"/>
        <v>1</v>
      </c>
      <c r="X125" s="129">
        <f t="shared" si="34"/>
        <v>1</v>
      </c>
      <c r="Y125" s="129">
        <f t="shared" si="34"/>
        <v>1</v>
      </c>
      <c r="Z125" s="129">
        <f t="shared" si="34"/>
        <v>1</v>
      </c>
      <c r="AA125" s="129">
        <f t="shared" si="34"/>
        <v>1</v>
      </c>
      <c r="AB125" s="129">
        <f t="shared" si="34"/>
        <v>1</v>
      </c>
      <c r="AC125" s="129">
        <f t="shared" si="34"/>
        <v>1</v>
      </c>
      <c r="AD125" s="129">
        <f t="shared" si="34"/>
        <v>1</v>
      </c>
      <c r="AE125" s="129">
        <f t="shared" si="34"/>
        <v>1</v>
      </c>
      <c r="AF125" s="129">
        <f t="shared" si="34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2"/>
        <v>1.58</v>
      </c>
      <c r="C126" s="130">
        <v>1.58</v>
      </c>
      <c r="D126" s="129">
        <f t="shared" si="35"/>
        <v>1.58</v>
      </c>
      <c r="E126" s="129">
        <f t="shared" si="35"/>
        <v>1.58</v>
      </c>
      <c r="F126" s="129">
        <f t="shared" si="35"/>
        <v>1.58</v>
      </c>
      <c r="G126" s="129">
        <f t="shared" si="35"/>
        <v>1.58</v>
      </c>
      <c r="H126" s="129">
        <f t="shared" si="35"/>
        <v>1.58</v>
      </c>
      <c r="I126" s="129">
        <f t="shared" si="35"/>
        <v>1.58</v>
      </c>
      <c r="J126" s="129">
        <f t="shared" si="35"/>
        <v>1.58</v>
      </c>
      <c r="K126" s="129">
        <f t="shared" si="35"/>
        <v>1.58</v>
      </c>
      <c r="L126" s="129">
        <f t="shared" si="35"/>
        <v>1.58</v>
      </c>
      <c r="M126" s="129">
        <f t="shared" si="35"/>
        <v>1.58</v>
      </c>
      <c r="N126" s="129">
        <f t="shared" si="35"/>
        <v>1.58</v>
      </c>
      <c r="O126" s="129">
        <f t="shared" si="35"/>
        <v>1.58</v>
      </c>
      <c r="P126" s="129">
        <f t="shared" si="35"/>
        <v>1.58</v>
      </c>
      <c r="Q126" s="129">
        <f t="shared" si="35"/>
        <v>1.58</v>
      </c>
      <c r="R126" s="129">
        <f t="shared" si="35"/>
        <v>1.58</v>
      </c>
      <c r="S126" s="129">
        <f t="shared" si="35"/>
        <v>1.58</v>
      </c>
      <c r="T126" s="129">
        <f t="shared" si="34"/>
        <v>1.58</v>
      </c>
      <c r="U126" s="129">
        <f t="shared" si="34"/>
        <v>1.58</v>
      </c>
      <c r="V126" s="129">
        <f t="shared" si="34"/>
        <v>1.58</v>
      </c>
      <c r="W126" s="129">
        <f t="shared" si="34"/>
        <v>1.58</v>
      </c>
      <c r="X126" s="129">
        <f t="shared" si="34"/>
        <v>1.58</v>
      </c>
      <c r="Y126" s="129">
        <f t="shared" si="34"/>
        <v>1.58</v>
      </c>
      <c r="Z126" s="129">
        <f t="shared" si="34"/>
        <v>1.58</v>
      </c>
      <c r="AA126" s="129">
        <f t="shared" si="34"/>
        <v>1.58</v>
      </c>
      <c r="AB126" s="129">
        <f t="shared" si="34"/>
        <v>1.58</v>
      </c>
      <c r="AC126" s="129">
        <f t="shared" si="34"/>
        <v>1.58</v>
      </c>
      <c r="AD126" s="129">
        <f t="shared" si="34"/>
        <v>1.58</v>
      </c>
      <c r="AE126" s="129">
        <f t="shared" si="34"/>
        <v>1.58</v>
      </c>
      <c r="AF126" s="129">
        <f t="shared" si="34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2"/>
        <v>1.46</v>
      </c>
      <c r="C127" s="130">
        <v>1.46</v>
      </c>
      <c r="D127" s="129">
        <f t="shared" si="35"/>
        <v>1.46</v>
      </c>
      <c r="E127" s="129">
        <f t="shared" si="35"/>
        <v>1.46</v>
      </c>
      <c r="F127" s="129">
        <f t="shared" si="35"/>
        <v>1.46</v>
      </c>
      <c r="G127" s="129">
        <f t="shared" si="35"/>
        <v>1.46</v>
      </c>
      <c r="H127" s="129">
        <f t="shared" si="35"/>
        <v>1.46</v>
      </c>
      <c r="I127" s="129">
        <f t="shared" si="35"/>
        <v>1.46</v>
      </c>
      <c r="J127" s="129">
        <f t="shared" si="35"/>
        <v>1.46</v>
      </c>
      <c r="K127" s="129">
        <f t="shared" si="35"/>
        <v>1.46</v>
      </c>
      <c r="L127" s="129">
        <f t="shared" si="35"/>
        <v>1.46</v>
      </c>
      <c r="M127" s="129">
        <f t="shared" si="35"/>
        <v>1.46</v>
      </c>
      <c r="N127" s="129">
        <f t="shared" si="35"/>
        <v>1.46</v>
      </c>
      <c r="O127" s="129">
        <f t="shared" si="35"/>
        <v>1.46</v>
      </c>
      <c r="P127" s="129">
        <f t="shared" si="35"/>
        <v>1.46</v>
      </c>
      <c r="Q127" s="129">
        <f t="shared" si="35"/>
        <v>1.46</v>
      </c>
      <c r="R127" s="129">
        <f t="shared" si="35"/>
        <v>1.46</v>
      </c>
      <c r="S127" s="129">
        <f t="shared" si="35"/>
        <v>1.46</v>
      </c>
      <c r="T127" s="129">
        <f t="shared" ref="T127:AF128" si="36">S127</f>
        <v>1.46</v>
      </c>
      <c r="U127" s="129">
        <f t="shared" si="36"/>
        <v>1.46</v>
      </c>
      <c r="V127" s="129">
        <f t="shared" si="36"/>
        <v>1.46</v>
      </c>
      <c r="W127" s="129">
        <f t="shared" si="36"/>
        <v>1.46</v>
      </c>
      <c r="X127" s="129">
        <f t="shared" si="36"/>
        <v>1.46</v>
      </c>
      <c r="Y127" s="129">
        <f t="shared" si="36"/>
        <v>1.46</v>
      </c>
      <c r="Z127" s="129">
        <f t="shared" si="36"/>
        <v>1.46</v>
      </c>
      <c r="AA127" s="129">
        <f t="shared" si="36"/>
        <v>1.46</v>
      </c>
      <c r="AB127" s="129">
        <f t="shared" si="36"/>
        <v>1.46</v>
      </c>
      <c r="AC127" s="129">
        <f t="shared" si="36"/>
        <v>1.46</v>
      </c>
      <c r="AD127" s="129">
        <f t="shared" si="36"/>
        <v>1.46</v>
      </c>
      <c r="AE127" s="129">
        <f t="shared" si="36"/>
        <v>1.46</v>
      </c>
      <c r="AF127" s="129">
        <f t="shared" si="36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2"/>
        <v>1.48</v>
      </c>
      <c r="C128" s="130">
        <v>1.48</v>
      </c>
      <c r="D128" s="129">
        <f t="shared" si="35"/>
        <v>1.48</v>
      </c>
      <c r="E128" s="129">
        <f t="shared" si="35"/>
        <v>1.48</v>
      </c>
      <c r="F128" s="129">
        <f t="shared" si="35"/>
        <v>1.48</v>
      </c>
      <c r="G128" s="129">
        <f t="shared" si="35"/>
        <v>1.48</v>
      </c>
      <c r="H128" s="129">
        <f t="shared" si="35"/>
        <v>1.48</v>
      </c>
      <c r="I128" s="129">
        <f t="shared" si="35"/>
        <v>1.48</v>
      </c>
      <c r="J128" s="129">
        <f t="shared" si="35"/>
        <v>1.48</v>
      </c>
      <c r="K128" s="129">
        <f t="shared" si="35"/>
        <v>1.48</v>
      </c>
      <c r="L128" s="129">
        <f t="shared" si="35"/>
        <v>1.48</v>
      </c>
      <c r="M128" s="129">
        <f t="shared" si="35"/>
        <v>1.48</v>
      </c>
      <c r="N128" s="129">
        <f t="shared" si="35"/>
        <v>1.48</v>
      </c>
      <c r="O128" s="129">
        <f t="shared" si="35"/>
        <v>1.48</v>
      </c>
      <c r="P128" s="129">
        <f t="shared" si="35"/>
        <v>1.48</v>
      </c>
      <c r="Q128" s="129">
        <f t="shared" si="35"/>
        <v>1.48</v>
      </c>
      <c r="R128" s="129">
        <f t="shared" si="35"/>
        <v>1.48</v>
      </c>
      <c r="S128" s="129">
        <f t="shared" si="35"/>
        <v>1.48</v>
      </c>
      <c r="T128" s="129">
        <f t="shared" si="36"/>
        <v>1.48</v>
      </c>
      <c r="U128" s="129">
        <f t="shared" si="36"/>
        <v>1.48</v>
      </c>
      <c r="V128" s="129">
        <f t="shared" si="36"/>
        <v>1.48</v>
      </c>
      <c r="W128" s="129">
        <f t="shared" si="36"/>
        <v>1.48</v>
      </c>
      <c r="X128" s="129">
        <f t="shared" si="36"/>
        <v>1.48</v>
      </c>
      <c r="Y128" s="129">
        <f t="shared" si="36"/>
        <v>1.48</v>
      </c>
      <c r="Z128" s="129">
        <f t="shared" si="36"/>
        <v>1.48</v>
      </c>
      <c r="AA128" s="129">
        <f t="shared" si="36"/>
        <v>1.48</v>
      </c>
      <c r="AB128" s="129">
        <f t="shared" si="36"/>
        <v>1.48</v>
      </c>
      <c r="AC128" s="129">
        <f t="shared" si="36"/>
        <v>1.48</v>
      </c>
      <c r="AD128" s="129">
        <f t="shared" si="36"/>
        <v>1.48</v>
      </c>
      <c r="AE128" s="129">
        <f t="shared" si="36"/>
        <v>1.48</v>
      </c>
      <c r="AF128" s="129">
        <f t="shared" si="36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7">AF130</f>
        <v>2.2000000000000002</v>
      </c>
      <c r="C130" s="130">
        <v>2.2000000000000002</v>
      </c>
      <c r="D130" s="129">
        <f t="shared" ref="D130:S137" si="38">C130</f>
        <v>2.2000000000000002</v>
      </c>
      <c r="E130" s="129">
        <f t="shared" si="38"/>
        <v>2.2000000000000002</v>
      </c>
      <c r="F130" s="129">
        <f t="shared" si="38"/>
        <v>2.2000000000000002</v>
      </c>
      <c r="G130" s="129">
        <f t="shared" si="38"/>
        <v>2.2000000000000002</v>
      </c>
      <c r="H130" s="129">
        <f t="shared" si="38"/>
        <v>2.2000000000000002</v>
      </c>
      <c r="I130" s="129">
        <f t="shared" si="38"/>
        <v>2.2000000000000002</v>
      </c>
      <c r="J130" s="129">
        <f t="shared" si="38"/>
        <v>2.2000000000000002</v>
      </c>
      <c r="K130" s="129">
        <f t="shared" si="38"/>
        <v>2.2000000000000002</v>
      </c>
      <c r="L130" s="129">
        <f t="shared" si="38"/>
        <v>2.2000000000000002</v>
      </c>
      <c r="M130" s="129">
        <f t="shared" si="38"/>
        <v>2.2000000000000002</v>
      </c>
      <c r="N130" s="129">
        <f t="shared" si="38"/>
        <v>2.2000000000000002</v>
      </c>
      <c r="O130" s="129">
        <f t="shared" si="38"/>
        <v>2.2000000000000002</v>
      </c>
      <c r="P130" s="129">
        <f t="shared" si="38"/>
        <v>2.2000000000000002</v>
      </c>
      <c r="Q130" s="129">
        <f t="shared" si="38"/>
        <v>2.2000000000000002</v>
      </c>
      <c r="R130" s="129">
        <f t="shared" si="38"/>
        <v>2.2000000000000002</v>
      </c>
      <c r="S130" s="129">
        <f t="shared" si="38"/>
        <v>2.2000000000000002</v>
      </c>
      <c r="T130" s="129">
        <f t="shared" ref="T130:AF137" si="39">S130</f>
        <v>2.2000000000000002</v>
      </c>
      <c r="U130" s="129">
        <f t="shared" si="39"/>
        <v>2.2000000000000002</v>
      </c>
      <c r="V130" s="129">
        <f t="shared" si="39"/>
        <v>2.2000000000000002</v>
      </c>
      <c r="W130" s="129">
        <f t="shared" si="39"/>
        <v>2.2000000000000002</v>
      </c>
      <c r="X130" s="129">
        <f t="shared" si="39"/>
        <v>2.2000000000000002</v>
      </c>
      <c r="Y130" s="129">
        <f t="shared" si="39"/>
        <v>2.2000000000000002</v>
      </c>
      <c r="Z130" s="129">
        <f t="shared" si="39"/>
        <v>2.2000000000000002</v>
      </c>
      <c r="AA130" s="129">
        <f t="shared" si="39"/>
        <v>2.2000000000000002</v>
      </c>
      <c r="AB130" s="129">
        <f t="shared" si="39"/>
        <v>2.2000000000000002</v>
      </c>
      <c r="AC130" s="129">
        <f t="shared" si="39"/>
        <v>2.2000000000000002</v>
      </c>
      <c r="AD130" s="129">
        <f t="shared" si="39"/>
        <v>2.2000000000000002</v>
      </c>
      <c r="AE130" s="129">
        <f t="shared" si="39"/>
        <v>2.2000000000000002</v>
      </c>
      <c r="AF130" s="129">
        <f t="shared" si="39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7"/>
        <v>2</v>
      </c>
      <c r="C131" s="130">
        <v>2</v>
      </c>
      <c r="D131" s="129">
        <f t="shared" si="38"/>
        <v>2</v>
      </c>
      <c r="E131" s="129">
        <f t="shared" si="38"/>
        <v>2</v>
      </c>
      <c r="F131" s="129">
        <f t="shared" si="38"/>
        <v>2</v>
      </c>
      <c r="G131" s="129">
        <f t="shared" si="38"/>
        <v>2</v>
      </c>
      <c r="H131" s="129">
        <f t="shared" si="38"/>
        <v>2</v>
      </c>
      <c r="I131" s="129">
        <f t="shared" si="38"/>
        <v>2</v>
      </c>
      <c r="J131" s="129">
        <f t="shared" si="38"/>
        <v>2</v>
      </c>
      <c r="K131" s="129">
        <f t="shared" si="38"/>
        <v>2</v>
      </c>
      <c r="L131" s="129">
        <f t="shared" si="38"/>
        <v>2</v>
      </c>
      <c r="M131" s="129">
        <f t="shared" si="38"/>
        <v>2</v>
      </c>
      <c r="N131" s="129">
        <f t="shared" si="38"/>
        <v>2</v>
      </c>
      <c r="O131" s="129">
        <f t="shared" si="38"/>
        <v>2</v>
      </c>
      <c r="P131" s="129">
        <f t="shared" si="38"/>
        <v>2</v>
      </c>
      <c r="Q131" s="129">
        <f t="shared" si="38"/>
        <v>2</v>
      </c>
      <c r="R131" s="129">
        <f t="shared" si="38"/>
        <v>2</v>
      </c>
      <c r="S131" s="129">
        <f t="shared" si="38"/>
        <v>2</v>
      </c>
      <c r="T131" s="129">
        <f t="shared" si="39"/>
        <v>2</v>
      </c>
      <c r="U131" s="129">
        <f t="shared" si="39"/>
        <v>2</v>
      </c>
      <c r="V131" s="129">
        <f t="shared" si="39"/>
        <v>2</v>
      </c>
      <c r="W131" s="129">
        <f t="shared" si="39"/>
        <v>2</v>
      </c>
      <c r="X131" s="129">
        <f t="shared" si="39"/>
        <v>2</v>
      </c>
      <c r="Y131" s="129">
        <f t="shared" si="39"/>
        <v>2</v>
      </c>
      <c r="Z131" s="129">
        <f t="shared" si="39"/>
        <v>2</v>
      </c>
      <c r="AA131" s="129">
        <f t="shared" si="39"/>
        <v>2</v>
      </c>
      <c r="AB131" s="129">
        <f t="shared" si="39"/>
        <v>2</v>
      </c>
      <c r="AC131" s="129">
        <f t="shared" si="39"/>
        <v>2</v>
      </c>
      <c r="AD131" s="129">
        <f t="shared" si="39"/>
        <v>2</v>
      </c>
      <c r="AE131" s="129">
        <f t="shared" si="39"/>
        <v>2</v>
      </c>
      <c r="AF131" s="129">
        <f t="shared" si="39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7"/>
        <v>1.25</v>
      </c>
      <c r="C132" s="130">
        <v>1.25</v>
      </c>
      <c r="D132" s="129">
        <f t="shared" si="38"/>
        <v>1.25</v>
      </c>
      <c r="E132" s="129">
        <f t="shared" si="38"/>
        <v>1.25</v>
      </c>
      <c r="F132" s="129">
        <f t="shared" si="38"/>
        <v>1.25</v>
      </c>
      <c r="G132" s="129">
        <f t="shared" si="38"/>
        <v>1.25</v>
      </c>
      <c r="H132" s="129">
        <f t="shared" si="38"/>
        <v>1.25</v>
      </c>
      <c r="I132" s="129">
        <f t="shared" si="38"/>
        <v>1.25</v>
      </c>
      <c r="J132" s="129">
        <f t="shared" si="38"/>
        <v>1.25</v>
      </c>
      <c r="K132" s="129">
        <f t="shared" si="38"/>
        <v>1.25</v>
      </c>
      <c r="L132" s="129">
        <f t="shared" si="38"/>
        <v>1.25</v>
      </c>
      <c r="M132" s="129">
        <f t="shared" si="38"/>
        <v>1.25</v>
      </c>
      <c r="N132" s="129">
        <f t="shared" si="38"/>
        <v>1.25</v>
      </c>
      <c r="O132" s="129">
        <f t="shared" si="38"/>
        <v>1.25</v>
      </c>
      <c r="P132" s="129">
        <f t="shared" si="38"/>
        <v>1.25</v>
      </c>
      <c r="Q132" s="129">
        <f t="shared" si="38"/>
        <v>1.25</v>
      </c>
      <c r="R132" s="129">
        <f t="shared" si="38"/>
        <v>1.25</v>
      </c>
      <c r="S132" s="129">
        <f t="shared" si="38"/>
        <v>1.25</v>
      </c>
      <c r="T132" s="129">
        <f t="shared" si="39"/>
        <v>1.25</v>
      </c>
      <c r="U132" s="129">
        <f t="shared" si="39"/>
        <v>1.25</v>
      </c>
      <c r="V132" s="129">
        <f t="shared" si="39"/>
        <v>1.25</v>
      </c>
      <c r="W132" s="129">
        <f t="shared" si="39"/>
        <v>1.25</v>
      </c>
      <c r="X132" s="129">
        <f t="shared" si="39"/>
        <v>1.25</v>
      </c>
      <c r="Y132" s="129">
        <f t="shared" si="39"/>
        <v>1.25</v>
      </c>
      <c r="Z132" s="129">
        <f t="shared" si="39"/>
        <v>1.25</v>
      </c>
      <c r="AA132" s="129">
        <f t="shared" si="39"/>
        <v>1.25</v>
      </c>
      <c r="AB132" s="129">
        <f t="shared" si="39"/>
        <v>1.25</v>
      </c>
      <c r="AC132" s="129">
        <f t="shared" si="39"/>
        <v>1.25</v>
      </c>
      <c r="AD132" s="129">
        <f t="shared" si="39"/>
        <v>1.25</v>
      </c>
      <c r="AE132" s="129">
        <f t="shared" si="39"/>
        <v>1.25</v>
      </c>
      <c r="AF132" s="129">
        <f t="shared" si="39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7"/>
        <v>1.1499999999999999</v>
      </c>
      <c r="C133" s="130">
        <v>1.1499999999999999</v>
      </c>
      <c r="D133" s="129">
        <f t="shared" si="38"/>
        <v>1.1499999999999999</v>
      </c>
      <c r="E133" s="129">
        <f t="shared" si="38"/>
        <v>1.1499999999999999</v>
      </c>
      <c r="F133" s="129">
        <f t="shared" si="38"/>
        <v>1.1499999999999999</v>
      </c>
      <c r="G133" s="129">
        <f t="shared" si="38"/>
        <v>1.1499999999999999</v>
      </c>
      <c r="H133" s="129">
        <f t="shared" si="38"/>
        <v>1.1499999999999999</v>
      </c>
      <c r="I133" s="129">
        <f t="shared" si="38"/>
        <v>1.1499999999999999</v>
      </c>
      <c r="J133" s="129">
        <f t="shared" si="38"/>
        <v>1.1499999999999999</v>
      </c>
      <c r="K133" s="129">
        <f t="shared" si="38"/>
        <v>1.1499999999999999</v>
      </c>
      <c r="L133" s="129">
        <f t="shared" si="38"/>
        <v>1.1499999999999999</v>
      </c>
      <c r="M133" s="129">
        <f t="shared" si="38"/>
        <v>1.1499999999999999</v>
      </c>
      <c r="N133" s="129">
        <f t="shared" si="38"/>
        <v>1.1499999999999999</v>
      </c>
      <c r="O133" s="129">
        <f t="shared" si="38"/>
        <v>1.1499999999999999</v>
      </c>
      <c r="P133" s="129">
        <f t="shared" si="38"/>
        <v>1.1499999999999999</v>
      </c>
      <c r="Q133" s="129">
        <f t="shared" si="38"/>
        <v>1.1499999999999999</v>
      </c>
      <c r="R133" s="129">
        <f t="shared" si="38"/>
        <v>1.1499999999999999</v>
      </c>
      <c r="S133" s="129">
        <f t="shared" si="38"/>
        <v>1.1499999999999999</v>
      </c>
      <c r="T133" s="129">
        <f t="shared" si="39"/>
        <v>1.1499999999999999</v>
      </c>
      <c r="U133" s="129">
        <f t="shared" si="39"/>
        <v>1.1499999999999999</v>
      </c>
      <c r="V133" s="129">
        <f t="shared" si="39"/>
        <v>1.1499999999999999</v>
      </c>
      <c r="W133" s="129">
        <f t="shared" si="39"/>
        <v>1.1499999999999999</v>
      </c>
      <c r="X133" s="129">
        <f t="shared" si="39"/>
        <v>1.1499999999999999</v>
      </c>
      <c r="Y133" s="129">
        <f t="shared" si="39"/>
        <v>1.1499999999999999</v>
      </c>
      <c r="Z133" s="129">
        <f t="shared" si="39"/>
        <v>1.1499999999999999</v>
      </c>
      <c r="AA133" s="129">
        <f t="shared" si="39"/>
        <v>1.1499999999999999</v>
      </c>
      <c r="AB133" s="129">
        <f t="shared" si="39"/>
        <v>1.1499999999999999</v>
      </c>
      <c r="AC133" s="129">
        <f t="shared" si="39"/>
        <v>1.1499999999999999</v>
      </c>
      <c r="AD133" s="129">
        <f t="shared" si="39"/>
        <v>1.1499999999999999</v>
      </c>
      <c r="AE133" s="129">
        <f t="shared" si="39"/>
        <v>1.1499999999999999</v>
      </c>
      <c r="AF133" s="129">
        <f t="shared" si="39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7"/>
        <v>2.133</v>
      </c>
      <c r="C134" s="130">
        <v>2.133</v>
      </c>
      <c r="D134" s="129">
        <f t="shared" si="38"/>
        <v>2.133</v>
      </c>
      <c r="E134" s="129">
        <f t="shared" si="38"/>
        <v>2.133</v>
      </c>
      <c r="F134" s="129">
        <f t="shared" si="38"/>
        <v>2.133</v>
      </c>
      <c r="G134" s="129">
        <f t="shared" si="38"/>
        <v>2.133</v>
      </c>
      <c r="H134" s="129">
        <f t="shared" si="38"/>
        <v>2.133</v>
      </c>
      <c r="I134" s="129">
        <f t="shared" si="38"/>
        <v>2.133</v>
      </c>
      <c r="J134" s="129">
        <f t="shared" si="38"/>
        <v>2.133</v>
      </c>
      <c r="K134" s="129">
        <f t="shared" si="38"/>
        <v>2.133</v>
      </c>
      <c r="L134" s="129">
        <f t="shared" si="38"/>
        <v>2.133</v>
      </c>
      <c r="M134" s="129">
        <f t="shared" si="38"/>
        <v>2.133</v>
      </c>
      <c r="N134" s="129">
        <f t="shared" si="38"/>
        <v>2.133</v>
      </c>
      <c r="O134" s="129">
        <f t="shared" si="38"/>
        <v>2.133</v>
      </c>
      <c r="P134" s="129">
        <f t="shared" si="38"/>
        <v>2.133</v>
      </c>
      <c r="Q134" s="129">
        <f t="shared" si="38"/>
        <v>2.133</v>
      </c>
      <c r="R134" s="129">
        <f t="shared" si="38"/>
        <v>2.133</v>
      </c>
      <c r="S134" s="129">
        <f t="shared" si="38"/>
        <v>2.133</v>
      </c>
      <c r="T134" s="129">
        <f t="shared" si="39"/>
        <v>2.133</v>
      </c>
      <c r="U134" s="129">
        <f t="shared" si="39"/>
        <v>2.133</v>
      </c>
      <c r="V134" s="129">
        <f t="shared" si="39"/>
        <v>2.133</v>
      </c>
      <c r="W134" s="129">
        <f t="shared" si="39"/>
        <v>2.133</v>
      </c>
      <c r="X134" s="129">
        <f t="shared" si="39"/>
        <v>2.133</v>
      </c>
      <c r="Y134" s="129">
        <f t="shared" si="39"/>
        <v>2.133</v>
      </c>
      <c r="Z134" s="129">
        <f t="shared" si="39"/>
        <v>2.133</v>
      </c>
      <c r="AA134" s="129">
        <f t="shared" si="39"/>
        <v>2.133</v>
      </c>
      <c r="AB134" s="129">
        <f t="shared" si="39"/>
        <v>2.133</v>
      </c>
      <c r="AC134" s="129">
        <f t="shared" si="39"/>
        <v>2.133</v>
      </c>
      <c r="AD134" s="129">
        <f t="shared" si="39"/>
        <v>2.133</v>
      </c>
      <c r="AE134" s="129">
        <f t="shared" si="39"/>
        <v>2.133</v>
      </c>
      <c r="AF134" s="129">
        <f t="shared" si="39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7"/>
        <v>2.09</v>
      </c>
      <c r="C135" s="130">
        <v>2.09</v>
      </c>
      <c r="D135" s="129">
        <f t="shared" si="38"/>
        <v>2.09</v>
      </c>
      <c r="E135" s="129">
        <f t="shared" si="38"/>
        <v>2.09</v>
      </c>
      <c r="F135" s="129">
        <f t="shared" si="38"/>
        <v>2.09</v>
      </c>
      <c r="G135" s="129">
        <f t="shared" si="38"/>
        <v>2.09</v>
      </c>
      <c r="H135" s="129">
        <f t="shared" si="38"/>
        <v>2.09</v>
      </c>
      <c r="I135" s="129">
        <f t="shared" si="38"/>
        <v>2.09</v>
      </c>
      <c r="J135" s="129">
        <f t="shared" si="38"/>
        <v>2.09</v>
      </c>
      <c r="K135" s="129">
        <f t="shared" si="38"/>
        <v>2.09</v>
      </c>
      <c r="L135" s="129">
        <f t="shared" si="38"/>
        <v>2.09</v>
      </c>
      <c r="M135" s="129">
        <f t="shared" si="38"/>
        <v>2.09</v>
      </c>
      <c r="N135" s="129">
        <f t="shared" si="38"/>
        <v>2.09</v>
      </c>
      <c r="O135" s="129">
        <f t="shared" si="38"/>
        <v>2.09</v>
      </c>
      <c r="P135" s="129">
        <f t="shared" si="38"/>
        <v>2.09</v>
      </c>
      <c r="Q135" s="129">
        <f t="shared" si="38"/>
        <v>2.09</v>
      </c>
      <c r="R135" s="129">
        <f t="shared" si="38"/>
        <v>2.09</v>
      </c>
      <c r="S135" s="129">
        <f t="shared" si="38"/>
        <v>2.09</v>
      </c>
      <c r="T135" s="129">
        <f t="shared" si="39"/>
        <v>2.09</v>
      </c>
      <c r="U135" s="129">
        <f t="shared" si="39"/>
        <v>2.09</v>
      </c>
      <c r="V135" s="129">
        <f t="shared" si="39"/>
        <v>2.09</v>
      </c>
      <c r="W135" s="129">
        <f t="shared" si="39"/>
        <v>2.09</v>
      </c>
      <c r="X135" s="129">
        <f t="shared" si="39"/>
        <v>2.09</v>
      </c>
      <c r="Y135" s="129">
        <f t="shared" si="39"/>
        <v>2.09</v>
      </c>
      <c r="Z135" s="129">
        <f t="shared" si="39"/>
        <v>2.09</v>
      </c>
      <c r="AA135" s="129">
        <f t="shared" si="39"/>
        <v>2.09</v>
      </c>
      <c r="AB135" s="129">
        <f t="shared" si="39"/>
        <v>2.09</v>
      </c>
      <c r="AC135" s="129">
        <f t="shared" si="39"/>
        <v>2.09</v>
      </c>
      <c r="AD135" s="129">
        <f t="shared" si="39"/>
        <v>2.09</v>
      </c>
      <c r="AE135" s="129">
        <f t="shared" si="39"/>
        <v>2.09</v>
      </c>
      <c r="AF135" s="129">
        <f t="shared" si="39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7"/>
        <v>1.1399999999999999</v>
      </c>
      <c r="C136" s="130">
        <v>1.1399999999999999</v>
      </c>
      <c r="D136" s="129">
        <f t="shared" si="38"/>
        <v>1.1399999999999999</v>
      </c>
      <c r="E136" s="129">
        <f t="shared" si="38"/>
        <v>1.1399999999999999</v>
      </c>
      <c r="F136" s="129">
        <f t="shared" si="38"/>
        <v>1.1399999999999999</v>
      </c>
      <c r="G136" s="129">
        <f t="shared" si="38"/>
        <v>1.1399999999999999</v>
      </c>
      <c r="H136" s="129">
        <f t="shared" si="38"/>
        <v>1.1399999999999999</v>
      </c>
      <c r="I136" s="129">
        <f t="shared" si="38"/>
        <v>1.1399999999999999</v>
      </c>
      <c r="J136" s="129">
        <f t="shared" si="38"/>
        <v>1.1399999999999999</v>
      </c>
      <c r="K136" s="129">
        <f t="shared" si="38"/>
        <v>1.1399999999999999</v>
      </c>
      <c r="L136" s="129">
        <f t="shared" si="38"/>
        <v>1.1399999999999999</v>
      </c>
      <c r="M136" s="129">
        <f t="shared" si="38"/>
        <v>1.1399999999999999</v>
      </c>
      <c r="N136" s="129">
        <f t="shared" si="38"/>
        <v>1.1399999999999999</v>
      </c>
      <c r="O136" s="129">
        <f t="shared" si="38"/>
        <v>1.1399999999999999</v>
      </c>
      <c r="P136" s="129">
        <f t="shared" si="38"/>
        <v>1.1399999999999999</v>
      </c>
      <c r="Q136" s="129">
        <f t="shared" si="38"/>
        <v>1.1399999999999999</v>
      </c>
      <c r="R136" s="129">
        <f t="shared" si="38"/>
        <v>1.1399999999999999</v>
      </c>
      <c r="S136" s="129">
        <f t="shared" si="38"/>
        <v>1.1399999999999999</v>
      </c>
      <c r="T136" s="129">
        <f t="shared" si="39"/>
        <v>1.1399999999999999</v>
      </c>
      <c r="U136" s="129">
        <f t="shared" si="39"/>
        <v>1.1399999999999999</v>
      </c>
      <c r="V136" s="129">
        <f t="shared" si="39"/>
        <v>1.1399999999999999</v>
      </c>
      <c r="W136" s="129">
        <f t="shared" si="39"/>
        <v>1.1399999999999999</v>
      </c>
      <c r="X136" s="129">
        <f t="shared" si="39"/>
        <v>1.1399999999999999</v>
      </c>
      <c r="Y136" s="129">
        <f t="shared" si="39"/>
        <v>1.1399999999999999</v>
      </c>
      <c r="Z136" s="129">
        <f t="shared" si="39"/>
        <v>1.1399999999999999</v>
      </c>
      <c r="AA136" s="129">
        <f t="shared" si="39"/>
        <v>1.1399999999999999</v>
      </c>
      <c r="AB136" s="129">
        <f t="shared" si="39"/>
        <v>1.1399999999999999</v>
      </c>
      <c r="AC136" s="129">
        <f t="shared" si="39"/>
        <v>1.1399999999999999</v>
      </c>
      <c r="AD136" s="129">
        <f t="shared" si="39"/>
        <v>1.1399999999999999</v>
      </c>
      <c r="AE136" s="129">
        <f t="shared" si="39"/>
        <v>1.1399999999999999</v>
      </c>
      <c r="AF136" s="129">
        <f t="shared" si="39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7"/>
        <v>0.82</v>
      </c>
      <c r="C137" s="130">
        <v>0.82</v>
      </c>
      <c r="D137" s="129">
        <f t="shared" si="38"/>
        <v>0.82</v>
      </c>
      <c r="E137" s="129">
        <f t="shared" si="38"/>
        <v>0.82</v>
      </c>
      <c r="F137" s="129">
        <f t="shared" si="38"/>
        <v>0.82</v>
      </c>
      <c r="G137" s="129">
        <f t="shared" si="38"/>
        <v>0.82</v>
      </c>
      <c r="H137" s="129">
        <f t="shared" si="38"/>
        <v>0.82</v>
      </c>
      <c r="I137" s="129">
        <f t="shared" si="38"/>
        <v>0.82</v>
      </c>
      <c r="J137" s="129">
        <f t="shared" si="38"/>
        <v>0.82</v>
      </c>
      <c r="K137" s="129">
        <f t="shared" si="38"/>
        <v>0.82</v>
      </c>
      <c r="L137" s="129">
        <f t="shared" si="38"/>
        <v>0.82</v>
      </c>
      <c r="M137" s="129">
        <f t="shared" si="38"/>
        <v>0.82</v>
      </c>
      <c r="N137" s="129">
        <f t="shared" si="38"/>
        <v>0.82</v>
      </c>
      <c r="O137" s="129">
        <f t="shared" si="38"/>
        <v>0.82</v>
      </c>
      <c r="P137" s="129">
        <f t="shared" si="38"/>
        <v>0.82</v>
      </c>
      <c r="Q137" s="129">
        <f t="shared" si="38"/>
        <v>0.82</v>
      </c>
      <c r="R137" s="129">
        <f t="shared" si="38"/>
        <v>0.82</v>
      </c>
      <c r="S137" s="129">
        <f t="shared" si="38"/>
        <v>0.82</v>
      </c>
      <c r="T137" s="129">
        <f t="shared" si="39"/>
        <v>0.82</v>
      </c>
      <c r="U137" s="129">
        <f t="shared" si="39"/>
        <v>0.82</v>
      </c>
      <c r="V137" s="129">
        <f t="shared" si="39"/>
        <v>0.82</v>
      </c>
      <c r="W137" s="129">
        <f t="shared" si="39"/>
        <v>0.82</v>
      </c>
      <c r="X137" s="129">
        <f t="shared" si="39"/>
        <v>0.82</v>
      </c>
      <c r="Y137" s="129">
        <f t="shared" si="39"/>
        <v>0.82</v>
      </c>
      <c r="Z137" s="129">
        <f t="shared" si="39"/>
        <v>0.82</v>
      </c>
      <c r="AA137" s="129">
        <f t="shared" si="39"/>
        <v>0.82</v>
      </c>
      <c r="AB137" s="129">
        <f t="shared" si="39"/>
        <v>0.82</v>
      </c>
      <c r="AC137" s="129">
        <f t="shared" si="39"/>
        <v>0.82</v>
      </c>
      <c r="AD137" s="129">
        <f t="shared" si="39"/>
        <v>0.82</v>
      </c>
      <c r="AE137" s="129">
        <f t="shared" si="39"/>
        <v>0.82</v>
      </c>
      <c r="AF137" s="129">
        <f t="shared" si="39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40">AF139</f>
        <v>2</v>
      </c>
      <c r="C139" s="130">
        <v>2</v>
      </c>
      <c r="D139" s="129">
        <f t="shared" ref="D139:S145" si="41">C139</f>
        <v>2</v>
      </c>
      <c r="E139" s="129">
        <f t="shared" si="41"/>
        <v>2</v>
      </c>
      <c r="F139" s="129">
        <f t="shared" si="41"/>
        <v>2</v>
      </c>
      <c r="G139" s="129">
        <f t="shared" si="41"/>
        <v>2</v>
      </c>
      <c r="H139" s="129">
        <f t="shared" si="41"/>
        <v>2</v>
      </c>
      <c r="I139" s="129">
        <f t="shared" si="41"/>
        <v>2</v>
      </c>
      <c r="J139" s="129">
        <f t="shared" si="41"/>
        <v>2</v>
      </c>
      <c r="K139" s="129">
        <f t="shared" si="41"/>
        <v>2</v>
      </c>
      <c r="L139" s="129">
        <f t="shared" si="41"/>
        <v>2</v>
      </c>
      <c r="M139" s="129">
        <f t="shared" si="41"/>
        <v>2</v>
      </c>
      <c r="N139" s="129">
        <f t="shared" si="41"/>
        <v>2</v>
      </c>
      <c r="O139" s="129">
        <f t="shared" si="41"/>
        <v>2</v>
      </c>
      <c r="P139" s="129">
        <f t="shared" si="41"/>
        <v>2</v>
      </c>
      <c r="Q139" s="129">
        <f t="shared" si="41"/>
        <v>2</v>
      </c>
      <c r="R139" s="129">
        <f t="shared" si="41"/>
        <v>2</v>
      </c>
      <c r="S139" s="129">
        <f t="shared" si="41"/>
        <v>2</v>
      </c>
      <c r="T139" s="129">
        <f t="shared" ref="T139:AF145" si="42">S139</f>
        <v>2</v>
      </c>
      <c r="U139" s="129">
        <f t="shared" si="42"/>
        <v>2</v>
      </c>
      <c r="V139" s="129">
        <f t="shared" si="42"/>
        <v>2</v>
      </c>
      <c r="W139" s="129">
        <f t="shared" si="42"/>
        <v>2</v>
      </c>
      <c r="X139" s="129">
        <f t="shared" si="42"/>
        <v>2</v>
      </c>
      <c r="Y139" s="129">
        <f t="shared" si="42"/>
        <v>2</v>
      </c>
      <c r="Z139" s="129">
        <f t="shared" si="42"/>
        <v>2</v>
      </c>
      <c r="AA139" s="129">
        <f t="shared" si="42"/>
        <v>2</v>
      </c>
      <c r="AB139" s="129">
        <f t="shared" si="42"/>
        <v>2</v>
      </c>
      <c r="AC139" s="129">
        <f t="shared" si="42"/>
        <v>2</v>
      </c>
      <c r="AD139" s="129">
        <f t="shared" si="42"/>
        <v>2</v>
      </c>
      <c r="AE139" s="129">
        <f t="shared" si="42"/>
        <v>2</v>
      </c>
      <c r="AF139" s="129">
        <f t="shared" si="42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40"/>
        <v>5.61</v>
      </c>
      <c r="C140" s="130">
        <v>5.61</v>
      </c>
      <c r="D140" s="129">
        <f t="shared" si="41"/>
        <v>5.61</v>
      </c>
      <c r="E140" s="129">
        <f t="shared" si="41"/>
        <v>5.61</v>
      </c>
      <c r="F140" s="129">
        <f t="shared" si="41"/>
        <v>5.61</v>
      </c>
      <c r="G140" s="129">
        <f t="shared" si="41"/>
        <v>5.61</v>
      </c>
      <c r="H140" s="129">
        <f t="shared" si="41"/>
        <v>5.61</v>
      </c>
      <c r="I140" s="129">
        <f t="shared" si="41"/>
        <v>5.61</v>
      </c>
      <c r="J140" s="129">
        <f t="shared" si="41"/>
        <v>5.61</v>
      </c>
      <c r="K140" s="129">
        <f t="shared" si="41"/>
        <v>5.61</v>
      </c>
      <c r="L140" s="129">
        <f t="shared" si="41"/>
        <v>5.61</v>
      </c>
      <c r="M140" s="129">
        <f t="shared" si="41"/>
        <v>5.61</v>
      </c>
      <c r="N140" s="129">
        <f t="shared" si="41"/>
        <v>5.61</v>
      </c>
      <c r="O140" s="129">
        <f t="shared" si="41"/>
        <v>5.61</v>
      </c>
      <c r="P140" s="129">
        <f t="shared" si="41"/>
        <v>5.61</v>
      </c>
      <c r="Q140" s="129">
        <f t="shared" si="41"/>
        <v>5.61</v>
      </c>
      <c r="R140" s="129">
        <f t="shared" si="41"/>
        <v>5.61</v>
      </c>
      <c r="S140" s="129">
        <f t="shared" si="41"/>
        <v>5.61</v>
      </c>
      <c r="T140" s="129">
        <f t="shared" si="42"/>
        <v>5.61</v>
      </c>
      <c r="U140" s="129">
        <f t="shared" si="42"/>
        <v>5.61</v>
      </c>
      <c r="V140" s="129">
        <f t="shared" si="42"/>
        <v>5.61</v>
      </c>
      <c r="W140" s="129">
        <f t="shared" si="42"/>
        <v>5.61</v>
      </c>
      <c r="X140" s="129">
        <f t="shared" si="42"/>
        <v>5.61</v>
      </c>
      <c r="Y140" s="129">
        <f t="shared" si="42"/>
        <v>5.61</v>
      </c>
      <c r="Z140" s="129">
        <f t="shared" si="42"/>
        <v>5.61</v>
      </c>
      <c r="AA140" s="129">
        <f t="shared" si="42"/>
        <v>5.61</v>
      </c>
      <c r="AB140" s="129">
        <f t="shared" si="42"/>
        <v>5.61</v>
      </c>
      <c r="AC140" s="129">
        <f t="shared" si="42"/>
        <v>5.61</v>
      </c>
      <c r="AD140" s="129">
        <f t="shared" si="42"/>
        <v>5.61</v>
      </c>
      <c r="AE140" s="129">
        <f t="shared" si="42"/>
        <v>5.61</v>
      </c>
      <c r="AF140" s="129">
        <f t="shared" si="42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40"/>
        <v>1.25</v>
      </c>
      <c r="C141" s="130">
        <v>1.25</v>
      </c>
      <c r="D141" s="129">
        <f t="shared" si="41"/>
        <v>1.25</v>
      </c>
      <c r="E141" s="129">
        <f t="shared" si="41"/>
        <v>1.25</v>
      </c>
      <c r="F141" s="129">
        <f t="shared" si="41"/>
        <v>1.25</v>
      </c>
      <c r="G141" s="129">
        <f t="shared" si="41"/>
        <v>1.25</v>
      </c>
      <c r="H141" s="129">
        <f t="shared" si="41"/>
        <v>1.25</v>
      </c>
      <c r="I141" s="129">
        <f t="shared" si="41"/>
        <v>1.25</v>
      </c>
      <c r="J141" s="129">
        <f t="shared" si="41"/>
        <v>1.25</v>
      </c>
      <c r="K141" s="129">
        <f t="shared" si="41"/>
        <v>1.25</v>
      </c>
      <c r="L141" s="129">
        <f t="shared" si="41"/>
        <v>1.25</v>
      </c>
      <c r="M141" s="129">
        <f t="shared" si="41"/>
        <v>1.25</v>
      </c>
      <c r="N141" s="129">
        <f t="shared" si="41"/>
        <v>1.25</v>
      </c>
      <c r="O141" s="129">
        <f t="shared" si="41"/>
        <v>1.25</v>
      </c>
      <c r="P141" s="129">
        <f t="shared" si="41"/>
        <v>1.25</v>
      </c>
      <c r="Q141" s="129">
        <f t="shared" si="41"/>
        <v>1.25</v>
      </c>
      <c r="R141" s="129">
        <f t="shared" si="41"/>
        <v>1.25</v>
      </c>
      <c r="S141" s="129">
        <f t="shared" si="41"/>
        <v>1.25</v>
      </c>
      <c r="T141" s="129">
        <f t="shared" si="42"/>
        <v>1.25</v>
      </c>
      <c r="U141" s="129">
        <f t="shared" si="42"/>
        <v>1.25</v>
      </c>
      <c r="V141" s="129">
        <f t="shared" si="42"/>
        <v>1.25</v>
      </c>
      <c r="W141" s="129">
        <f t="shared" si="42"/>
        <v>1.25</v>
      </c>
      <c r="X141" s="129">
        <f t="shared" si="42"/>
        <v>1.25</v>
      </c>
      <c r="Y141" s="129">
        <f t="shared" si="42"/>
        <v>1.25</v>
      </c>
      <c r="Z141" s="129">
        <f t="shared" si="42"/>
        <v>1.25</v>
      </c>
      <c r="AA141" s="129">
        <f t="shared" si="42"/>
        <v>1.25</v>
      </c>
      <c r="AB141" s="129">
        <f t="shared" si="42"/>
        <v>1.25</v>
      </c>
      <c r="AC141" s="129">
        <f t="shared" si="42"/>
        <v>1.25</v>
      </c>
      <c r="AD141" s="129">
        <f t="shared" si="42"/>
        <v>1.25</v>
      </c>
      <c r="AE141" s="129">
        <f t="shared" si="42"/>
        <v>1.25</v>
      </c>
      <c r="AF141" s="129">
        <f t="shared" si="42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40"/>
        <v>1.25</v>
      </c>
      <c r="C142" s="130">
        <v>1.25</v>
      </c>
      <c r="D142" s="129">
        <f t="shared" si="41"/>
        <v>1.25</v>
      </c>
      <c r="E142" s="129">
        <f t="shared" si="41"/>
        <v>1.25</v>
      </c>
      <c r="F142" s="129">
        <f t="shared" si="41"/>
        <v>1.25</v>
      </c>
      <c r="G142" s="129">
        <f t="shared" si="41"/>
        <v>1.25</v>
      </c>
      <c r="H142" s="129">
        <f t="shared" si="41"/>
        <v>1.25</v>
      </c>
      <c r="I142" s="129">
        <f t="shared" si="41"/>
        <v>1.25</v>
      </c>
      <c r="J142" s="129">
        <f t="shared" si="41"/>
        <v>1.25</v>
      </c>
      <c r="K142" s="129">
        <f t="shared" si="41"/>
        <v>1.25</v>
      </c>
      <c r="L142" s="129">
        <f t="shared" si="41"/>
        <v>1.25</v>
      </c>
      <c r="M142" s="129">
        <f t="shared" si="41"/>
        <v>1.25</v>
      </c>
      <c r="N142" s="129">
        <f t="shared" si="41"/>
        <v>1.25</v>
      </c>
      <c r="O142" s="129">
        <f t="shared" si="41"/>
        <v>1.25</v>
      </c>
      <c r="P142" s="129">
        <f t="shared" si="41"/>
        <v>1.25</v>
      </c>
      <c r="Q142" s="129">
        <f t="shared" si="41"/>
        <v>1.25</v>
      </c>
      <c r="R142" s="129">
        <f t="shared" si="41"/>
        <v>1.25</v>
      </c>
      <c r="S142" s="129">
        <f t="shared" si="41"/>
        <v>1.25</v>
      </c>
      <c r="T142" s="129">
        <f t="shared" si="42"/>
        <v>1.25</v>
      </c>
      <c r="U142" s="129">
        <f t="shared" si="42"/>
        <v>1.25</v>
      </c>
      <c r="V142" s="129">
        <f t="shared" si="42"/>
        <v>1.25</v>
      </c>
      <c r="W142" s="129">
        <f t="shared" si="42"/>
        <v>1.25</v>
      </c>
      <c r="X142" s="129">
        <f t="shared" si="42"/>
        <v>1.25</v>
      </c>
      <c r="Y142" s="129">
        <f t="shared" si="42"/>
        <v>1.25</v>
      </c>
      <c r="Z142" s="129">
        <f t="shared" si="42"/>
        <v>1.25</v>
      </c>
      <c r="AA142" s="129">
        <f t="shared" si="42"/>
        <v>1.25</v>
      </c>
      <c r="AB142" s="129">
        <f t="shared" si="42"/>
        <v>1.25</v>
      </c>
      <c r="AC142" s="129">
        <f t="shared" si="42"/>
        <v>1.25</v>
      </c>
      <c r="AD142" s="129">
        <f t="shared" si="42"/>
        <v>1.25</v>
      </c>
      <c r="AE142" s="129">
        <f t="shared" si="42"/>
        <v>1.25</v>
      </c>
      <c r="AF142" s="129">
        <f t="shared" si="42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40"/>
        <v>1.46</v>
      </c>
      <c r="C143" s="130">
        <v>1.46</v>
      </c>
      <c r="D143" s="129">
        <f t="shared" si="41"/>
        <v>1.46</v>
      </c>
      <c r="E143" s="129">
        <f t="shared" si="41"/>
        <v>1.46</v>
      </c>
      <c r="F143" s="129">
        <f t="shared" si="41"/>
        <v>1.46</v>
      </c>
      <c r="G143" s="129">
        <f t="shared" si="41"/>
        <v>1.46</v>
      </c>
      <c r="H143" s="129">
        <f t="shared" si="41"/>
        <v>1.46</v>
      </c>
      <c r="I143" s="129">
        <f t="shared" si="41"/>
        <v>1.46</v>
      </c>
      <c r="J143" s="129">
        <f t="shared" si="41"/>
        <v>1.46</v>
      </c>
      <c r="K143" s="129">
        <f t="shared" si="41"/>
        <v>1.46</v>
      </c>
      <c r="L143" s="129">
        <f t="shared" si="41"/>
        <v>1.46</v>
      </c>
      <c r="M143" s="129">
        <f t="shared" si="41"/>
        <v>1.46</v>
      </c>
      <c r="N143" s="129">
        <f t="shared" si="41"/>
        <v>1.46</v>
      </c>
      <c r="O143" s="129">
        <f t="shared" si="41"/>
        <v>1.46</v>
      </c>
      <c r="P143" s="129">
        <f t="shared" si="41"/>
        <v>1.46</v>
      </c>
      <c r="Q143" s="129">
        <f t="shared" si="41"/>
        <v>1.46</v>
      </c>
      <c r="R143" s="129">
        <f t="shared" si="41"/>
        <v>1.46</v>
      </c>
      <c r="S143" s="129">
        <f t="shared" si="41"/>
        <v>1.46</v>
      </c>
      <c r="T143" s="129">
        <f t="shared" si="42"/>
        <v>1.46</v>
      </c>
      <c r="U143" s="129">
        <f t="shared" si="42"/>
        <v>1.46</v>
      </c>
      <c r="V143" s="129">
        <f t="shared" si="42"/>
        <v>1.46</v>
      </c>
      <c r="W143" s="129">
        <f t="shared" si="42"/>
        <v>1.46</v>
      </c>
      <c r="X143" s="129">
        <f t="shared" si="42"/>
        <v>1.46</v>
      </c>
      <c r="Y143" s="129">
        <f t="shared" si="42"/>
        <v>1.46</v>
      </c>
      <c r="Z143" s="129">
        <f t="shared" si="42"/>
        <v>1.46</v>
      </c>
      <c r="AA143" s="129">
        <f t="shared" si="42"/>
        <v>1.46</v>
      </c>
      <c r="AB143" s="129">
        <f t="shared" si="42"/>
        <v>1.46</v>
      </c>
      <c r="AC143" s="129">
        <f t="shared" si="42"/>
        <v>1.46</v>
      </c>
      <c r="AD143" s="129">
        <f t="shared" si="42"/>
        <v>1.46</v>
      </c>
      <c r="AE143" s="129">
        <f t="shared" si="42"/>
        <v>1.46</v>
      </c>
      <c r="AF143" s="129">
        <f t="shared" si="42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40"/>
        <v>3</v>
      </c>
      <c r="C144" s="130">
        <v>3</v>
      </c>
      <c r="D144" s="129">
        <f t="shared" si="41"/>
        <v>3</v>
      </c>
      <c r="E144" s="129">
        <f t="shared" si="41"/>
        <v>3</v>
      </c>
      <c r="F144" s="129">
        <f t="shared" si="41"/>
        <v>3</v>
      </c>
      <c r="G144" s="129">
        <f t="shared" si="41"/>
        <v>3</v>
      </c>
      <c r="H144" s="129">
        <f t="shared" si="41"/>
        <v>3</v>
      </c>
      <c r="I144" s="129">
        <f t="shared" si="41"/>
        <v>3</v>
      </c>
      <c r="J144" s="129">
        <f t="shared" si="41"/>
        <v>3</v>
      </c>
      <c r="K144" s="129">
        <f t="shared" si="41"/>
        <v>3</v>
      </c>
      <c r="L144" s="129">
        <f t="shared" si="41"/>
        <v>3</v>
      </c>
      <c r="M144" s="129">
        <f t="shared" si="41"/>
        <v>3</v>
      </c>
      <c r="N144" s="129">
        <f t="shared" si="41"/>
        <v>3</v>
      </c>
      <c r="O144" s="129">
        <f t="shared" si="41"/>
        <v>3</v>
      </c>
      <c r="P144" s="129">
        <f t="shared" si="41"/>
        <v>3</v>
      </c>
      <c r="Q144" s="129">
        <f t="shared" si="41"/>
        <v>3</v>
      </c>
      <c r="R144" s="129">
        <f t="shared" si="41"/>
        <v>3</v>
      </c>
      <c r="S144" s="129">
        <f t="shared" si="41"/>
        <v>3</v>
      </c>
      <c r="T144" s="129">
        <f t="shared" si="42"/>
        <v>3</v>
      </c>
      <c r="U144" s="129">
        <f t="shared" si="42"/>
        <v>3</v>
      </c>
      <c r="V144" s="129">
        <f t="shared" si="42"/>
        <v>3</v>
      </c>
      <c r="W144" s="129">
        <f t="shared" si="42"/>
        <v>3</v>
      </c>
      <c r="X144" s="129">
        <f t="shared" si="42"/>
        <v>3</v>
      </c>
      <c r="Y144" s="129">
        <f t="shared" si="42"/>
        <v>3</v>
      </c>
      <c r="Z144" s="129">
        <f t="shared" si="42"/>
        <v>3</v>
      </c>
      <c r="AA144" s="129">
        <f t="shared" si="42"/>
        <v>3</v>
      </c>
      <c r="AB144" s="129">
        <f t="shared" si="42"/>
        <v>3</v>
      </c>
      <c r="AC144" s="129">
        <f t="shared" si="42"/>
        <v>3</v>
      </c>
      <c r="AD144" s="129">
        <f t="shared" si="42"/>
        <v>3</v>
      </c>
      <c r="AE144" s="129">
        <f t="shared" si="42"/>
        <v>3</v>
      </c>
      <c r="AF144" s="129">
        <f t="shared" si="42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40"/>
        <v>3.3</v>
      </c>
      <c r="C145" s="130">
        <v>3.3</v>
      </c>
      <c r="D145" s="129">
        <f t="shared" si="41"/>
        <v>3.3</v>
      </c>
      <c r="E145" s="129">
        <f t="shared" si="41"/>
        <v>3.3</v>
      </c>
      <c r="F145" s="129">
        <f t="shared" si="41"/>
        <v>3.3</v>
      </c>
      <c r="G145" s="129">
        <f t="shared" si="41"/>
        <v>3.3</v>
      </c>
      <c r="H145" s="129">
        <f t="shared" si="41"/>
        <v>3.3</v>
      </c>
      <c r="I145" s="129">
        <f t="shared" si="41"/>
        <v>3.3</v>
      </c>
      <c r="J145" s="129">
        <f t="shared" si="41"/>
        <v>3.3</v>
      </c>
      <c r="K145" s="129">
        <f t="shared" si="41"/>
        <v>3.3</v>
      </c>
      <c r="L145" s="129">
        <f t="shared" si="41"/>
        <v>3.3</v>
      </c>
      <c r="M145" s="129">
        <f t="shared" si="41"/>
        <v>3.3</v>
      </c>
      <c r="N145" s="129">
        <f t="shared" si="41"/>
        <v>3.3</v>
      </c>
      <c r="O145" s="129">
        <f t="shared" si="41"/>
        <v>3.3</v>
      </c>
      <c r="P145" s="129">
        <f t="shared" si="41"/>
        <v>3.3</v>
      </c>
      <c r="Q145" s="129">
        <f t="shared" si="41"/>
        <v>3.3</v>
      </c>
      <c r="R145" s="129">
        <f t="shared" si="41"/>
        <v>3.3</v>
      </c>
      <c r="S145" s="129">
        <f t="shared" si="41"/>
        <v>3.3</v>
      </c>
      <c r="T145" s="129">
        <f t="shared" si="42"/>
        <v>3.3</v>
      </c>
      <c r="U145" s="129">
        <f t="shared" si="42"/>
        <v>3.3</v>
      </c>
      <c r="V145" s="129">
        <f t="shared" si="42"/>
        <v>3.3</v>
      </c>
      <c r="W145" s="129">
        <f t="shared" si="42"/>
        <v>3.3</v>
      </c>
      <c r="X145" s="129">
        <f t="shared" si="42"/>
        <v>3.3</v>
      </c>
      <c r="Y145" s="129">
        <f t="shared" si="42"/>
        <v>3.3</v>
      </c>
      <c r="Z145" s="129">
        <f t="shared" si="42"/>
        <v>3.3</v>
      </c>
      <c r="AA145" s="129">
        <f t="shared" si="42"/>
        <v>3.3</v>
      </c>
      <c r="AB145" s="129">
        <f t="shared" si="42"/>
        <v>3.3</v>
      </c>
      <c r="AC145" s="129">
        <f t="shared" si="42"/>
        <v>3.3</v>
      </c>
      <c r="AD145" s="129">
        <f t="shared" si="42"/>
        <v>3.3</v>
      </c>
      <c r="AE145" s="129">
        <f t="shared" si="42"/>
        <v>3.3</v>
      </c>
      <c r="AF145" s="129">
        <f t="shared" si="42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3">C147</f>
        <v>1.76</v>
      </c>
      <c r="E147" s="129">
        <f t="shared" si="43"/>
        <v>1.76</v>
      </c>
      <c r="F147" s="129">
        <f t="shared" si="43"/>
        <v>1.76</v>
      </c>
      <c r="G147" s="129">
        <f t="shared" si="43"/>
        <v>1.76</v>
      </c>
      <c r="H147" s="129">
        <f t="shared" si="43"/>
        <v>1.76</v>
      </c>
      <c r="I147" s="129">
        <f t="shared" si="43"/>
        <v>1.76</v>
      </c>
      <c r="J147" s="129">
        <f t="shared" si="43"/>
        <v>1.76</v>
      </c>
      <c r="K147" s="129">
        <f t="shared" si="43"/>
        <v>1.76</v>
      </c>
      <c r="L147" s="129">
        <f t="shared" si="43"/>
        <v>1.76</v>
      </c>
      <c r="M147" s="129">
        <f t="shared" si="43"/>
        <v>1.76</v>
      </c>
      <c r="N147" s="129">
        <f t="shared" si="43"/>
        <v>1.76</v>
      </c>
      <c r="O147" s="129">
        <f t="shared" si="43"/>
        <v>1.76</v>
      </c>
      <c r="P147" s="129">
        <f t="shared" si="43"/>
        <v>1.76</v>
      </c>
      <c r="Q147" s="129">
        <f t="shared" si="43"/>
        <v>1.76</v>
      </c>
      <c r="R147" s="129">
        <f t="shared" si="43"/>
        <v>1.76</v>
      </c>
      <c r="S147" s="129">
        <f t="shared" si="43"/>
        <v>1.76</v>
      </c>
      <c r="T147" s="129">
        <f t="shared" ref="T147:AF148" si="44">S147</f>
        <v>1.76</v>
      </c>
      <c r="U147" s="129">
        <f t="shared" si="44"/>
        <v>1.76</v>
      </c>
      <c r="V147" s="129">
        <f t="shared" si="44"/>
        <v>1.76</v>
      </c>
      <c r="W147" s="129">
        <f t="shared" si="44"/>
        <v>1.76</v>
      </c>
      <c r="X147" s="129">
        <f t="shared" si="44"/>
        <v>1.76</v>
      </c>
      <c r="Y147" s="129">
        <f t="shared" si="44"/>
        <v>1.76</v>
      </c>
      <c r="Z147" s="129">
        <f t="shared" si="44"/>
        <v>1.76</v>
      </c>
      <c r="AA147" s="129">
        <f t="shared" si="44"/>
        <v>1.76</v>
      </c>
      <c r="AB147" s="129">
        <f t="shared" si="44"/>
        <v>1.76</v>
      </c>
      <c r="AC147" s="129">
        <f t="shared" si="44"/>
        <v>1.76</v>
      </c>
      <c r="AD147" s="129">
        <f t="shared" si="44"/>
        <v>1.76</v>
      </c>
      <c r="AE147" s="129">
        <f t="shared" si="44"/>
        <v>1.76</v>
      </c>
      <c r="AF147" s="129">
        <f t="shared" si="44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3"/>
        <v>0</v>
      </c>
      <c r="E148" s="129">
        <f t="shared" si="43"/>
        <v>0</v>
      </c>
      <c r="F148" s="129">
        <f t="shared" si="43"/>
        <v>0</v>
      </c>
      <c r="G148" s="129">
        <f t="shared" si="43"/>
        <v>0</v>
      </c>
      <c r="H148" s="129">
        <f t="shared" si="43"/>
        <v>0</v>
      </c>
      <c r="I148" s="129">
        <f t="shared" si="43"/>
        <v>0</v>
      </c>
      <c r="J148" s="129">
        <f t="shared" si="43"/>
        <v>0</v>
      </c>
      <c r="K148" s="129">
        <f t="shared" si="43"/>
        <v>0</v>
      </c>
      <c r="L148" s="129">
        <f t="shared" si="43"/>
        <v>0</v>
      </c>
      <c r="M148" s="129">
        <f t="shared" si="43"/>
        <v>0</v>
      </c>
      <c r="N148" s="129">
        <f t="shared" si="43"/>
        <v>0</v>
      </c>
      <c r="O148" s="129">
        <f t="shared" si="43"/>
        <v>0</v>
      </c>
      <c r="P148" s="129">
        <f t="shared" si="43"/>
        <v>0</v>
      </c>
      <c r="Q148" s="129">
        <f t="shared" si="43"/>
        <v>0</v>
      </c>
      <c r="R148" s="129">
        <f t="shared" si="43"/>
        <v>0</v>
      </c>
      <c r="S148" s="129">
        <f t="shared" si="43"/>
        <v>0</v>
      </c>
      <c r="T148" s="129">
        <f t="shared" si="44"/>
        <v>0</v>
      </c>
      <c r="U148" s="129">
        <f t="shared" si="44"/>
        <v>0</v>
      </c>
      <c r="V148" s="129">
        <f t="shared" si="44"/>
        <v>0</v>
      </c>
      <c r="W148" s="129">
        <f t="shared" si="44"/>
        <v>0</v>
      </c>
      <c r="X148" s="129">
        <f t="shared" si="44"/>
        <v>0</v>
      </c>
      <c r="Y148" s="129">
        <f t="shared" si="44"/>
        <v>0</v>
      </c>
      <c r="Z148" s="129">
        <f t="shared" si="44"/>
        <v>0</v>
      </c>
      <c r="AA148" s="129">
        <f t="shared" si="44"/>
        <v>0</v>
      </c>
      <c r="AB148" s="129">
        <f t="shared" si="44"/>
        <v>0</v>
      </c>
      <c r="AC148" s="129">
        <f t="shared" si="44"/>
        <v>0</v>
      </c>
      <c r="AD148" s="129">
        <f t="shared" si="44"/>
        <v>0</v>
      </c>
      <c r="AE148" s="129">
        <f t="shared" si="44"/>
        <v>0</v>
      </c>
      <c r="AF148" s="129">
        <f t="shared" si="44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5">C150</f>
        <v>0.1</v>
      </c>
      <c r="E150" s="129">
        <f t="shared" si="45"/>
        <v>0.1</v>
      </c>
      <c r="F150" s="129">
        <f t="shared" si="45"/>
        <v>0.1</v>
      </c>
      <c r="G150" s="129">
        <f t="shared" si="45"/>
        <v>0.1</v>
      </c>
      <c r="H150" s="129">
        <f t="shared" si="45"/>
        <v>0.1</v>
      </c>
      <c r="I150" s="129">
        <f t="shared" si="45"/>
        <v>0.1</v>
      </c>
      <c r="J150" s="129">
        <f t="shared" si="45"/>
        <v>0.1</v>
      </c>
      <c r="K150" s="129">
        <f t="shared" si="45"/>
        <v>0.1</v>
      </c>
      <c r="L150" s="129">
        <f t="shared" si="45"/>
        <v>0.1</v>
      </c>
      <c r="M150" s="129">
        <f t="shared" si="45"/>
        <v>0.1</v>
      </c>
      <c r="N150" s="129">
        <f t="shared" si="45"/>
        <v>0.1</v>
      </c>
      <c r="O150" s="129">
        <f t="shared" si="45"/>
        <v>0.1</v>
      </c>
      <c r="P150" s="129">
        <f t="shared" si="45"/>
        <v>0.1</v>
      </c>
      <c r="Q150" s="129">
        <f t="shared" si="45"/>
        <v>0.1</v>
      </c>
      <c r="R150" s="129">
        <f t="shared" si="45"/>
        <v>0.1</v>
      </c>
      <c r="S150" s="129">
        <f t="shared" si="45"/>
        <v>0.1</v>
      </c>
      <c r="T150" s="129">
        <f t="shared" ref="T150:AF153" si="46">S150</f>
        <v>0.1</v>
      </c>
      <c r="U150" s="129">
        <f t="shared" si="46"/>
        <v>0.1</v>
      </c>
      <c r="V150" s="129">
        <f t="shared" si="46"/>
        <v>0.1</v>
      </c>
      <c r="W150" s="129">
        <f t="shared" si="46"/>
        <v>0.1</v>
      </c>
      <c r="X150" s="129">
        <f t="shared" si="46"/>
        <v>0.1</v>
      </c>
      <c r="Y150" s="129">
        <f t="shared" si="46"/>
        <v>0.1</v>
      </c>
      <c r="Z150" s="129">
        <f t="shared" si="46"/>
        <v>0.1</v>
      </c>
      <c r="AA150" s="129">
        <f t="shared" si="46"/>
        <v>0.1</v>
      </c>
      <c r="AB150" s="129">
        <f t="shared" si="46"/>
        <v>0.1</v>
      </c>
      <c r="AC150" s="129">
        <f t="shared" si="46"/>
        <v>0.1</v>
      </c>
      <c r="AD150" s="129">
        <f t="shared" si="46"/>
        <v>0.1</v>
      </c>
      <c r="AE150" s="129">
        <f t="shared" si="46"/>
        <v>0.1</v>
      </c>
      <c r="AF150" s="129">
        <f t="shared" si="46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5"/>
        <v>2.0499999999999998</v>
      </c>
      <c r="E151" s="129">
        <f t="shared" si="45"/>
        <v>2.0499999999999998</v>
      </c>
      <c r="F151" s="129">
        <f t="shared" si="45"/>
        <v>2.0499999999999998</v>
      </c>
      <c r="G151" s="129">
        <f t="shared" si="45"/>
        <v>2.0499999999999998</v>
      </c>
      <c r="H151" s="129">
        <f t="shared" si="45"/>
        <v>2.0499999999999998</v>
      </c>
      <c r="I151" s="129">
        <f t="shared" si="45"/>
        <v>2.0499999999999998</v>
      </c>
      <c r="J151" s="129">
        <f t="shared" si="45"/>
        <v>2.0499999999999998</v>
      </c>
      <c r="K151" s="129">
        <f t="shared" si="45"/>
        <v>2.0499999999999998</v>
      </c>
      <c r="L151" s="129">
        <f t="shared" si="45"/>
        <v>2.0499999999999998</v>
      </c>
      <c r="M151" s="129">
        <f t="shared" si="45"/>
        <v>2.0499999999999998</v>
      </c>
      <c r="N151" s="129">
        <f t="shared" si="45"/>
        <v>2.0499999999999998</v>
      </c>
      <c r="O151" s="129">
        <f t="shared" si="45"/>
        <v>2.0499999999999998</v>
      </c>
      <c r="P151" s="129">
        <f t="shared" si="45"/>
        <v>2.0499999999999998</v>
      </c>
      <c r="Q151" s="129">
        <f t="shared" si="45"/>
        <v>2.0499999999999998</v>
      </c>
      <c r="R151" s="129">
        <f t="shared" si="45"/>
        <v>2.0499999999999998</v>
      </c>
      <c r="S151" s="129">
        <f t="shared" si="45"/>
        <v>2.0499999999999998</v>
      </c>
      <c r="T151" s="129">
        <f t="shared" si="46"/>
        <v>2.0499999999999998</v>
      </c>
      <c r="U151" s="129">
        <f t="shared" si="46"/>
        <v>2.0499999999999998</v>
      </c>
      <c r="V151" s="129">
        <f t="shared" si="46"/>
        <v>2.0499999999999998</v>
      </c>
      <c r="W151" s="129">
        <f t="shared" si="46"/>
        <v>2.0499999999999998</v>
      </c>
      <c r="X151" s="129">
        <f t="shared" si="46"/>
        <v>2.0499999999999998</v>
      </c>
      <c r="Y151" s="129">
        <f t="shared" si="46"/>
        <v>2.0499999999999998</v>
      </c>
      <c r="Z151" s="129">
        <f t="shared" si="46"/>
        <v>2.0499999999999998</v>
      </c>
      <c r="AA151" s="129">
        <f t="shared" si="46"/>
        <v>2.0499999999999998</v>
      </c>
      <c r="AB151" s="129">
        <f t="shared" si="46"/>
        <v>2.0499999999999998</v>
      </c>
      <c r="AC151" s="129">
        <f t="shared" si="46"/>
        <v>2.0499999999999998</v>
      </c>
      <c r="AD151" s="129">
        <f t="shared" si="46"/>
        <v>2.0499999999999998</v>
      </c>
      <c r="AE151" s="129">
        <f t="shared" si="46"/>
        <v>2.0499999999999998</v>
      </c>
      <c r="AF151" s="129">
        <f t="shared" si="46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5"/>
        <v>2.7</v>
      </c>
      <c r="E152" s="129">
        <f t="shared" si="45"/>
        <v>2.7</v>
      </c>
      <c r="F152" s="129">
        <f t="shared" si="45"/>
        <v>2.7</v>
      </c>
      <c r="G152" s="129">
        <f t="shared" si="45"/>
        <v>2.7</v>
      </c>
      <c r="H152" s="129">
        <f t="shared" si="45"/>
        <v>2.7</v>
      </c>
      <c r="I152" s="129">
        <f t="shared" si="45"/>
        <v>2.7</v>
      </c>
      <c r="J152" s="129">
        <f t="shared" si="45"/>
        <v>2.7</v>
      </c>
      <c r="K152" s="129">
        <f t="shared" si="45"/>
        <v>2.7</v>
      </c>
      <c r="L152" s="129">
        <f t="shared" si="45"/>
        <v>2.7</v>
      </c>
      <c r="M152" s="129">
        <f t="shared" si="45"/>
        <v>2.7</v>
      </c>
      <c r="N152" s="129">
        <f t="shared" si="45"/>
        <v>2.7</v>
      </c>
      <c r="O152" s="129">
        <f t="shared" si="45"/>
        <v>2.7</v>
      </c>
      <c r="P152" s="129">
        <f t="shared" si="45"/>
        <v>2.7</v>
      </c>
      <c r="Q152" s="129">
        <f t="shared" si="45"/>
        <v>2.7</v>
      </c>
      <c r="R152" s="129">
        <f t="shared" si="45"/>
        <v>2.7</v>
      </c>
      <c r="S152" s="129">
        <f t="shared" si="45"/>
        <v>2.7</v>
      </c>
      <c r="T152" s="129">
        <f t="shared" si="46"/>
        <v>2.7</v>
      </c>
      <c r="U152" s="129">
        <f t="shared" si="46"/>
        <v>2.7</v>
      </c>
      <c r="V152" s="129">
        <f t="shared" si="46"/>
        <v>2.7</v>
      </c>
      <c r="W152" s="129">
        <f t="shared" si="46"/>
        <v>2.7</v>
      </c>
      <c r="X152" s="129">
        <f t="shared" si="46"/>
        <v>2.7</v>
      </c>
      <c r="Y152" s="129">
        <f t="shared" si="46"/>
        <v>2.7</v>
      </c>
      <c r="Z152" s="129">
        <f t="shared" si="46"/>
        <v>2.7</v>
      </c>
      <c r="AA152" s="129">
        <f t="shared" si="46"/>
        <v>2.7</v>
      </c>
      <c r="AB152" s="129">
        <f t="shared" si="46"/>
        <v>2.7</v>
      </c>
      <c r="AC152" s="129">
        <f t="shared" si="46"/>
        <v>2.7</v>
      </c>
      <c r="AD152" s="129">
        <f t="shared" si="46"/>
        <v>2.7</v>
      </c>
      <c r="AE152" s="129">
        <f t="shared" si="46"/>
        <v>2.7</v>
      </c>
      <c r="AF152" s="129">
        <f t="shared" si="46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5"/>
        <v>2.15</v>
      </c>
      <c r="E153" s="129">
        <f t="shared" si="45"/>
        <v>2.15</v>
      </c>
      <c r="F153" s="129">
        <f t="shared" si="45"/>
        <v>2.15</v>
      </c>
      <c r="G153" s="129">
        <f t="shared" si="45"/>
        <v>2.15</v>
      </c>
      <c r="H153" s="129">
        <f t="shared" si="45"/>
        <v>2.15</v>
      </c>
      <c r="I153" s="129">
        <f t="shared" si="45"/>
        <v>2.15</v>
      </c>
      <c r="J153" s="129">
        <f t="shared" si="45"/>
        <v>2.15</v>
      </c>
      <c r="K153" s="129">
        <f t="shared" si="45"/>
        <v>2.15</v>
      </c>
      <c r="L153" s="129">
        <f t="shared" si="45"/>
        <v>2.15</v>
      </c>
      <c r="M153" s="129">
        <f t="shared" si="45"/>
        <v>2.15</v>
      </c>
      <c r="N153" s="129">
        <f t="shared" si="45"/>
        <v>2.15</v>
      </c>
      <c r="O153" s="129">
        <f t="shared" si="45"/>
        <v>2.15</v>
      </c>
      <c r="P153" s="129">
        <f t="shared" si="45"/>
        <v>2.15</v>
      </c>
      <c r="Q153" s="129">
        <f t="shared" si="45"/>
        <v>2.15</v>
      </c>
      <c r="R153" s="129">
        <f t="shared" si="45"/>
        <v>2.15</v>
      </c>
      <c r="S153" s="129">
        <f t="shared" si="45"/>
        <v>2.15</v>
      </c>
      <c r="T153" s="129">
        <f t="shared" si="46"/>
        <v>2.15</v>
      </c>
      <c r="U153" s="129">
        <f t="shared" si="46"/>
        <v>2.15</v>
      </c>
      <c r="V153" s="129">
        <f t="shared" si="46"/>
        <v>2.15</v>
      </c>
      <c r="W153" s="129">
        <f t="shared" si="46"/>
        <v>2.15</v>
      </c>
      <c r="X153" s="129">
        <f t="shared" si="46"/>
        <v>2.15</v>
      </c>
      <c r="Y153" s="129">
        <f t="shared" si="46"/>
        <v>2.15</v>
      </c>
      <c r="Z153" s="129">
        <f t="shared" si="46"/>
        <v>2.15</v>
      </c>
      <c r="AA153" s="129">
        <f t="shared" si="46"/>
        <v>2.15</v>
      </c>
      <c r="AB153" s="129">
        <f t="shared" si="46"/>
        <v>2.15</v>
      </c>
      <c r="AC153" s="129">
        <f t="shared" si="46"/>
        <v>2.15</v>
      </c>
      <c r="AD153" s="129">
        <f t="shared" si="46"/>
        <v>2.15</v>
      </c>
      <c r="AE153" s="129">
        <f t="shared" si="46"/>
        <v>2.15</v>
      </c>
      <c r="AF153" s="129">
        <f t="shared" si="46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7">AF155</f>
        <v>0.9</v>
      </c>
      <c r="C155" s="130">
        <v>0.9</v>
      </c>
      <c r="D155" s="129">
        <f t="shared" ref="D155:S167" si="48">C155</f>
        <v>0.9</v>
      </c>
      <c r="E155" s="129">
        <f t="shared" si="48"/>
        <v>0.9</v>
      </c>
      <c r="F155" s="129">
        <f t="shared" si="48"/>
        <v>0.9</v>
      </c>
      <c r="G155" s="129">
        <f t="shared" si="48"/>
        <v>0.9</v>
      </c>
      <c r="H155" s="129">
        <f t="shared" si="48"/>
        <v>0.9</v>
      </c>
      <c r="I155" s="129">
        <f t="shared" si="48"/>
        <v>0.9</v>
      </c>
      <c r="J155" s="129">
        <f t="shared" si="48"/>
        <v>0.9</v>
      </c>
      <c r="K155" s="129">
        <f t="shared" si="48"/>
        <v>0.9</v>
      </c>
      <c r="L155" s="129">
        <f t="shared" si="48"/>
        <v>0.9</v>
      </c>
      <c r="M155" s="129">
        <f t="shared" si="48"/>
        <v>0.9</v>
      </c>
      <c r="N155" s="129">
        <f t="shared" si="48"/>
        <v>0.9</v>
      </c>
      <c r="O155" s="129">
        <f t="shared" si="48"/>
        <v>0.9</v>
      </c>
      <c r="P155" s="129">
        <f t="shared" si="48"/>
        <v>0.9</v>
      </c>
      <c r="Q155" s="129">
        <f t="shared" si="48"/>
        <v>0.9</v>
      </c>
      <c r="R155" s="129">
        <f t="shared" si="48"/>
        <v>0.9</v>
      </c>
      <c r="S155" s="129">
        <f t="shared" si="48"/>
        <v>0.9</v>
      </c>
      <c r="T155" s="129">
        <f t="shared" ref="S155:AF167" si="49">S155</f>
        <v>0.9</v>
      </c>
      <c r="U155" s="129">
        <f t="shared" si="49"/>
        <v>0.9</v>
      </c>
      <c r="V155" s="129">
        <f t="shared" si="49"/>
        <v>0.9</v>
      </c>
      <c r="W155" s="129">
        <f t="shared" si="49"/>
        <v>0.9</v>
      </c>
      <c r="X155" s="129">
        <f t="shared" si="49"/>
        <v>0.9</v>
      </c>
      <c r="Y155" s="129">
        <f t="shared" si="49"/>
        <v>0.9</v>
      </c>
      <c r="Z155" s="129">
        <f t="shared" si="49"/>
        <v>0.9</v>
      </c>
      <c r="AA155" s="129">
        <f t="shared" si="49"/>
        <v>0.9</v>
      </c>
      <c r="AB155" s="129">
        <f t="shared" si="49"/>
        <v>0.9</v>
      </c>
      <c r="AC155" s="129">
        <f t="shared" si="49"/>
        <v>0.9</v>
      </c>
      <c r="AD155" s="129">
        <f t="shared" si="49"/>
        <v>0.9</v>
      </c>
      <c r="AE155" s="129">
        <f t="shared" si="49"/>
        <v>0.9</v>
      </c>
      <c r="AF155" s="129">
        <f t="shared" si="49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7"/>
        <v>1.08</v>
      </c>
      <c r="C156" s="130">
        <v>1.08</v>
      </c>
      <c r="D156" s="129">
        <f t="shared" si="48"/>
        <v>1.08</v>
      </c>
      <c r="E156" s="129">
        <f t="shared" si="48"/>
        <v>1.08</v>
      </c>
      <c r="F156" s="129">
        <f t="shared" si="48"/>
        <v>1.08</v>
      </c>
      <c r="G156" s="129">
        <f t="shared" si="48"/>
        <v>1.08</v>
      </c>
      <c r="H156" s="129">
        <f t="shared" si="48"/>
        <v>1.08</v>
      </c>
      <c r="I156" s="129">
        <f t="shared" si="48"/>
        <v>1.08</v>
      </c>
      <c r="J156" s="129">
        <f t="shared" si="48"/>
        <v>1.08</v>
      </c>
      <c r="K156" s="129">
        <f t="shared" si="48"/>
        <v>1.08</v>
      </c>
      <c r="L156" s="129">
        <f t="shared" si="48"/>
        <v>1.08</v>
      </c>
      <c r="M156" s="129">
        <f t="shared" si="48"/>
        <v>1.08</v>
      </c>
      <c r="N156" s="129">
        <f t="shared" si="48"/>
        <v>1.08</v>
      </c>
      <c r="O156" s="129">
        <f t="shared" si="48"/>
        <v>1.08</v>
      </c>
      <c r="P156" s="129">
        <f t="shared" si="48"/>
        <v>1.08</v>
      </c>
      <c r="Q156" s="129">
        <f t="shared" si="48"/>
        <v>1.08</v>
      </c>
      <c r="R156" s="129">
        <f t="shared" si="48"/>
        <v>1.08</v>
      </c>
      <c r="S156" s="129">
        <f t="shared" si="48"/>
        <v>1.08</v>
      </c>
      <c r="T156" s="129">
        <f t="shared" si="49"/>
        <v>1.08</v>
      </c>
      <c r="U156" s="129">
        <f t="shared" si="49"/>
        <v>1.08</v>
      </c>
      <c r="V156" s="129">
        <f t="shared" si="49"/>
        <v>1.08</v>
      </c>
      <c r="W156" s="129">
        <f t="shared" si="49"/>
        <v>1.08</v>
      </c>
      <c r="X156" s="129">
        <f t="shared" si="49"/>
        <v>1.08</v>
      </c>
      <c r="Y156" s="129">
        <f t="shared" si="49"/>
        <v>1.08</v>
      </c>
      <c r="Z156" s="129">
        <f t="shared" si="49"/>
        <v>1.08</v>
      </c>
      <c r="AA156" s="129">
        <f t="shared" si="49"/>
        <v>1.08</v>
      </c>
      <c r="AB156" s="129">
        <f t="shared" si="49"/>
        <v>1.08</v>
      </c>
      <c r="AC156" s="129">
        <f t="shared" si="49"/>
        <v>1.08</v>
      </c>
      <c r="AD156" s="129">
        <f t="shared" si="49"/>
        <v>1.08</v>
      </c>
      <c r="AE156" s="129">
        <f t="shared" si="49"/>
        <v>1.08</v>
      </c>
      <c r="AF156" s="129">
        <f t="shared" si="49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7"/>
        <v>2.37</v>
      </c>
      <c r="C157" s="130">
        <v>2.37</v>
      </c>
      <c r="D157" s="129">
        <f t="shared" si="48"/>
        <v>2.37</v>
      </c>
      <c r="E157" s="129">
        <f t="shared" si="48"/>
        <v>2.37</v>
      </c>
      <c r="F157" s="129">
        <f t="shared" si="48"/>
        <v>2.37</v>
      </c>
      <c r="G157" s="129">
        <f t="shared" si="48"/>
        <v>2.37</v>
      </c>
      <c r="H157" s="129">
        <f t="shared" si="48"/>
        <v>2.37</v>
      </c>
      <c r="I157" s="129">
        <f t="shared" si="48"/>
        <v>2.37</v>
      </c>
      <c r="J157" s="129">
        <f t="shared" si="48"/>
        <v>2.37</v>
      </c>
      <c r="K157" s="129">
        <f t="shared" si="48"/>
        <v>2.37</v>
      </c>
      <c r="L157" s="129">
        <f t="shared" si="48"/>
        <v>2.37</v>
      </c>
      <c r="M157" s="129">
        <f t="shared" si="48"/>
        <v>2.37</v>
      </c>
      <c r="N157" s="129">
        <f t="shared" si="48"/>
        <v>2.37</v>
      </c>
      <c r="O157" s="129">
        <f t="shared" si="48"/>
        <v>2.37</v>
      </c>
      <c r="P157" s="129">
        <f t="shared" si="48"/>
        <v>2.37</v>
      </c>
      <c r="Q157" s="129">
        <f t="shared" si="48"/>
        <v>2.37</v>
      </c>
      <c r="R157" s="129">
        <f t="shared" si="48"/>
        <v>2.37</v>
      </c>
      <c r="S157" s="129">
        <f t="shared" si="48"/>
        <v>2.37</v>
      </c>
      <c r="T157" s="129">
        <f t="shared" si="49"/>
        <v>2.37</v>
      </c>
      <c r="U157" s="129">
        <f t="shared" si="49"/>
        <v>2.37</v>
      </c>
      <c r="V157" s="129">
        <f t="shared" si="49"/>
        <v>2.37</v>
      </c>
      <c r="W157" s="129">
        <f t="shared" si="49"/>
        <v>2.37</v>
      </c>
      <c r="X157" s="129">
        <f t="shared" si="49"/>
        <v>2.37</v>
      </c>
      <c r="Y157" s="129">
        <f t="shared" si="49"/>
        <v>2.37</v>
      </c>
      <c r="Z157" s="129">
        <f t="shared" si="49"/>
        <v>2.37</v>
      </c>
      <c r="AA157" s="129">
        <f t="shared" si="49"/>
        <v>2.37</v>
      </c>
      <c r="AB157" s="129">
        <f t="shared" si="49"/>
        <v>2.37</v>
      </c>
      <c r="AC157" s="129">
        <f t="shared" si="49"/>
        <v>2.37</v>
      </c>
      <c r="AD157" s="129">
        <f t="shared" si="49"/>
        <v>2.37</v>
      </c>
      <c r="AE157" s="129">
        <f t="shared" si="49"/>
        <v>2.37</v>
      </c>
      <c r="AF157" s="129">
        <f t="shared" si="49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7"/>
        <v>1.81</v>
      </c>
      <c r="C158" s="130">
        <v>1.81</v>
      </c>
      <c r="D158" s="129">
        <f t="shared" si="48"/>
        <v>1.81</v>
      </c>
      <c r="E158" s="129">
        <f t="shared" si="48"/>
        <v>1.81</v>
      </c>
      <c r="F158" s="129">
        <f t="shared" si="48"/>
        <v>1.81</v>
      </c>
      <c r="G158" s="129">
        <f t="shared" si="48"/>
        <v>1.81</v>
      </c>
      <c r="H158" s="129">
        <f t="shared" si="48"/>
        <v>1.81</v>
      </c>
      <c r="I158" s="129">
        <f t="shared" si="48"/>
        <v>1.81</v>
      </c>
      <c r="J158" s="129">
        <f t="shared" si="48"/>
        <v>1.81</v>
      </c>
      <c r="K158" s="129">
        <f t="shared" si="48"/>
        <v>1.81</v>
      </c>
      <c r="L158" s="129">
        <f t="shared" si="48"/>
        <v>1.81</v>
      </c>
      <c r="M158" s="129">
        <f t="shared" si="48"/>
        <v>1.81</v>
      </c>
      <c r="N158" s="129">
        <f t="shared" si="48"/>
        <v>1.81</v>
      </c>
      <c r="O158" s="129">
        <f t="shared" si="48"/>
        <v>1.81</v>
      </c>
      <c r="P158" s="129">
        <f t="shared" si="48"/>
        <v>1.81</v>
      </c>
      <c r="Q158" s="129">
        <f t="shared" si="48"/>
        <v>1.81</v>
      </c>
      <c r="R158" s="129">
        <f t="shared" si="48"/>
        <v>1.81</v>
      </c>
      <c r="S158" s="129">
        <f t="shared" si="48"/>
        <v>1.81</v>
      </c>
      <c r="T158" s="129">
        <f t="shared" si="49"/>
        <v>1.81</v>
      </c>
      <c r="U158" s="129">
        <f t="shared" si="49"/>
        <v>1.81</v>
      </c>
      <c r="V158" s="129">
        <f t="shared" si="49"/>
        <v>1.81</v>
      </c>
      <c r="W158" s="129">
        <f t="shared" si="49"/>
        <v>1.81</v>
      </c>
      <c r="X158" s="129">
        <f t="shared" si="49"/>
        <v>1.81</v>
      </c>
      <c r="Y158" s="129">
        <f t="shared" si="49"/>
        <v>1.81</v>
      </c>
      <c r="Z158" s="129">
        <f t="shared" si="49"/>
        <v>1.81</v>
      </c>
      <c r="AA158" s="129">
        <f t="shared" si="49"/>
        <v>1.81</v>
      </c>
      <c r="AB158" s="129">
        <f t="shared" si="49"/>
        <v>1.81</v>
      </c>
      <c r="AC158" s="129">
        <f t="shared" si="49"/>
        <v>1.81</v>
      </c>
      <c r="AD158" s="129">
        <f t="shared" si="49"/>
        <v>1.81</v>
      </c>
      <c r="AE158" s="129">
        <f t="shared" si="49"/>
        <v>1.81</v>
      </c>
      <c r="AF158" s="129">
        <f t="shared" si="49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7"/>
        <v>1.0900000000000001</v>
      </c>
      <c r="C159" s="130">
        <v>1.0900000000000001</v>
      </c>
      <c r="D159" s="129">
        <f t="shared" si="48"/>
        <v>1.0900000000000001</v>
      </c>
      <c r="E159" s="129">
        <f t="shared" si="48"/>
        <v>1.0900000000000001</v>
      </c>
      <c r="F159" s="129">
        <f t="shared" si="48"/>
        <v>1.0900000000000001</v>
      </c>
      <c r="G159" s="129">
        <f t="shared" si="48"/>
        <v>1.0900000000000001</v>
      </c>
      <c r="H159" s="129">
        <f t="shared" si="48"/>
        <v>1.0900000000000001</v>
      </c>
      <c r="I159" s="129">
        <f t="shared" si="48"/>
        <v>1.0900000000000001</v>
      </c>
      <c r="J159" s="129">
        <f t="shared" si="48"/>
        <v>1.0900000000000001</v>
      </c>
      <c r="K159" s="129">
        <f t="shared" si="48"/>
        <v>1.0900000000000001</v>
      </c>
      <c r="L159" s="129">
        <f t="shared" si="48"/>
        <v>1.0900000000000001</v>
      </c>
      <c r="M159" s="129">
        <f t="shared" si="48"/>
        <v>1.0900000000000001</v>
      </c>
      <c r="N159" s="129">
        <f t="shared" si="48"/>
        <v>1.0900000000000001</v>
      </c>
      <c r="O159" s="129">
        <f t="shared" si="48"/>
        <v>1.0900000000000001</v>
      </c>
      <c r="P159" s="129">
        <f t="shared" si="48"/>
        <v>1.0900000000000001</v>
      </c>
      <c r="Q159" s="129">
        <f t="shared" si="48"/>
        <v>1.0900000000000001</v>
      </c>
      <c r="R159" s="129">
        <f t="shared" si="48"/>
        <v>1.0900000000000001</v>
      </c>
      <c r="S159" s="129">
        <f t="shared" si="48"/>
        <v>1.0900000000000001</v>
      </c>
      <c r="T159" s="129">
        <f t="shared" si="49"/>
        <v>1.0900000000000001</v>
      </c>
      <c r="U159" s="129">
        <f t="shared" si="49"/>
        <v>1.0900000000000001</v>
      </c>
      <c r="V159" s="129">
        <f t="shared" si="49"/>
        <v>1.0900000000000001</v>
      </c>
      <c r="W159" s="129">
        <f t="shared" si="49"/>
        <v>1.0900000000000001</v>
      </c>
      <c r="X159" s="129">
        <f t="shared" si="49"/>
        <v>1.0900000000000001</v>
      </c>
      <c r="Y159" s="129">
        <f t="shared" si="49"/>
        <v>1.0900000000000001</v>
      </c>
      <c r="Z159" s="129">
        <f t="shared" si="49"/>
        <v>1.0900000000000001</v>
      </c>
      <c r="AA159" s="129">
        <f t="shared" si="49"/>
        <v>1.0900000000000001</v>
      </c>
      <c r="AB159" s="129">
        <f t="shared" si="49"/>
        <v>1.0900000000000001</v>
      </c>
      <c r="AC159" s="129">
        <f t="shared" si="49"/>
        <v>1.0900000000000001</v>
      </c>
      <c r="AD159" s="129">
        <f t="shared" si="49"/>
        <v>1.0900000000000001</v>
      </c>
      <c r="AE159" s="129">
        <f t="shared" si="49"/>
        <v>1.0900000000000001</v>
      </c>
      <c r="AF159" s="129">
        <f t="shared" si="49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7"/>
        <v>1.58</v>
      </c>
      <c r="C160" s="130">
        <v>1.58</v>
      </c>
      <c r="D160" s="129">
        <f t="shared" si="48"/>
        <v>1.58</v>
      </c>
      <c r="E160" s="129">
        <f t="shared" si="48"/>
        <v>1.58</v>
      </c>
      <c r="F160" s="129">
        <f t="shared" si="48"/>
        <v>1.58</v>
      </c>
      <c r="G160" s="129">
        <f t="shared" si="48"/>
        <v>1.58</v>
      </c>
      <c r="H160" s="129">
        <f t="shared" si="48"/>
        <v>1.58</v>
      </c>
      <c r="I160" s="129">
        <f t="shared" si="48"/>
        <v>1.58</v>
      </c>
      <c r="J160" s="129">
        <f t="shared" si="48"/>
        <v>1.58</v>
      </c>
      <c r="K160" s="129">
        <f t="shared" si="48"/>
        <v>1.58</v>
      </c>
      <c r="L160" s="129">
        <f t="shared" si="48"/>
        <v>1.58</v>
      </c>
      <c r="M160" s="129">
        <f t="shared" si="48"/>
        <v>1.58</v>
      </c>
      <c r="N160" s="129">
        <f t="shared" si="48"/>
        <v>1.58</v>
      </c>
      <c r="O160" s="129">
        <f t="shared" si="48"/>
        <v>1.58</v>
      </c>
      <c r="P160" s="129">
        <f t="shared" si="48"/>
        <v>1.58</v>
      </c>
      <c r="Q160" s="129">
        <f t="shared" si="48"/>
        <v>1.58</v>
      </c>
      <c r="R160" s="129">
        <f t="shared" si="48"/>
        <v>1.58</v>
      </c>
      <c r="S160" s="129">
        <f t="shared" si="48"/>
        <v>1.58</v>
      </c>
      <c r="T160" s="129">
        <f t="shared" si="49"/>
        <v>1.58</v>
      </c>
      <c r="U160" s="129">
        <f t="shared" si="49"/>
        <v>1.58</v>
      </c>
      <c r="V160" s="129">
        <f t="shared" si="49"/>
        <v>1.58</v>
      </c>
      <c r="W160" s="129">
        <f t="shared" si="49"/>
        <v>1.58</v>
      </c>
      <c r="X160" s="129">
        <f t="shared" si="49"/>
        <v>1.58</v>
      </c>
      <c r="Y160" s="129">
        <f t="shared" si="49"/>
        <v>1.58</v>
      </c>
      <c r="Z160" s="129">
        <f t="shared" si="49"/>
        <v>1.58</v>
      </c>
      <c r="AA160" s="129">
        <f t="shared" si="49"/>
        <v>1.58</v>
      </c>
      <c r="AB160" s="129">
        <f t="shared" si="49"/>
        <v>1.58</v>
      </c>
      <c r="AC160" s="129">
        <f t="shared" si="49"/>
        <v>1.58</v>
      </c>
      <c r="AD160" s="129">
        <f t="shared" si="49"/>
        <v>1.58</v>
      </c>
      <c r="AE160" s="129">
        <f t="shared" si="49"/>
        <v>1.58</v>
      </c>
      <c r="AF160" s="129">
        <f t="shared" si="49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7"/>
        <v>2</v>
      </c>
      <c r="C161" s="130">
        <v>2</v>
      </c>
      <c r="D161" s="129">
        <f t="shared" si="48"/>
        <v>2</v>
      </c>
      <c r="E161" s="129">
        <f t="shared" si="48"/>
        <v>2</v>
      </c>
      <c r="F161" s="129">
        <f t="shared" si="48"/>
        <v>2</v>
      </c>
      <c r="G161" s="129">
        <f t="shared" si="48"/>
        <v>2</v>
      </c>
      <c r="H161" s="129">
        <f t="shared" si="48"/>
        <v>2</v>
      </c>
      <c r="I161" s="129">
        <f t="shared" si="48"/>
        <v>2</v>
      </c>
      <c r="J161" s="129">
        <f t="shared" si="48"/>
        <v>2</v>
      </c>
      <c r="K161" s="129">
        <f t="shared" si="48"/>
        <v>2</v>
      </c>
      <c r="L161" s="129">
        <f t="shared" si="48"/>
        <v>2</v>
      </c>
      <c r="M161" s="129">
        <f t="shared" si="48"/>
        <v>2</v>
      </c>
      <c r="N161" s="129">
        <f t="shared" si="48"/>
        <v>2</v>
      </c>
      <c r="O161" s="129">
        <f t="shared" si="48"/>
        <v>2</v>
      </c>
      <c r="P161" s="129">
        <f t="shared" si="48"/>
        <v>2</v>
      </c>
      <c r="Q161" s="129">
        <f t="shared" si="48"/>
        <v>2</v>
      </c>
      <c r="R161" s="129">
        <f t="shared" si="48"/>
        <v>2</v>
      </c>
      <c r="S161" s="129">
        <f t="shared" si="48"/>
        <v>2</v>
      </c>
      <c r="T161" s="129">
        <f t="shared" si="49"/>
        <v>2</v>
      </c>
      <c r="U161" s="129">
        <f t="shared" si="49"/>
        <v>2</v>
      </c>
      <c r="V161" s="129">
        <f t="shared" si="49"/>
        <v>2</v>
      </c>
      <c r="W161" s="129">
        <f t="shared" si="49"/>
        <v>2</v>
      </c>
      <c r="X161" s="129">
        <f t="shared" si="49"/>
        <v>2</v>
      </c>
      <c r="Y161" s="129">
        <f t="shared" si="49"/>
        <v>2</v>
      </c>
      <c r="Z161" s="129">
        <f t="shared" si="49"/>
        <v>2</v>
      </c>
      <c r="AA161" s="129">
        <f t="shared" si="49"/>
        <v>2</v>
      </c>
      <c r="AB161" s="129">
        <f t="shared" si="49"/>
        <v>2</v>
      </c>
      <c r="AC161" s="129">
        <f t="shared" si="49"/>
        <v>2</v>
      </c>
      <c r="AD161" s="129">
        <f t="shared" si="49"/>
        <v>2</v>
      </c>
      <c r="AE161" s="129">
        <f t="shared" si="49"/>
        <v>2</v>
      </c>
      <c r="AF161" s="129">
        <f t="shared" si="49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7"/>
        <v>0.47</v>
      </c>
      <c r="C162" s="130">
        <v>0.47</v>
      </c>
      <c r="D162" s="129">
        <f t="shared" si="48"/>
        <v>0.47</v>
      </c>
      <c r="E162" s="129">
        <f t="shared" si="48"/>
        <v>0.47</v>
      </c>
      <c r="F162" s="129">
        <f t="shared" si="48"/>
        <v>0.47</v>
      </c>
      <c r="G162" s="129">
        <f t="shared" si="48"/>
        <v>0.47</v>
      </c>
      <c r="H162" s="129">
        <f t="shared" si="48"/>
        <v>0.47</v>
      </c>
      <c r="I162" s="129">
        <f t="shared" si="48"/>
        <v>0.47</v>
      </c>
      <c r="J162" s="129">
        <f t="shared" si="48"/>
        <v>0.47</v>
      </c>
      <c r="K162" s="129">
        <f t="shared" si="48"/>
        <v>0.47</v>
      </c>
      <c r="L162" s="129">
        <f t="shared" si="48"/>
        <v>0.47</v>
      </c>
      <c r="M162" s="129">
        <f t="shared" si="48"/>
        <v>0.47</v>
      </c>
      <c r="N162" s="129">
        <f t="shared" si="48"/>
        <v>0.47</v>
      </c>
      <c r="O162" s="129">
        <f t="shared" si="48"/>
        <v>0.47</v>
      </c>
      <c r="P162" s="129">
        <f t="shared" si="48"/>
        <v>0.47</v>
      </c>
      <c r="Q162" s="129">
        <f t="shared" si="48"/>
        <v>0.47</v>
      </c>
      <c r="R162" s="129">
        <f t="shared" si="48"/>
        <v>0.47</v>
      </c>
      <c r="S162" s="129">
        <f t="shared" si="48"/>
        <v>0.47</v>
      </c>
      <c r="T162" s="129">
        <f t="shared" si="49"/>
        <v>0.47</v>
      </c>
      <c r="U162" s="129">
        <f t="shared" si="49"/>
        <v>0.47</v>
      </c>
      <c r="V162" s="129">
        <f t="shared" si="49"/>
        <v>0.47</v>
      </c>
      <c r="W162" s="129">
        <f t="shared" si="49"/>
        <v>0.47</v>
      </c>
      <c r="X162" s="129">
        <f t="shared" si="49"/>
        <v>0.47</v>
      </c>
      <c r="Y162" s="129">
        <f t="shared" si="49"/>
        <v>0.47</v>
      </c>
      <c r="Z162" s="129">
        <f t="shared" si="49"/>
        <v>0.47</v>
      </c>
      <c r="AA162" s="129">
        <f t="shared" si="49"/>
        <v>0.47</v>
      </c>
      <c r="AB162" s="129">
        <f t="shared" si="49"/>
        <v>0.47</v>
      </c>
      <c r="AC162" s="129">
        <f t="shared" si="49"/>
        <v>0.47</v>
      </c>
      <c r="AD162" s="129">
        <f t="shared" si="49"/>
        <v>0.47</v>
      </c>
      <c r="AE162" s="129">
        <f t="shared" si="49"/>
        <v>0.47</v>
      </c>
      <c r="AF162" s="129">
        <f t="shared" si="49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7"/>
        <v>0</v>
      </c>
      <c r="C163" s="130">
        <v>0</v>
      </c>
      <c r="D163" s="129">
        <f t="shared" si="48"/>
        <v>0</v>
      </c>
      <c r="E163" s="129">
        <f t="shared" si="48"/>
        <v>0</v>
      </c>
      <c r="F163" s="129">
        <f t="shared" si="48"/>
        <v>0</v>
      </c>
      <c r="G163" s="129">
        <f t="shared" si="48"/>
        <v>0</v>
      </c>
      <c r="H163" s="129">
        <f t="shared" si="48"/>
        <v>0</v>
      </c>
      <c r="I163" s="129">
        <f t="shared" si="48"/>
        <v>0</v>
      </c>
      <c r="J163" s="129">
        <f t="shared" si="48"/>
        <v>0</v>
      </c>
      <c r="K163" s="129">
        <f t="shared" si="48"/>
        <v>0</v>
      </c>
      <c r="L163" s="129">
        <f t="shared" si="48"/>
        <v>0</v>
      </c>
      <c r="M163" s="129">
        <f t="shared" si="48"/>
        <v>0</v>
      </c>
      <c r="N163" s="129">
        <f t="shared" si="48"/>
        <v>0</v>
      </c>
      <c r="O163" s="129">
        <f t="shared" si="48"/>
        <v>0</v>
      </c>
      <c r="P163" s="129">
        <f t="shared" si="48"/>
        <v>0</v>
      </c>
      <c r="Q163" s="129">
        <f t="shared" si="48"/>
        <v>0</v>
      </c>
      <c r="R163" s="129">
        <f t="shared" si="48"/>
        <v>0</v>
      </c>
      <c r="S163" s="129">
        <f t="shared" si="48"/>
        <v>0</v>
      </c>
      <c r="T163" s="129">
        <f t="shared" si="49"/>
        <v>0</v>
      </c>
      <c r="U163" s="129">
        <f t="shared" si="49"/>
        <v>0</v>
      </c>
      <c r="V163" s="129">
        <f t="shared" si="49"/>
        <v>0</v>
      </c>
      <c r="W163" s="129">
        <f t="shared" si="49"/>
        <v>0</v>
      </c>
      <c r="X163" s="129">
        <f t="shared" si="49"/>
        <v>0</v>
      </c>
      <c r="Y163" s="129">
        <f t="shared" si="49"/>
        <v>0</v>
      </c>
      <c r="Z163" s="129">
        <f t="shared" si="49"/>
        <v>0</v>
      </c>
      <c r="AA163" s="129">
        <f t="shared" si="49"/>
        <v>0</v>
      </c>
      <c r="AB163" s="129">
        <f t="shared" si="49"/>
        <v>0</v>
      </c>
      <c r="AC163" s="129">
        <f t="shared" si="49"/>
        <v>0</v>
      </c>
      <c r="AD163" s="129">
        <f t="shared" si="49"/>
        <v>0</v>
      </c>
      <c r="AE163" s="129">
        <f t="shared" si="49"/>
        <v>0</v>
      </c>
      <c r="AF163" s="129">
        <f t="shared" si="49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7"/>
        <v>0</v>
      </c>
      <c r="C164" s="130">
        <v>0</v>
      </c>
      <c r="D164" s="129">
        <f t="shared" si="48"/>
        <v>0</v>
      </c>
      <c r="E164" s="129">
        <f t="shared" si="48"/>
        <v>0</v>
      </c>
      <c r="F164" s="129">
        <f t="shared" si="48"/>
        <v>0</v>
      </c>
      <c r="G164" s="129">
        <f t="shared" si="48"/>
        <v>0</v>
      </c>
      <c r="H164" s="129">
        <f t="shared" si="48"/>
        <v>0</v>
      </c>
      <c r="I164" s="129">
        <f t="shared" si="48"/>
        <v>0</v>
      </c>
      <c r="J164" s="129">
        <f t="shared" si="48"/>
        <v>0</v>
      </c>
      <c r="K164" s="129">
        <f t="shared" si="48"/>
        <v>0</v>
      </c>
      <c r="L164" s="129">
        <f t="shared" si="48"/>
        <v>0</v>
      </c>
      <c r="M164" s="129">
        <f t="shared" si="48"/>
        <v>0</v>
      </c>
      <c r="N164" s="129">
        <f t="shared" si="48"/>
        <v>0</v>
      </c>
      <c r="O164" s="129">
        <f t="shared" si="48"/>
        <v>0</v>
      </c>
      <c r="P164" s="129">
        <f t="shared" si="48"/>
        <v>0</v>
      </c>
      <c r="Q164" s="129">
        <f t="shared" si="48"/>
        <v>0</v>
      </c>
      <c r="R164" s="129">
        <f t="shared" si="48"/>
        <v>0</v>
      </c>
      <c r="S164" s="129">
        <f t="shared" si="49"/>
        <v>0</v>
      </c>
      <c r="T164" s="129">
        <f t="shared" si="49"/>
        <v>0</v>
      </c>
      <c r="U164" s="129">
        <f t="shared" si="49"/>
        <v>0</v>
      </c>
      <c r="V164" s="129">
        <f t="shared" si="49"/>
        <v>0</v>
      </c>
      <c r="W164" s="129">
        <f t="shared" si="49"/>
        <v>0</v>
      </c>
      <c r="X164" s="129">
        <f t="shared" si="49"/>
        <v>0</v>
      </c>
      <c r="Y164" s="129">
        <f t="shared" si="49"/>
        <v>0</v>
      </c>
      <c r="Z164" s="129">
        <f t="shared" si="49"/>
        <v>0</v>
      </c>
      <c r="AA164" s="129">
        <f t="shared" si="49"/>
        <v>0</v>
      </c>
      <c r="AB164" s="129">
        <f t="shared" si="49"/>
        <v>0</v>
      </c>
      <c r="AC164" s="129">
        <f t="shared" si="49"/>
        <v>0</v>
      </c>
      <c r="AD164" s="129">
        <f t="shared" si="49"/>
        <v>0</v>
      </c>
      <c r="AE164" s="129">
        <f t="shared" si="49"/>
        <v>0</v>
      </c>
      <c r="AF164" s="129">
        <f t="shared" si="49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7"/>
        <v>0.8</v>
      </c>
      <c r="C165" s="130">
        <v>0.8</v>
      </c>
      <c r="D165" s="129">
        <f t="shared" si="48"/>
        <v>0.8</v>
      </c>
      <c r="E165" s="129">
        <f t="shared" si="48"/>
        <v>0.8</v>
      </c>
      <c r="F165" s="129">
        <f t="shared" si="48"/>
        <v>0.8</v>
      </c>
      <c r="G165" s="129">
        <f t="shared" si="48"/>
        <v>0.8</v>
      </c>
      <c r="H165" s="129">
        <f t="shared" si="48"/>
        <v>0.8</v>
      </c>
      <c r="I165" s="129">
        <f t="shared" si="48"/>
        <v>0.8</v>
      </c>
      <c r="J165" s="129">
        <f t="shared" si="48"/>
        <v>0.8</v>
      </c>
      <c r="K165" s="129">
        <f t="shared" si="48"/>
        <v>0.8</v>
      </c>
      <c r="L165" s="129">
        <f t="shared" si="48"/>
        <v>0.8</v>
      </c>
      <c r="M165" s="129">
        <f t="shared" si="48"/>
        <v>0.8</v>
      </c>
      <c r="N165" s="129">
        <f t="shared" si="48"/>
        <v>0.8</v>
      </c>
      <c r="O165" s="129">
        <f t="shared" si="48"/>
        <v>0.8</v>
      </c>
      <c r="P165" s="129">
        <f t="shared" si="48"/>
        <v>0.8</v>
      </c>
      <c r="Q165" s="129">
        <f t="shared" si="48"/>
        <v>0.8</v>
      </c>
      <c r="R165" s="129">
        <f t="shared" si="48"/>
        <v>0.8</v>
      </c>
      <c r="S165" s="129">
        <f t="shared" si="49"/>
        <v>0.8</v>
      </c>
      <c r="T165" s="129">
        <f t="shared" si="49"/>
        <v>0.8</v>
      </c>
      <c r="U165" s="129">
        <f t="shared" si="49"/>
        <v>0.8</v>
      </c>
      <c r="V165" s="129">
        <f t="shared" si="49"/>
        <v>0.8</v>
      </c>
      <c r="W165" s="129">
        <f t="shared" si="49"/>
        <v>0.8</v>
      </c>
      <c r="X165" s="129">
        <f t="shared" si="49"/>
        <v>0.8</v>
      </c>
      <c r="Y165" s="129">
        <f t="shared" si="49"/>
        <v>0.8</v>
      </c>
      <c r="Z165" s="129">
        <f t="shared" si="49"/>
        <v>0.8</v>
      </c>
      <c r="AA165" s="129">
        <f t="shared" si="49"/>
        <v>0.8</v>
      </c>
      <c r="AB165" s="129">
        <f t="shared" si="49"/>
        <v>0.8</v>
      </c>
      <c r="AC165" s="129">
        <f t="shared" si="49"/>
        <v>0.8</v>
      </c>
      <c r="AD165" s="129">
        <f t="shared" si="49"/>
        <v>0.8</v>
      </c>
      <c r="AE165" s="129">
        <f t="shared" si="49"/>
        <v>0.8</v>
      </c>
      <c r="AF165" s="129">
        <f t="shared" si="49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7"/>
        <v>1.5</v>
      </c>
      <c r="C166" s="130">
        <v>1.5</v>
      </c>
      <c r="D166" s="129">
        <f t="shared" si="48"/>
        <v>1.5</v>
      </c>
      <c r="E166" s="129">
        <f t="shared" si="48"/>
        <v>1.5</v>
      </c>
      <c r="F166" s="129">
        <f t="shared" si="48"/>
        <v>1.5</v>
      </c>
      <c r="G166" s="129">
        <f t="shared" si="48"/>
        <v>1.5</v>
      </c>
      <c r="H166" s="129">
        <f t="shared" si="48"/>
        <v>1.5</v>
      </c>
      <c r="I166" s="129">
        <f t="shared" si="48"/>
        <v>1.5</v>
      </c>
      <c r="J166" s="129">
        <f t="shared" si="48"/>
        <v>1.5</v>
      </c>
      <c r="K166" s="129">
        <f t="shared" si="48"/>
        <v>1.5</v>
      </c>
      <c r="L166" s="129">
        <f t="shared" si="48"/>
        <v>1.5</v>
      </c>
      <c r="M166" s="129">
        <f t="shared" si="48"/>
        <v>1.5</v>
      </c>
      <c r="N166" s="129">
        <f t="shared" si="48"/>
        <v>1.5</v>
      </c>
      <c r="O166" s="129">
        <f t="shared" si="48"/>
        <v>1.5</v>
      </c>
      <c r="P166" s="129">
        <f t="shared" si="48"/>
        <v>1.5</v>
      </c>
      <c r="Q166" s="129">
        <f t="shared" si="48"/>
        <v>1.5</v>
      </c>
      <c r="R166" s="129">
        <f t="shared" si="48"/>
        <v>1.5</v>
      </c>
      <c r="S166" s="129">
        <f t="shared" si="49"/>
        <v>1.5</v>
      </c>
      <c r="T166" s="129">
        <f t="shared" si="49"/>
        <v>1.5</v>
      </c>
      <c r="U166" s="129">
        <f t="shared" si="49"/>
        <v>1.5</v>
      </c>
      <c r="V166" s="129">
        <f t="shared" si="49"/>
        <v>1.5</v>
      </c>
      <c r="W166" s="129">
        <f t="shared" si="49"/>
        <v>1.5</v>
      </c>
      <c r="X166" s="129">
        <f t="shared" si="49"/>
        <v>1.5</v>
      </c>
      <c r="Y166" s="129">
        <f t="shared" si="49"/>
        <v>1.5</v>
      </c>
      <c r="Z166" s="129">
        <f t="shared" si="49"/>
        <v>1.5</v>
      </c>
      <c r="AA166" s="129">
        <f t="shared" si="49"/>
        <v>1.5</v>
      </c>
      <c r="AB166" s="129">
        <f t="shared" si="49"/>
        <v>1.5</v>
      </c>
      <c r="AC166" s="129">
        <f t="shared" si="49"/>
        <v>1.5</v>
      </c>
      <c r="AD166" s="129">
        <f t="shared" si="49"/>
        <v>1.5</v>
      </c>
      <c r="AE166" s="129">
        <f t="shared" si="49"/>
        <v>1.5</v>
      </c>
      <c r="AF166" s="129">
        <f t="shared" si="49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7"/>
        <v>1</v>
      </c>
      <c r="C167" s="130">
        <v>1</v>
      </c>
      <c r="D167" s="129">
        <f t="shared" si="48"/>
        <v>1</v>
      </c>
      <c r="E167" s="129">
        <f t="shared" si="48"/>
        <v>1</v>
      </c>
      <c r="F167" s="129">
        <f t="shared" si="48"/>
        <v>1</v>
      </c>
      <c r="G167" s="129">
        <f t="shared" si="48"/>
        <v>1</v>
      </c>
      <c r="H167" s="129">
        <f t="shared" si="48"/>
        <v>1</v>
      </c>
      <c r="I167" s="129">
        <f t="shared" si="48"/>
        <v>1</v>
      </c>
      <c r="J167" s="129">
        <f t="shared" si="48"/>
        <v>1</v>
      </c>
      <c r="K167" s="129">
        <f t="shared" si="48"/>
        <v>1</v>
      </c>
      <c r="L167" s="129">
        <f t="shared" si="48"/>
        <v>1</v>
      </c>
      <c r="M167" s="129">
        <f t="shared" si="48"/>
        <v>1</v>
      </c>
      <c r="N167" s="129">
        <f t="shared" si="48"/>
        <v>1</v>
      </c>
      <c r="O167" s="129">
        <f t="shared" si="48"/>
        <v>1</v>
      </c>
      <c r="P167" s="129">
        <f t="shared" si="48"/>
        <v>1</v>
      </c>
      <c r="Q167" s="129">
        <f t="shared" si="48"/>
        <v>1</v>
      </c>
      <c r="R167" s="129">
        <f t="shared" si="48"/>
        <v>1</v>
      </c>
      <c r="S167" s="129">
        <f t="shared" si="49"/>
        <v>1</v>
      </c>
      <c r="T167" s="129">
        <f t="shared" si="49"/>
        <v>1</v>
      </c>
      <c r="U167" s="129">
        <f t="shared" si="49"/>
        <v>1</v>
      </c>
      <c r="V167" s="129">
        <f t="shared" si="49"/>
        <v>1</v>
      </c>
      <c r="W167" s="129">
        <f t="shared" si="49"/>
        <v>1</v>
      </c>
      <c r="X167" s="129">
        <f t="shared" si="49"/>
        <v>1</v>
      </c>
      <c r="Y167" s="129">
        <f t="shared" si="49"/>
        <v>1</v>
      </c>
      <c r="Z167" s="129">
        <f t="shared" si="49"/>
        <v>1</v>
      </c>
      <c r="AA167" s="129">
        <f t="shared" si="49"/>
        <v>1</v>
      </c>
      <c r="AB167" s="129">
        <f t="shared" si="49"/>
        <v>1</v>
      </c>
      <c r="AC167" s="129">
        <f t="shared" si="49"/>
        <v>1</v>
      </c>
      <c r="AD167" s="129">
        <f t="shared" si="49"/>
        <v>1</v>
      </c>
      <c r="AE167" s="129">
        <f t="shared" si="49"/>
        <v>1</v>
      </c>
      <c r="AF167" s="129">
        <f t="shared" si="49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50">AF169</f>
        <v>1</v>
      </c>
      <c r="C169" s="130">
        <v>1</v>
      </c>
      <c r="D169" s="129">
        <f t="shared" ref="D169:S176" si="51">C169</f>
        <v>1</v>
      </c>
      <c r="E169" s="129">
        <f t="shared" si="51"/>
        <v>1</v>
      </c>
      <c r="F169" s="129">
        <f t="shared" si="51"/>
        <v>1</v>
      </c>
      <c r="G169" s="129">
        <f t="shared" si="51"/>
        <v>1</v>
      </c>
      <c r="H169" s="129">
        <f t="shared" si="51"/>
        <v>1</v>
      </c>
      <c r="I169" s="129">
        <f t="shared" si="51"/>
        <v>1</v>
      </c>
      <c r="J169" s="129">
        <f t="shared" si="51"/>
        <v>1</v>
      </c>
      <c r="K169" s="129">
        <f t="shared" si="51"/>
        <v>1</v>
      </c>
      <c r="L169" s="129">
        <f t="shared" si="51"/>
        <v>1</v>
      </c>
      <c r="M169" s="129">
        <f t="shared" si="51"/>
        <v>1</v>
      </c>
      <c r="N169" s="129">
        <f t="shared" si="51"/>
        <v>1</v>
      </c>
      <c r="O169" s="129">
        <f t="shared" si="51"/>
        <v>1</v>
      </c>
      <c r="P169" s="129">
        <f t="shared" si="51"/>
        <v>1</v>
      </c>
      <c r="Q169" s="129">
        <f t="shared" si="51"/>
        <v>1</v>
      </c>
      <c r="R169" s="129">
        <f t="shared" si="51"/>
        <v>1</v>
      </c>
      <c r="S169" s="129">
        <f t="shared" si="51"/>
        <v>1</v>
      </c>
      <c r="T169" s="129">
        <f t="shared" ref="S169:AF176" si="52">S169</f>
        <v>1</v>
      </c>
      <c r="U169" s="129">
        <f t="shared" si="52"/>
        <v>1</v>
      </c>
      <c r="V169" s="129">
        <f t="shared" si="52"/>
        <v>1</v>
      </c>
      <c r="W169" s="129">
        <f t="shared" si="52"/>
        <v>1</v>
      </c>
      <c r="X169" s="129">
        <f t="shared" si="52"/>
        <v>1</v>
      </c>
      <c r="Y169" s="129">
        <f t="shared" si="52"/>
        <v>1</v>
      </c>
      <c r="Z169" s="129">
        <f t="shared" si="52"/>
        <v>1</v>
      </c>
      <c r="AA169" s="129">
        <f t="shared" si="52"/>
        <v>1</v>
      </c>
      <c r="AB169" s="129">
        <f t="shared" si="52"/>
        <v>1</v>
      </c>
      <c r="AC169" s="129">
        <f t="shared" si="52"/>
        <v>1</v>
      </c>
      <c r="AD169" s="129">
        <f t="shared" si="52"/>
        <v>1</v>
      </c>
      <c r="AE169" s="129">
        <f t="shared" si="52"/>
        <v>1</v>
      </c>
      <c r="AF169" s="129">
        <f t="shared" si="52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50"/>
        <v>0.42</v>
      </c>
      <c r="C170" s="130">
        <v>0.42</v>
      </c>
      <c r="D170" s="129">
        <f t="shared" si="51"/>
        <v>0.42</v>
      </c>
      <c r="E170" s="129">
        <f t="shared" si="51"/>
        <v>0.42</v>
      </c>
      <c r="F170" s="129">
        <f t="shared" si="51"/>
        <v>0.42</v>
      </c>
      <c r="G170" s="129">
        <f t="shared" si="51"/>
        <v>0.42</v>
      </c>
      <c r="H170" s="129">
        <f t="shared" si="51"/>
        <v>0.42</v>
      </c>
      <c r="I170" s="129">
        <f t="shared" si="51"/>
        <v>0.42</v>
      </c>
      <c r="J170" s="129">
        <f t="shared" si="51"/>
        <v>0.42</v>
      </c>
      <c r="K170" s="129">
        <f t="shared" si="51"/>
        <v>0.42</v>
      </c>
      <c r="L170" s="129">
        <f t="shared" si="51"/>
        <v>0.42</v>
      </c>
      <c r="M170" s="129">
        <f t="shared" si="51"/>
        <v>0.42</v>
      </c>
      <c r="N170" s="129">
        <f t="shared" si="51"/>
        <v>0.42</v>
      </c>
      <c r="O170" s="129">
        <f t="shared" si="51"/>
        <v>0.42</v>
      </c>
      <c r="P170" s="129">
        <f t="shared" si="51"/>
        <v>0.42</v>
      </c>
      <c r="Q170" s="129">
        <f t="shared" si="51"/>
        <v>0.42</v>
      </c>
      <c r="R170" s="129">
        <f t="shared" si="51"/>
        <v>0.42</v>
      </c>
      <c r="S170" s="129">
        <f t="shared" si="52"/>
        <v>0.42</v>
      </c>
      <c r="T170" s="129">
        <f t="shared" si="52"/>
        <v>0.42</v>
      </c>
      <c r="U170" s="129">
        <f t="shared" si="52"/>
        <v>0.42</v>
      </c>
      <c r="V170" s="129">
        <f t="shared" si="52"/>
        <v>0.42</v>
      </c>
      <c r="W170" s="129">
        <f t="shared" si="52"/>
        <v>0.42</v>
      </c>
      <c r="X170" s="129">
        <f t="shared" si="52"/>
        <v>0.42</v>
      </c>
      <c r="Y170" s="129">
        <f t="shared" si="52"/>
        <v>0.42</v>
      </c>
      <c r="Z170" s="129">
        <f t="shared" si="52"/>
        <v>0.42</v>
      </c>
      <c r="AA170" s="129">
        <f t="shared" si="52"/>
        <v>0.42</v>
      </c>
      <c r="AB170" s="129">
        <f t="shared" si="52"/>
        <v>0.42</v>
      </c>
      <c r="AC170" s="129">
        <f t="shared" si="52"/>
        <v>0.42</v>
      </c>
      <c r="AD170" s="129">
        <f t="shared" si="52"/>
        <v>0.42</v>
      </c>
      <c r="AE170" s="129">
        <f t="shared" si="52"/>
        <v>0.42</v>
      </c>
      <c r="AF170" s="129">
        <f t="shared" si="52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50"/>
        <v>0.46</v>
      </c>
      <c r="C171" s="130">
        <v>0.46</v>
      </c>
      <c r="D171" s="129">
        <f t="shared" si="51"/>
        <v>0.46</v>
      </c>
      <c r="E171" s="129">
        <f t="shared" si="51"/>
        <v>0.46</v>
      </c>
      <c r="F171" s="129">
        <f t="shared" si="51"/>
        <v>0.46</v>
      </c>
      <c r="G171" s="129">
        <f t="shared" si="51"/>
        <v>0.46</v>
      </c>
      <c r="H171" s="129">
        <f t="shared" si="51"/>
        <v>0.46</v>
      </c>
      <c r="I171" s="129">
        <f t="shared" si="51"/>
        <v>0.46</v>
      </c>
      <c r="J171" s="129">
        <f t="shared" si="51"/>
        <v>0.46</v>
      </c>
      <c r="K171" s="129">
        <f t="shared" si="51"/>
        <v>0.46</v>
      </c>
      <c r="L171" s="129">
        <f t="shared" si="51"/>
        <v>0.46</v>
      </c>
      <c r="M171" s="129">
        <f t="shared" si="51"/>
        <v>0.46</v>
      </c>
      <c r="N171" s="129">
        <f t="shared" si="51"/>
        <v>0.46</v>
      </c>
      <c r="O171" s="129">
        <f t="shared" si="51"/>
        <v>0.46</v>
      </c>
      <c r="P171" s="129">
        <f t="shared" si="51"/>
        <v>0.46</v>
      </c>
      <c r="Q171" s="129">
        <f t="shared" si="51"/>
        <v>0.46</v>
      </c>
      <c r="R171" s="129">
        <f t="shared" si="51"/>
        <v>0.46</v>
      </c>
      <c r="S171" s="129">
        <f t="shared" si="52"/>
        <v>0.46</v>
      </c>
      <c r="T171" s="129">
        <f t="shared" si="52"/>
        <v>0.46</v>
      </c>
      <c r="U171" s="129">
        <f t="shared" si="52"/>
        <v>0.46</v>
      </c>
      <c r="V171" s="129">
        <f t="shared" si="52"/>
        <v>0.46</v>
      </c>
      <c r="W171" s="129">
        <f t="shared" si="52"/>
        <v>0.46</v>
      </c>
      <c r="X171" s="129">
        <f t="shared" si="52"/>
        <v>0.46</v>
      </c>
      <c r="Y171" s="129">
        <f t="shared" si="52"/>
        <v>0.46</v>
      </c>
      <c r="Z171" s="129">
        <f t="shared" si="52"/>
        <v>0.46</v>
      </c>
      <c r="AA171" s="129">
        <f t="shared" si="52"/>
        <v>0.46</v>
      </c>
      <c r="AB171" s="129">
        <f t="shared" si="52"/>
        <v>0.46</v>
      </c>
      <c r="AC171" s="129">
        <f t="shared" si="52"/>
        <v>0.46</v>
      </c>
      <c r="AD171" s="129">
        <f t="shared" si="52"/>
        <v>0.46</v>
      </c>
      <c r="AE171" s="129">
        <f t="shared" si="52"/>
        <v>0.46</v>
      </c>
      <c r="AF171" s="129">
        <f t="shared" si="52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50"/>
        <v>0.85</v>
      </c>
      <c r="C172" s="130">
        <v>0.85</v>
      </c>
      <c r="D172" s="129">
        <f t="shared" si="51"/>
        <v>0.85</v>
      </c>
      <c r="E172" s="129">
        <f t="shared" si="51"/>
        <v>0.85</v>
      </c>
      <c r="F172" s="129">
        <f t="shared" si="51"/>
        <v>0.85</v>
      </c>
      <c r="G172" s="129">
        <f t="shared" si="51"/>
        <v>0.85</v>
      </c>
      <c r="H172" s="129">
        <f t="shared" si="51"/>
        <v>0.85</v>
      </c>
      <c r="I172" s="129">
        <f t="shared" si="51"/>
        <v>0.85</v>
      </c>
      <c r="J172" s="129">
        <f t="shared" si="51"/>
        <v>0.85</v>
      </c>
      <c r="K172" s="129">
        <f t="shared" si="51"/>
        <v>0.85</v>
      </c>
      <c r="L172" s="129">
        <f t="shared" si="51"/>
        <v>0.85</v>
      </c>
      <c r="M172" s="129">
        <f t="shared" si="51"/>
        <v>0.85</v>
      </c>
      <c r="N172" s="129">
        <f t="shared" si="51"/>
        <v>0.85</v>
      </c>
      <c r="O172" s="129">
        <f t="shared" si="51"/>
        <v>0.85</v>
      </c>
      <c r="P172" s="129">
        <f t="shared" si="51"/>
        <v>0.85</v>
      </c>
      <c r="Q172" s="129">
        <f t="shared" si="51"/>
        <v>0.85</v>
      </c>
      <c r="R172" s="129">
        <f t="shared" si="51"/>
        <v>0.85</v>
      </c>
      <c r="S172" s="129">
        <f t="shared" si="52"/>
        <v>0.85</v>
      </c>
      <c r="T172" s="129">
        <f t="shared" si="52"/>
        <v>0.85</v>
      </c>
      <c r="U172" s="129">
        <f t="shared" si="52"/>
        <v>0.85</v>
      </c>
      <c r="V172" s="129">
        <f t="shared" si="52"/>
        <v>0.85</v>
      </c>
      <c r="W172" s="129">
        <f t="shared" si="52"/>
        <v>0.85</v>
      </c>
      <c r="X172" s="129">
        <f t="shared" si="52"/>
        <v>0.85</v>
      </c>
      <c r="Y172" s="129">
        <f t="shared" si="52"/>
        <v>0.85</v>
      </c>
      <c r="Z172" s="129">
        <f t="shared" si="52"/>
        <v>0.85</v>
      </c>
      <c r="AA172" s="129">
        <f t="shared" si="52"/>
        <v>0.85</v>
      </c>
      <c r="AB172" s="129">
        <f t="shared" si="52"/>
        <v>0.85</v>
      </c>
      <c r="AC172" s="129">
        <f t="shared" si="52"/>
        <v>0.85</v>
      </c>
      <c r="AD172" s="129">
        <f t="shared" si="52"/>
        <v>0.85</v>
      </c>
      <c r="AE172" s="129">
        <f t="shared" si="52"/>
        <v>0.85</v>
      </c>
      <c r="AF172" s="129">
        <f t="shared" si="52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50"/>
        <v>0.9</v>
      </c>
      <c r="C173" s="130">
        <v>0.9</v>
      </c>
      <c r="D173" s="129">
        <f t="shared" si="51"/>
        <v>0.9</v>
      </c>
      <c r="E173" s="129">
        <f t="shared" si="51"/>
        <v>0.9</v>
      </c>
      <c r="F173" s="129">
        <f t="shared" si="51"/>
        <v>0.9</v>
      </c>
      <c r="G173" s="129">
        <f t="shared" si="51"/>
        <v>0.9</v>
      </c>
      <c r="H173" s="129">
        <f t="shared" si="51"/>
        <v>0.9</v>
      </c>
      <c r="I173" s="129">
        <f t="shared" si="51"/>
        <v>0.9</v>
      </c>
      <c r="J173" s="129">
        <f t="shared" si="51"/>
        <v>0.9</v>
      </c>
      <c r="K173" s="129">
        <f t="shared" si="51"/>
        <v>0.9</v>
      </c>
      <c r="L173" s="129">
        <f t="shared" si="51"/>
        <v>0.9</v>
      </c>
      <c r="M173" s="129">
        <f t="shared" si="51"/>
        <v>0.9</v>
      </c>
      <c r="N173" s="129">
        <f t="shared" si="51"/>
        <v>0.9</v>
      </c>
      <c r="O173" s="129">
        <f t="shared" si="51"/>
        <v>0.9</v>
      </c>
      <c r="P173" s="129">
        <f t="shared" si="51"/>
        <v>0.9</v>
      </c>
      <c r="Q173" s="129">
        <f t="shared" si="51"/>
        <v>0.9</v>
      </c>
      <c r="R173" s="129">
        <f t="shared" si="51"/>
        <v>0.9</v>
      </c>
      <c r="S173" s="129">
        <f t="shared" si="52"/>
        <v>0.9</v>
      </c>
      <c r="T173" s="129">
        <f t="shared" si="52"/>
        <v>0.9</v>
      </c>
      <c r="U173" s="129">
        <f t="shared" si="52"/>
        <v>0.9</v>
      </c>
      <c r="V173" s="129">
        <f t="shared" si="52"/>
        <v>0.9</v>
      </c>
      <c r="W173" s="129">
        <f t="shared" si="52"/>
        <v>0.9</v>
      </c>
      <c r="X173" s="129">
        <f t="shared" si="52"/>
        <v>0.9</v>
      </c>
      <c r="Y173" s="129">
        <f t="shared" si="52"/>
        <v>0.9</v>
      </c>
      <c r="Z173" s="129">
        <f t="shared" si="52"/>
        <v>0.9</v>
      </c>
      <c r="AA173" s="129">
        <f t="shared" si="52"/>
        <v>0.9</v>
      </c>
      <c r="AB173" s="129">
        <f t="shared" si="52"/>
        <v>0.9</v>
      </c>
      <c r="AC173" s="129">
        <f t="shared" si="52"/>
        <v>0.9</v>
      </c>
      <c r="AD173" s="129">
        <f t="shared" si="52"/>
        <v>0.9</v>
      </c>
      <c r="AE173" s="129">
        <f t="shared" si="52"/>
        <v>0.9</v>
      </c>
      <c r="AF173" s="129">
        <f t="shared" si="52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50"/>
        <v>0.44</v>
      </c>
      <c r="C174" s="130">
        <v>0.44</v>
      </c>
      <c r="D174" s="129">
        <f t="shared" si="51"/>
        <v>0.44</v>
      </c>
      <c r="E174" s="129">
        <f t="shared" si="51"/>
        <v>0.44</v>
      </c>
      <c r="F174" s="129">
        <f t="shared" si="51"/>
        <v>0.44</v>
      </c>
      <c r="G174" s="129">
        <f t="shared" si="51"/>
        <v>0.44</v>
      </c>
      <c r="H174" s="129">
        <f t="shared" si="51"/>
        <v>0.44</v>
      </c>
      <c r="I174" s="129">
        <f t="shared" si="51"/>
        <v>0.44</v>
      </c>
      <c r="J174" s="129">
        <f t="shared" si="51"/>
        <v>0.44</v>
      </c>
      <c r="K174" s="129">
        <f t="shared" si="51"/>
        <v>0.44</v>
      </c>
      <c r="L174" s="129">
        <f t="shared" si="51"/>
        <v>0.44</v>
      </c>
      <c r="M174" s="129">
        <f t="shared" si="51"/>
        <v>0.44</v>
      </c>
      <c r="N174" s="129">
        <f t="shared" si="51"/>
        <v>0.44</v>
      </c>
      <c r="O174" s="129">
        <f t="shared" si="51"/>
        <v>0.44</v>
      </c>
      <c r="P174" s="129">
        <f t="shared" si="51"/>
        <v>0.44</v>
      </c>
      <c r="Q174" s="129">
        <f t="shared" si="51"/>
        <v>0.44</v>
      </c>
      <c r="R174" s="129">
        <f t="shared" si="51"/>
        <v>0.44</v>
      </c>
      <c r="S174" s="129">
        <f t="shared" si="52"/>
        <v>0.44</v>
      </c>
      <c r="T174" s="129">
        <f t="shared" si="52"/>
        <v>0.44</v>
      </c>
      <c r="U174" s="129">
        <f t="shared" si="52"/>
        <v>0.44</v>
      </c>
      <c r="V174" s="129">
        <f t="shared" si="52"/>
        <v>0.44</v>
      </c>
      <c r="W174" s="129">
        <f t="shared" si="52"/>
        <v>0.44</v>
      </c>
      <c r="X174" s="129">
        <f t="shared" si="52"/>
        <v>0.44</v>
      </c>
      <c r="Y174" s="129">
        <f t="shared" si="52"/>
        <v>0.44</v>
      </c>
      <c r="Z174" s="129">
        <f t="shared" si="52"/>
        <v>0.44</v>
      </c>
      <c r="AA174" s="129">
        <f t="shared" si="52"/>
        <v>0.44</v>
      </c>
      <c r="AB174" s="129">
        <f t="shared" si="52"/>
        <v>0.44</v>
      </c>
      <c r="AC174" s="129">
        <f t="shared" si="52"/>
        <v>0.44</v>
      </c>
      <c r="AD174" s="129">
        <f t="shared" si="52"/>
        <v>0.44</v>
      </c>
      <c r="AE174" s="129">
        <f t="shared" si="52"/>
        <v>0.44</v>
      </c>
      <c r="AF174" s="129">
        <f t="shared" si="52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50"/>
        <v>2.1</v>
      </c>
      <c r="C175" s="130">
        <v>2.1</v>
      </c>
      <c r="D175" s="129">
        <f t="shared" si="51"/>
        <v>2.1</v>
      </c>
      <c r="E175" s="129">
        <f t="shared" si="51"/>
        <v>2.1</v>
      </c>
      <c r="F175" s="129">
        <f t="shared" si="51"/>
        <v>2.1</v>
      </c>
      <c r="G175" s="129">
        <f t="shared" si="51"/>
        <v>2.1</v>
      </c>
      <c r="H175" s="129">
        <f t="shared" si="51"/>
        <v>2.1</v>
      </c>
      <c r="I175" s="129">
        <f t="shared" si="51"/>
        <v>2.1</v>
      </c>
      <c r="J175" s="129">
        <f t="shared" si="51"/>
        <v>2.1</v>
      </c>
      <c r="K175" s="129">
        <f t="shared" si="51"/>
        <v>2.1</v>
      </c>
      <c r="L175" s="129">
        <f t="shared" si="51"/>
        <v>2.1</v>
      </c>
      <c r="M175" s="129">
        <f t="shared" si="51"/>
        <v>2.1</v>
      </c>
      <c r="N175" s="129">
        <f t="shared" si="51"/>
        <v>2.1</v>
      </c>
      <c r="O175" s="129">
        <f t="shared" si="51"/>
        <v>2.1</v>
      </c>
      <c r="P175" s="129">
        <f t="shared" si="51"/>
        <v>2.1</v>
      </c>
      <c r="Q175" s="129">
        <f t="shared" si="51"/>
        <v>2.1</v>
      </c>
      <c r="R175" s="129">
        <f t="shared" si="51"/>
        <v>2.1</v>
      </c>
      <c r="S175" s="129">
        <f t="shared" si="52"/>
        <v>2.1</v>
      </c>
      <c r="T175" s="129">
        <f t="shared" si="52"/>
        <v>2.1</v>
      </c>
      <c r="U175" s="129">
        <f t="shared" si="52"/>
        <v>2.1</v>
      </c>
      <c r="V175" s="129">
        <f t="shared" si="52"/>
        <v>2.1</v>
      </c>
      <c r="W175" s="129">
        <f t="shared" si="52"/>
        <v>2.1</v>
      </c>
      <c r="X175" s="129">
        <f t="shared" si="52"/>
        <v>2.1</v>
      </c>
      <c r="Y175" s="129">
        <f t="shared" si="52"/>
        <v>2.1</v>
      </c>
      <c r="Z175" s="129">
        <f t="shared" si="52"/>
        <v>2.1</v>
      </c>
      <c r="AA175" s="129">
        <f t="shared" si="52"/>
        <v>2.1</v>
      </c>
      <c r="AB175" s="129">
        <f t="shared" si="52"/>
        <v>2.1</v>
      </c>
      <c r="AC175" s="129">
        <f t="shared" si="52"/>
        <v>2.1</v>
      </c>
      <c r="AD175" s="129">
        <f t="shared" si="52"/>
        <v>2.1</v>
      </c>
      <c r="AE175" s="129">
        <f t="shared" si="52"/>
        <v>2.1</v>
      </c>
      <c r="AF175" s="129">
        <f t="shared" si="52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50"/>
        <v>0.9</v>
      </c>
      <c r="C176" s="130">
        <v>0.9</v>
      </c>
      <c r="D176" s="129">
        <f t="shared" si="51"/>
        <v>0.9</v>
      </c>
      <c r="E176" s="129">
        <f t="shared" si="51"/>
        <v>0.9</v>
      </c>
      <c r="F176" s="129">
        <f t="shared" si="51"/>
        <v>0.9</v>
      </c>
      <c r="G176" s="129">
        <f t="shared" si="51"/>
        <v>0.9</v>
      </c>
      <c r="H176" s="129">
        <f t="shared" si="51"/>
        <v>0.9</v>
      </c>
      <c r="I176" s="129">
        <f t="shared" si="51"/>
        <v>0.9</v>
      </c>
      <c r="J176" s="129">
        <f t="shared" si="51"/>
        <v>0.9</v>
      </c>
      <c r="K176" s="129">
        <f t="shared" si="51"/>
        <v>0.9</v>
      </c>
      <c r="L176" s="129">
        <f t="shared" si="51"/>
        <v>0.9</v>
      </c>
      <c r="M176" s="129">
        <f t="shared" si="51"/>
        <v>0.9</v>
      </c>
      <c r="N176" s="129">
        <f t="shared" si="51"/>
        <v>0.9</v>
      </c>
      <c r="O176" s="129">
        <f t="shared" si="51"/>
        <v>0.9</v>
      </c>
      <c r="P176" s="129">
        <f t="shared" si="51"/>
        <v>0.9</v>
      </c>
      <c r="Q176" s="129">
        <f t="shared" si="51"/>
        <v>0.9</v>
      </c>
      <c r="R176" s="129">
        <f t="shared" si="51"/>
        <v>0.9</v>
      </c>
      <c r="S176" s="129">
        <f t="shared" si="52"/>
        <v>0.9</v>
      </c>
      <c r="T176" s="129">
        <f t="shared" si="52"/>
        <v>0.9</v>
      </c>
      <c r="U176" s="129">
        <f t="shared" si="52"/>
        <v>0.9</v>
      </c>
      <c r="V176" s="129">
        <f t="shared" si="52"/>
        <v>0.9</v>
      </c>
      <c r="W176" s="129">
        <f t="shared" si="52"/>
        <v>0.9</v>
      </c>
      <c r="X176" s="129">
        <f t="shared" si="52"/>
        <v>0.9</v>
      </c>
      <c r="Y176" s="129">
        <f t="shared" si="52"/>
        <v>0.9</v>
      </c>
      <c r="Z176" s="129">
        <f t="shared" si="52"/>
        <v>0.9</v>
      </c>
      <c r="AA176" s="129">
        <f t="shared" si="52"/>
        <v>0.9</v>
      </c>
      <c r="AB176" s="129">
        <f t="shared" si="52"/>
        <v>0.9</v>
      </c>
      <c r="AC176" s="129">
        <f t="shared" si="52"/>
        <v>0.9</v>
      </c>
      <c r="AD176" s="129">
        <f t="shared" si="52"/>
        <v>0.9</v>
      </c>
      <c r="AE176" s="129">
        <f t="shared" si="52"/>
        <v>0.9</v>
      </c>
      <c r="AF176" s="129">
        <f t="shared" si="52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3">AF178</f>
        <v>0.57999999999999996</v>
      </c>
      <c r="C178" s="130">
        <v>0.57999999999999996</v>
      </c>
      <c r="D178" s="129">
        <f t="shared" ref="D178:S190" si="54">C178</f>
        <v>0.57999999999999996</v>
      </c>
      <c r="E178" s="129">
        <f t="shared" si="54"/>
        <v>0.57999999999999996</v>
      </c>
      <c r="F178" s="129">
        <f t="shared" si="54"/>
        <v>0.57999999999999996</v>
      </c>
      <c r="G178" s="129">
        <f t="shared" si="54"/>
        <v>0.57999999999999996</v>
      </c>
      <c r="H178" s="129">
        <f t="shared" si="54"/>
        <v>0.57999999999999996</v>
      </c>
      <c r="I178" s="129">
        <f t="shared" si="54"/>
        <v>0.57999999999999996</v>
      </c>
      <c r="J178" s="129">
        <f t="shared" si="54"/>
        <v>0.57999999999999996</v>
      </c>
      <c r="K178" s="129">
        <f t="shared" si="54"/>
        <v>0.57999999999999996</v>
      </c>
      <c r="L178" s="129">
        <f t="shared" si="54"/>
        <v>0.57999999999999996</v>
      </c>
      <c r="M178" s="129">
        <f t="shared" si="54"/>
        <v>0.57999999999999996</v>
      </c>
      <c r="N178" s="129">
        <f t="shared" si="54"/>
        <v>0.57999999999999996</v>
      </c>
      <c r="O178" s="129">
        <f t="shared" si="54"/>
        <v>0.57999999999999996</v>
      </c>
      <c r="P178" s="129">
        <f t="shared" si="54"/>
        <v>0.57999999999999996</v>
      </c>
      <c r="Q178" s="129">
        <f t="shared" si="54"/>
        <v>0.57999999999999996</v>
      </c>
      <c r="R178" s="129">
        <f t="shared" si="54"/>
        <v>0.57999999999999996</v>
      </c>
      <c r="S178" s="129">
        <f t="shared" si="54"/>
        <v>0.57999999999999996</v>
      </c>
      <c r="T178" s="129">
        <f t="shared" ref="S178:AF190" si="55">S178</f>
        <v>0.57999999999999996</v>
      </c>
      <c r="U178" s="129">
        <f t="shared" si="55"/>
        <v>0.57999999999999996</v>
      </c>
      <c r="V178" s="129">
        <f t="shared" si="55"/>
        <v>0.57999999999999996</v>
      </c>
      <c r="W178" s="129">
        <f t="shared" si="55"/>
        <v>0.57999999999999996</v>
      </c>
      <c r="X178" s="129">
        <f t="shared" si="55"/>
        <v>0.57999999999999996</v>
      </c>
      <c r="Y178" s="129">
        <f t="shared" si="55"/>
        <v>0.57999999999999996</v>
      </c>
      <c r="Z178" s="129">
        <f t="shared" si="55"/>
        <v>0.57999999999999996</v>
      </c>
      <c r="AA178" s="129">
        <f t="shared" si="55"/>
        <v>0.57999999999999996</v>
      </c>
      <c r="AB178" s="129">
        <f t="shared" si="55"/>
        <v>0.57999999999999996</v>
      </c>
      <c r="AC178" s="129">
        <f t="shared" si="55"/>
        <v>0.57999999999999996</v>
      </c>
      <c r="AD178" s="129">
        <f t="shared" si="55"/>
        <v>0.57999999999999996</v>
      </c>
      <c r="AE178" s="129">
        <f t="shared" si="55"/>
        <v>0.57999999999999996</v>
      </c>
      <c r="AF178" s="129">
        <f t="shared" si="55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3"/>
        <v>0.8</v>
      </c>
      <c r="C179" s="130">
        <v>0.8</v>
      </c>
      <c r="D179" s="129">
        <f t="shared" si="54"/>
        <v>0.8</v>
      </c>
      <c r="E179" s="129">
        <f t="shared" si="54"/>
        <v>0.8</v>
      </c>
      <c r="F179" s="129">
        <f t="shared" si="54"/>
        <v>0.8</v>
      </c>
      <c r="G179" s="129">
        <f t="shared" si="54"/>
        <v>0.8</v>
      </c>
      <c r="H179" s="129">
        <f t="shared" si="54"/>
        <v>0.8</v>
      </c>
      <c r="I179" s="129">
        <f t="shared" si="54"/>
        <v>0.8</v>
      </c>
      <c r="J179" s="129">
        <f t="shared" si="54"/>
        <v>0.8</v>
      </c>
      <c r="K179" s="129">
        <f t="shared" si="54"/>
        <v>0.8</v>
      </c>
      <c r="L179" s="129">
        <f t="shared" si="54"/>
        <v>0.8</v>
      </c>
      <c r="M179" s="129">
        <f t="shared" si="54"/>
        <v>0.8</v>
      </c>
      <c r="N179" s="129">
        <f t="shared" si="54"/>
        <v>0.8</v>
      </c>
      <c r="O179" s="129">
        <f t="shared" si="54"/>
        <v>0.8</v>
      </c>
      <c r="P179" s="129">
        <f t="shared" si="54"/>
        <v>0.8</v>
      </c>
      <c r="Q179" s="129">
        <f t="shared" si="54"/>
        <v>0.8</v>
      </c>
      <c r="R179" s="129">
        <f t="shared" si="54"/>
        <v>0.8</v>
      </c>
      <c r="S179" s="129">
        <f t="shared" si="54"/>
        <v>0.8</v>
      </c>
      <c r="T179" s="129">
        <f t="shared" si="55"/>
        <v>0.8</v>
      </c>
      <c r="U179" s="129">
        <f t="shared" si="55"/>
        <v>0.8</v>
      </c>
      <c r="V179" s="129">
        <f t="shared" si="55"/>
        <v>0.8</v>
      </c>
      <c r="W179" s="129">
        <f t="shared" si="55"/>
        <v>0.8</v>
      </c>
      <c r="X179" s="129">
        <f t="shared" si="55"/>
        <v>0.8</v>
      </c>
      <c r="Y179" s="129">
        <f t="shared" si="55"/>
        <v>0.8</v>
      </c>
      <c r="Z179" s="129">
        <f t="shared" si="55"/>
        <v>0.8</v>
      </c>
      <c r="AA179" s="129">
        <f t="shared" si="55"/>
        <v>0.8</v>
      </c>
      <c r="AB179" s="129">
        <f t="shared" si="55"/>
        <v>0.8</v>
      </c>
      <c r="AC179" s="129">
        <f t="shared" si="55"/>
        <v>0.8</v>
      </c>
      <c r="AD179" s="129">
        <f t="shared" si="55"/>
        <v>0.8</v>
      </c>
      <c r="AE179" s="129">
        <f t="shared" si="55"/>
        <v>0.8</v>
      </c>
      <c r="AF179" s="129">
        <f t="shared" si="55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3"/>
        <v>0</v>
      </c>
      <c r="C180" s="130">
        <v>0</v>
      </c>
      <c r="D180" s="129">
        <f t="shared" si="54"/>
        <v>0</v>
      </c>
      <c r="E180" s="129">
        <f t="shared" si="54"/>
        <v>0</v>
      </c>
      <c r="F180" s="129">
        <f t="shared" si="54"/>
        <v>0</v>
      </c>
      <c r="G180" s="129">
        <f t="shared" si="54"/>
        <v>0</v>
      </c>
      <c r="H180" s="129">
        <f t="shared" si="54"/>
        <v>0</v>
      </c>
      <c r="I180" s="129">
        <f t="shared" si="54"/>
        <v>0</v>
      </c>
      <c r="J180" s="129">
        <f t="shared" si="54"/>
        <v>0</v>
      </c>
      <c r="K180" s="129">
        <f t="shared" si="54"/>
        <v>0</v>
      </c>
      <c r="L180" s="129">
        <f t="shared" si="54"/>
        <v>0</v>
      </c>
      <c r="M180" s="129">
        <f t="shared" si="54"/>
        <v>0</v>
      </c>
      <c r="N180" s="129">
        <f t="shared" si="54"/>
        <v>0</v>
      </c>
      <c r="O180" s="129">
        <f t="shared" si="54"/>
        <v>0</v>
      </c>
      <c r="P180" s="129">
        <f t="shared" si="54"/>
        <v>0</v>
      </c>
      <c r="Q180" s="129">
        <f t="shared" si="54"/>
        <v>0</v>
      </c>
      <c r="R180" s="129">
        <f t="shared" si="54"/>
        <v>0</v>
      </c>
      <c r="S180" s="129">
        <f t="shared" si="54"/>
        <v>0</v>
      </c>
      <c r="T180" s="129">
        <f t="shared" si="55"/>
        <v>0</v>
      </c>
      <c r="U180" s="129">
        <f t="shared" si="55"/>
        <v>0</v>
      </c>
      <c r="V180" s="129">
        <f t="shared" si="55"/>
        <v>0</v>
      </c>
      <c r="W180" s="129">
        <f t="shared" si="55"/>
        <v>0</v>
      </c>
      <c r="X180" s="129">
        <f t="shared" si="55"/>
        <v>0</v>
      </c>
      <c r="Y180" s="129">
        <f t="shared" si="55"/>
        <v>0</v>
      </c>
      <c r="Z180" s="129">
        <f t="shared" si="55"/>
        <v>0</v>
      </c>
      <c r="AA180" s="129">
        <f t="shared" si="55"/>
        <v>0</v>
      </c>
      <c r="AB180" s="129">
        <f t="shared" si="55"/>
        <v>0</v>
      </c>
      <c r="AC180" s="129">
        <f t="shared" si="55"/>
        <v>0</v>
      </c>
      <c r="AD180" s="129">
        <f t="shared" si="55"/>
        <v>0</v>
      </c>
      <c r="AE180" s="129">
        <f t="shared" si="55"/>
        <v>0</v>
      </c>
      <c r="AF180" s="129">
        <f t="shared" si="55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3"/>
        <v>0.6</v>
      </c>
      <c r="C181" s="130">
        <v>0.6</v>
      </c>
      <c r="D181" s="129">
        <f t="shared" si="54"/>
        <v>0.6</v>
      </c>
      <c r="E181" s="129">
        <f t="shared" si="54"/>
        <v>0.6</v>
      </c>
      <c r="F181" s="129">
        <f t="shared" si="54"/>
        <v>0.6</v>
      </c>
      <c r="G181" s="129">
        <f t="shared" si="54"/>
        <v>0.6</v>
      </c>
      <c r="H181" s="129">
        <f t="shared" si="54"/>
        <v>0.6</v>
      </c>
      <c r="I181" s="129">
        <f t="shared" si="54"/>
        <v>0.6</v>
      </c>
      <c r="J181" s="129">
        <f t="shared" si="54"/>
        <v>0.6</v>
      </c>
      <c r="K181" s="129">
        <f t="shared" si="54"/>
        <v>0.6</v>
      </c>
      <c r="L181" s="129">
        <f t="shared" si="54"/>
        <v>0.6</v>
      </c>
      <c r="M181" s="129">
        <f t="shared" si="54"/>
        <v>0.6</v>
      </c>
      <c r="N181" s="129">
        <f t="shared" si="54"/>
        <v>0.6</v>
      </c>
      <c r="O181" s="129">
        <f t="shared" si="54"/>
        <v>0.6</v>
      </c>
      <c r="P181" s="129">
        <f t="shared" si="54"/>
        <v>0.6</v>
      </c>
      <c r="Q181" s="129">
        <f t="shared" si="54"/>
        <v>0.6</v>
      </c>
      <c r="R181" s="129">
        <f t="shared" si="54"/>
        <v>0.6</v>
      </c>
      <c r="S181" s="129">
        <f t="shared" si="54"/>
        <v>0.6</v>
      </c>
      <c r="T181" s="129">
        <f t="shared" si="55"/>
        <v>0.6</v>
      </c>
      <c r="U181" s="129">
        <f t="shared" si="55"/>
        <v>0.6</v>
      </c>
      <c r="V181" s="129">
        <f t="shared" si="55"/>
        <v>0.6</v>
      </c>
      <c r="W181" s="129">
        <f t="shared" si="55"/>
        <v>0.6</v>
      </c>
      <c r="X181" s="129">
        <f t="shared" si="55"/>
        <v>0.6</v>
      </c>
      <c r="Y181" s="129">
        <f t="shared" si="55"/>
        <v>0.6</v>
      </c>
      <c r="Z181" s="129">
        <f t="shared" si="55"/>
        <v>0.6</v>
      </c>
      <c r="AA181" s="129">
        <f t="shared" si="55"/>
        <v>0.6</v>
      </c>
      <c r="AB181" s="129">
        <f t="shared" si="55"/>
        <v>0.6</v>
      </c>
      <c r="AC181" s="129">
        <f t="shared" si="55"/>
        <v>0.6</v>
      </c>
      <c r="AD181" s="129">
        <f t="shared" si="55"/>
        <v>0.6</v>
      </c>
      <c r="AE181" s="129">
        <f t="shared" si="55"/>
        <v>0.6</v>
      </c>
      <c r="AF181" s="129">
        <f t="shared" si="55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3"/>
        <v>0.6</v>
      </c>
      <c r="C182" s="130">
        <v>0.6</v>
      </c>
      <c r="D182" s="129">
        <f t="shared" si="54"/>
        <v>0.6</v>
      </c>
      <c r="E182" s="129">
        <f t="shared" si="54"/>
        <v>0.6</v>
      </c>
      <c r="F182" s="129">
        <f t="shared" si="54"/>
        <v>0.6</v>
      </c>
      <c r="G182" s="129">
        <f t="shared" si="54"/>
        <v>0.6</v>
      </c>
      <c r="H182" s="129">
        <f t="shared" si="54"/>
        <v>0.6</v>
      </c>
      <c r="I182" s="129">
        <f t="shared" si="54"/>
        <v>0.6</v>
      </c>
      <c r="J182" s="129">
        <f t="shared" si="54"/>
        <v>0.6</v>
      </c>
      <c r="K182" s="129">
        <f t="shared" si="54"/>
        <v>0.6</v>
      </c>
      <c r="L182" s="129">
        <f t="shared" si="54"/>
        <v>0.6</v>
      </c>
      <c r="M182" s="129">
        <f t="shared" si="54"/>
        <v>0.6</v>
      </c>
      <c r="N182" s="129">
        <f t="shared" si="54"/>
        <v>0.6</v>
      </c>
      <c r="O182" s="129">
        <f t="shared" si="54"/>
        <v>0.6</v>
      </c>
      <c r="P182" s="129">
        <f t="shared" si="54"/>
        <v>0.6</v>
      </c>
      <c r="Q182" s="129">
        <f t="shared" si="54"/>
        <v>0.6</v>
      </c>
      <c r="R182" s="129">
        <f t="shared" si="54"/>
        <v>0.6</v>
      </c>
      <c r="S182" s="129">
        <f t="shared" si="54"/>
        <v>0.6</v>
      </c>
      <c r="T182" s="129">
        <f t="shared" si="55"/>
        <v>0.6</v>
      </c>
      <c r="U182" s="129">
        <f t="shared" si="55"/>
        <v>0.6</v>
      </c>
      <c r="V182" s="129">
        <f t="shared" si="55"/>
        <v>0.6</v>
      </c>
      <c r="W182" s="129">
        <f t="shared" si="55"/>
        <v>0.6</v>
      </c>
      <c r="X182" s="129">
        <f t="shared" si="55"/>
        <v>0.6</v>
      </c>
      <c r="Y182" s="129">
        <f t="shared" si="55"/>
        <v>0.6</v>
      </c>
      <c r="Z182" s="129">
        <f t="shared" si="55"/>
        <v>0.6</v>
      </c>
      <c r="AA182" s="129">
        <f t="shared" si="55"/>
        <v>0.6</v>
      </c>
      <c r="AB182" s="129">
        <f t="shared" si="55"/>
        <v>0.6</v>
      </c>
      <c r="AC182" s="129">
        <f t="shared" si="55"/>
        <v>0.6</v>
      </c>
      <c r="AD182" s="129">
        <f t="shared" si="55"/>
        <v>0.6</v>
      </c>
      <c r="AE182" s="129">
        <f t="shared" si="55"/>
        <v>0.6</v>
      </c>
      <c r="AF182" s="129">
        <f t="shared" si="55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3"/>
        <v>0.35</v>
      </c>
      <c r="C183" s="130">
        <v>0.35</v>
      </c>
      <c r="D183" s="129">
        <f t="shared" si="54"/>
        <v>0.35</v>
      </c>
      <c r="E183" s="129">
        <f t="shared" si="54"/>
        <v>0.35</v>
      </c>
      <c r="F183" s="129">
        <f t="shared" si="54"/>
        <v>0.35</v>
      </c>
      <c r="G183" s="129">
        <f t="shared" si="54"/>
        <v>0.35</v>
      </c>
      <c r="H183" s="129">
        <f t="shared" si="54"/>
        <v>0.35</v>
      </c>
      <c r="I183" s="129">
        <f t="shared" si="54"/>
        <v>0.35</v>
      </c>
      <c r="J183" s="129">
        <f t="shared" si="54"/>
        <v>0.35</v>
      </c>
      <c r="K183" s="129">
        <f t="shared" si="54"/>
        <v>0.35</v>
      </c>
      <c r="L183" s="129">
        <f t="shared" si="54"/>
        <v>0.35</v>
      </c>
      <c r="M183" s="129">
        <f t="shared" si="54"/>
        <v>0.35</v>
      </c>
      <c r="N183" s="129">
        <f t="shared" si="54"/>
        <v>0.35</v>
      </c>
      <c r="O183" s="129">
        <f t="shared" si="54"/>
        <v>0.35</v>
      </c>
      <c r="P183" s="129">
        <f t="shared" si="54"/>
        <v>0.35</v>
      </c>
      <c r="Q183" s="129">
        <f t="shared" si="54"/>
        <v>0.35</v>
      </c>
      <c r="R183" s="129">
        <f t="shared" si="54"/>
        <v>0.35</v>
      </c>
      <c r="S183" s="129">
        <f t="shared" si="54"/>
        <v>0.35</v>
      </c>
      <c r="T183" s="129">
        <f t="shared" si="55"/>
        <v>0.35</v>
      </c>
      <c r="U183" s="129">
        <f t="shared" si="55"/>
        <v>0.35</v>
      </c>
      <c r="V183" s="129">
        <f t="shared" si="55"/>
        <v>0.35</v>
      </c>
      <c r="W183" s="129">
        <f t="shared" si="55"/>
        <v>0.35</v>
      </c>
      <c r="X183" s="129">
        <f t="shared" si="55"/>
        <v>0.35</v>
      </c>
      <c r="Y183" s="129">
        <f t="shared" si="55"/>
        <v>0.35</v>
      </c>
      <c r="Z183" s="129">
        <f t="shared" si="55"/>
        <v>0.35</v>
      </c>
      <c r="AA183" s="129">
        <f t="shared" si="55"/>
        <v>0.35</v>
      </c>
      <c r="AB183" s="129">
        <f t="shared" si="55"/>
        <v>0.35</v>
      </c>
      <c r="AC183" s="129">
        <f t="shared" si="55"/>
        <v>0.35</v>
      </c>
      <c r="AD183" s="129">
        <f t="shared" si="55"/>
        <v>0.35</v>
      </c>
      <c r="AE183" s="129">
        <f t="shared" si="55"/>
        <v>0.35</v>
      </c>
      <c r="AF183" s="129">
        <f t="shared" si="55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3"/>
        <v>0.28999999999999998</v>
      </c>
      <c r="C184" s="130">
        <v>0.28999999999999998</v>
      </c>
      <c r="D184" s="129">
        <f t="shared" si="54"/>
        <v>0.28999999999999998</v>
      </c>
      <c r="E184" s="129">
        <f t="shared" si="54"/>
        <v>0.28999999999999998</v>
      </c>
      <c r="F184" s="129">
        <f t="shared" si="54"/>
        <v>0.28999999999999998</v>
      </c>
      <c r="G184" s="129">
        <f t="shared" si="54"/>
        <v>0.28999999999999998</v>
      </c>
      <c r="H184" s="129">
        <f t="shared" si="54"/>
        <v>0.28999999999999998</v>
      </c>
      <c r="I184" s="129">
        <f t="shared" si="54"/>
        <v>0.28999999999999998</v>
      </c>
      <c r="J184" s="129">
        <f t="shared" si="54"/>
        <v>0.28999999999999998</v>
      </c>
      <c r="K184" s="129">
        <f t="shared" si="54"/>
        <v>0.28999999999999998</v>
      </c>
      <c r="L184" s="129">
        <f t="shared" si="54"/>
        <v>0.28999999999999998</v>
      </c>
      <c r="M184" s="129">
        <f t="shared" si="54"/>
        <v>0.28999999999999998</v>
      </c>
      <c r="N184" s="129">
        <f t="shared" si="54"/>
        <v>0.28999999999999998</v>
      </c>
      <c r="O184" s="129">
        <f t="shared" si="54"/>
        <v>0.28999999999999998</v>
      </c>
      <c r="P184" s="129">
        <f t="shared" si="54"/>
        <v>0.28999999999999998</v>
      </c>
      <c r="Q184" s="129">
        <f t="shared" si="54"/>
        <v>0.28999999999999998</v>
      </c>
      <c r="R184" s="129">
        <f t="shared" si="54"/>
        <v>0.28999999999999998</v>
      </c>
      <c r="S184" s="129">
        <f t="shared" si="54"/>
        <v>0.28999999999999998</v>
      </c>
      <c r="T184" s="129">
        <f t="shared" si="55"/>
        <v>0.28999999999999998</v>
      </c>
      <c r="U184" s="129">
        <f t="shared" si="55"/>
        <v>0.28999999999999998</v>
      </c>
      <c r="V184" s="129">
        <f t="shared" si="55"/>
        <v>0.28999999999999998</v>
      </c>
      <c r="W184" s="129">
        <f t="shared" si="55"/>
        <v>0.28999999999999998</v>
      </c>
      <c r="X184" s="129">
        <f t="shared" si="55"/>
        <v>0.28999999999999998</v>
      </c>
      <c r="Y184" s="129">
        <f t="shared" si="55"/>
        <v>0.28999999999999998</v>
      </c>
      <c r="Z184" s="129">
        <f t="shared" si="55"/>
        <v>0.28999999999999998</v>
      </c>
      <c r="AA184" s="129">
        <f t="shared" si="55"/>
        <v>0.28999999999999998</v>
      </c>
      <c r="AB184" s="129">
        <f t="shared" si="55"/>
        <v>0.28999999999999998</v>
      </c>
      <c r="AC184" s="129">
        <f t="shared" si="55"/>
        <v>0.28999999999999998</v>
      </c>
      <c r="AD184" s="129">
        <f t="shared" si="55"/>
        <v>0.28999999999999998</v>
      </c>
      <c r="AE184" s="129">
        <f t="shared" si="55"/>
        <v>0.28999999999999998</v>
      </c>
      <c r="AF184" s="129">
        <f t="shared" si="55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3"/>
        <v>0.06</v>
      </c>
      <c r="C185" s="130">
        <v>0.06</v>
      </c>
      <c r="D185" s="129">
        <f t="shared" si="54"/>
        <v>0.06</v>
      </c>
      <c r="E185" s="129">
        <f t="shared" si="54"/>
        <v>0.06</v>
      </c>
      <c r="F185" s="129">
        <f t="shared" si="54"/>
        <v>0.06</v>
      </c>
      <c r="G185" s="129">
        <f t="shared" si="54"/>
        <v>0.06</v>
      </c>
      <c r="H185" s="129">
        <f t="shared" si="54"/>
        <v>0.06</v>
      </c>
      <c r="I185" s="129">
        <f t="shared" si="54"/>
        <v>0.06</v>
      </c>
      <c r="J185" s="129">
        <f t="shared" si="54"/>
        <v>0.06</v>
      </c>
      <c r="K185" s="129">
        <f t="shared" si="54"/>
        <v>0.06</v>
      </c>
      <c r="L185" s="129">
        <f t="shared" si="54"/>
        <v>0.06</v>
      </c>
      <c r="M185" s="129">
        <f t="shared" si="54"/>
        <v>0.06</v>
      </c>
      <c r="N185" s="129">
        <f t="shared" si="54"/>
        <v>0.06</v>
      </c>
      <c r="O185" s="129">
        <f t="shared" si="54"/>
        <v>0.06</v>
      </c>
      <c r="P185" s="129">
        <f t="shared" si="54"/>
        <v>0.06</v>
      </c>
      <c r="Q185" s="129">
        <f t="shared" si="54"/>
        <v>0.06</v>
      </c>
      <c r="R185" s="129">
        <f t="shared" si="54"/>
        <v>0.06</v>
      </c>
      <c r="S185" s="129">
        <f t="shared" si="54"/>
        <v>0.06</v>
      </c>
      <c r="T185" s="129">
        <f t="shared" si="55"/>
        <v>0.06</v>
      </c>
      <c r="U185" s="129">
        <f t="shared" si="55"/>
        <v>0.06</v>
      </c>
      <c r="V185" s="129">
        <f t="shared" si="55"/>
        <v>0.06</v>
      </c>
      <c r="W185" s="129">
        <f t="shared" si="55"/>
        <v>0.06</v>
      </c>
      <c r="X185" s="129">
        <f t="shared" si="55"/>
        <v>0.06</v>
      </c>
      <c r="Y185" s="129">
        <f t="shared" si="55"/>
        <v>0.06</v>
      </c>
      <c r="Z185" s="129">
        <f t="shared" si="55"/>
        <v>0.06</v>
      </c>
      <c r="AA185" s="129">
        <f t="shared" si="55"/>
        <v>0.06</v>
      </c>
      <c r="AB185" s="129">
        <f t="shared" si="55"/>
        <v>0.06</v>
      </c>
      <c r="AC185" s="129">
        <f t="shared" si="55"/>
        <v>0.06</v>
      </c>
      <c r="AD185" s="129">
        <f t="shared" si="55"/>
        <v>0.06</v>
      </c>
      <c r="AE185" s="129">
        <f t="shared" si="55"/>
        <v>0.06</v>
      </c>
      <c r="AF185" s="129">
        <f t="shared" si="55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3"/>
        <v>0.11</v>
      </c>
      <c r="C186" s="130">
        <v>0.11</v>
      </c>
      <c r="D186" s="129">
        <f t="shared" si="54"/>
        <v>0.11</v>
      </c>
      <c r="E186" s="129">
        <f t="shared" si="54"/>
        <v>0.11</v>
      </c>
      <c r="F186" s="129">
        <f t="shared" si="54"/>
        <v>0.11</v>
      </c>
      <c r="G186" s="129">
        <f t="shared" si="54"/>
        <v>0.11</v>
      </c>
      <c r="H186" s="129">
        <f t="shared" si="54"/>
        <v>0.11</v>
      </c>
      <c r="I186" s="129">
        <f t="shared" si="54"/>
        <v>0.11</v>
      </c>
      <c r="J186" s="129">
        <f t="shared" si="54"/>
        <v>0.11</v>
      </c>
      <c r="K186" s="129">
        <f t="shared" si="54"/>
        <v>0.11</v>
      </c>
      <c r="L186" s="129">
        <f t="shared" si="54"/>
        <v>0.11</v>
      </c>
      <c r="M186" s="129">
        <f t="shared" si="54"/>
        <v>0.11</v>
      </c>
      <c r="N186" s="129">
        <f t="shared" si="54"/>
        <v>0.11</v>
      </c>
      <c r="O186" s="129">
        <f t="shared" si="54"/>
        <v>0.11</v>
      </c>
      <c r="P186" s="129">
        <f t="shared" si="54"/>
        <v>0.11</v>
      </c>
      <c r="Q186" s="129">
        <f t="shared" si="54"/>
        <v>0.11</v>
      </c>
      <c r="R186" s="129">
        <f t="shared" si="54"/>
        <v>0.11</v>
      </c>
      <c r="S186" s="129">
        <f t="shared" si="54"/>
        <v>0.11</v>
      </c>
      <c r="T186" s="129">
        <f t="shared" si="55"/>
        <v>0.11</v>
      </c>
      <c r="U186" s="129">
        <f t="shared" si="55"/>
        <v>0.11</v>
      </c>
      <c r="V186" s="129">
        <f t="shared" si="55"/>
        <v>0.11</v>
      </c>
      <c r="W186" s="129">
        <f t="shared" si="55"/>
        <v>0.11</v>
      </c>
      <c r="X186" s="129">
        <f t="shared" si="55"/>
        <v>0.11</v>
      </c>
      <c r="Y186" s="129">
        <f t="shared" si="55"/>
        <v>0.11</v>
      </c>
      <c r="Z186" s="129">
        <f t="shared" si="55"/>
        <v>0.11</v>
      </c>
      <c r="AA186" s="129">
        <f t="shared" si="55"/>
        <v>0.11</v>
      </c>
      <c r="AB186" s="129">
        <f t="shared" si="55"/>
        <v>0.11</v>
      </c>
      <c r="AC186" s="129">
        <f t="shared" si="55"/>
        <v>0.11</v>
      </c>
      <c r="AD186" s="129">
        <f t="shared" si="55"/>
        <v>0.11</v>
      </c>
      <c r="AE186" s="129">
        <f t="shared" si="55"/>
        <v>0.11</v>
      </c>
      <c r="AF186" s="129">
        <f t="shared" si="55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3"/>
        <v>0.1</v>
      </c>
      <c r="C187" s="130">
        <v>0.1</v>
      </c>
      <c r="D187" s="129">
        <f t="shared" si="54"/>
        <v>0.1</v>
      </c>
      <c r="E187" s="129">
        <f t="shared" si="54"/>
        <v>0.1</v>
      </c>
      <c r="F187" s="129">
        <f t="shared" si="54"/>
        <v>0.1</v>
      </c>
      <c r="G187" s="129">
        <f t="shared" si="54"/>
        <v>0.1</v>
      </c>
      <c r="H187" s="129">
        <f t="shared" si="54"/>
        <v>0.1</v>
      </c>
      <c r="I187" s="129">
        <f t="shared" si="54"/>
        <v>0.1</v>
      </c>
      <c r="J187" s="129">
        <f t="shared" si="54"/>
        <v>0.1</v>
      </c>
      <c r="K187" s="129">
        <f t="shared" si="54"/>
        <v>0.1</v>
      </c>
      <c r="L187" s="129">
        <f t="shared" si="54"/>
        <v>0.1</v>
      </c>
      <c r="M187" s="129">
        <f t="shared" si="54"/>
        <v>0.1</v>
      </c>
      <c r="N187" s="129">
        <f t="shared" si="54"/>
        <v>0.1</v>
      </c>
      <c r="O187" s="129">
        <f t="shared" si="54"/>
        <v>0.1</v>
      </c>
      <c r="P187" s="129">
        <f t="shared" si="54"/>
        <v>0.1</v>
      </c>
      <c r="Q187" s="129">
        <f t="shared" si="54"/>
        <v>0.1</v>
      </c>
      <c r="R187" s="129">
        <f t="shared" si="54"/>
        <v>0.1</v>
      </c>
      <c r="S187" s="129">
        <f t="shared" si="55"/>
        <v>0.1</v>
      </c>
      <c r="T187" s="129">
        <f t="shared" si="55"/>
        <v>0.1</v>
      </c>
      <c r="U187" s="129">
        <f t="shared" si="55"/>
        <v>0.1</v>
      </c>
      <c r="V187" s="129">
        <f t="shared" si="55"/>
        <v>0.1</v>
      </c>
      <c r="W187" s="129">
        <f t="shared" si="55"/>
        <v>0.1</v>
      </c>
      <c r="X187" s="129">
        <f t="shared" si="55"/>
        <v>0.1</v>
      </c>
      <c r="Y187" s="129">
        <f t="shared" si="55"/>
        <v>0.1</v>
      </c>
      <c r="Z187" s="129">
        <f t="shared" si="55"/>
        <v>0.1</v>
      </c>
      <c r="AA187" s="129">
        <f t="shared" si="55"/>
        <v>0.1</v>
      </c>
      <c r="AB187" s="129">
        <f t="shared" si="55"/>
        <v>0.1</v>
      </c>
      <c r="AC187" s="129">
        <f t="shared" si="55"/>
        <v>0.1</v>
      </c>
      <c r="AD187" s="129">
        <f t="shared" si="55"/>
        <v>0.1</v>
      </c>
      <c r="AE187" s="129">
        <f t="shared" si="55"/>
        <v>0.1</v>
      </c>
      <c r="AF187" s="129">
        <f t="shared" si="55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3"/>
        <v>0.09</v>
      </c>
      <c r="C188" s="130">
        <v>0.09</v>
      </c>
      <c r="D188" s="129">
        <f t="shared" si="54"/>
        <v>0.09</v>
      </c>
      <c r="E188" s="129">
        <f t="shared" si="54"/>
        <v>0.09</v>
      </c>
      <c r="F188" s="129">
        <f t="shared" si="54"/>
        <v>0.09</v>
      </c>
      <c r="G188" s="129">
        <f t="shared" si="54"/>
        <v>0.09</v>
      </c>
      <c r="H188" s="129">
        <f t="shared" si="54"/>
        <v>0.09</v>
      </c>
      <c r="I188" s="129">
        <f t="shared" si="54"/>
        <v>0.09</v>
      </c>
      <c r="J188" s="129">
        <f t="shared" si="54"/>
        <v>0.09</v>
      </c>
      <c r="K188" s="129">
        <f t="shared" si="54"/>
        <v>0.09</v>
      </c>
      <c r="L188" s="129">
        <f t="shared" si="54"/>
        <v>0.09</v>
      </c>
      <c r="M188" s="129">
        <f t="shared" si="54"/>
        <v>0.09</v>
      </c>
      <c r="N188" s="129">
        <f t="shared" si="54"/>
        <v>0.09</v>
      </c>
      <c r="O188" s="129">
        <f t="shared" si="54"/>
        <v>0.09</v>
      </c>
      <c r="P188" s="129">
        <f t="shared" si="54"/>
        <v>0.09</v>
      </c>
      <c r="Q188" s="129">
        <f t="shared" si="54"/>
        <v>0.09</v>
      </c>
      <c r="R188" s="129">
        <f t="shared" si="54"/>
        <v>0.09</v>
      </c>
      <c r="S188" s="129">
        <f t="shared" si="55"/>
        <v>0.09</v>
      </c>
      <c r="T188" s="129">
        <f t="shared" si="55"/>
        <v>0.09</v>
      </c>
      <c r="U188" s="129">
        <f t="shared" si="55"/>
        <v>0.09</v>
      </c>
      <c r="V188" s="129">
        <f t="shared" si="55"/>
        <v>0.09</v>
      </c>
      <c r="W188" s="129">
        <f t="shared" si="55"/>
        <v>0.09</v>
      </c>
      <c r="X188" s="129">
        <f t="shared" si="55"/>
        <v>0.09</v>
      </c>
      <c r="Y188" s="129">
        <f t="shared" si="55"/>
        <v>0.09</v>
      </c>
      <c r="Z188" s="129">
        <f t="shared" si="55"/>
        <v>0.09</v>
      </c>
      <c r="AA188" s="129">
        <f t="shared" si="55"/>
        <v>0.09</v>
      </c>
      <c r="AB188" s="129">
        <f t="shared" si="55"/>
        <v>0.09</v>
      </c>
      <c r="AC188" s="129">
        <f t="shared" si="55"/>
        <v>0.09</v>
      </c>
      <c r="AD188" s="129">
        <f t="shared" si="55"/>
        <v>0.09</v>
      </c>
      <c r="AE188" s="129">
        <f t="shared" si="55"/>
        <v>0.09</v>
      </c>
      <c r="AF188" s="129">
        <f t="shared" si="55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3"/>
        <v>0.04</v>
      </c>
      <c r="C189" s="53">
        <v>0.04</v>
      </c>
      <c r="D189" s="129">
        <f t="shared" si="54"/>
        <v>0.04</v>
      </c>
      <c r="E189" s="129">
        <f t="shared" si="54"/>
        <v>0.04</v>
      </c>
      <c r="F189" s="129">
        <f t="shared" si="54"/>
        <v>0.04</v>
      </c>
      <c r="G189" s="129">
        <f t="shared" si="54"/>
        <v>0.04</v>
      </c>
      <c r="H189" s="129">
        <f t="shared" si="54"/>
        <v>0.04</v>
      </c>
      <c r="I189" s="129">
        <f t="shared" si="54"/>
        <v>0.04</v>
      </c>
      <c r="J189" s="129">
        <f t="shared" si="54"/>
        <v>0.04</v>
      </c>
      <c r="K189" s="129">
        <f t="shared" si="54"/>
        <v>0.04</v>
      </c>
      <c r="L189" s="129">
        <f t="shared" si="54"/>
        <v>0.04</v>
      </c>
      <c r="M189" s="129">
        <f t="shared" si="54"/>
        <v>0.04</v>
      </c>
      <c r="N189" s="129">
        <f t="shared" si="54"/>
        <v>0.04</v>
      </c>
      <c r="O189" s="129">
        <f t="shared" si="54"/>
        <v>0.04</v>
      </c>
      <c r="P189" s="129">
        <f t="shared" si="54"/>
        <v>0.04</v>
      </c>
      <c r="Q189" s="129">
        <f t="shared" si="54"/>
        <v>0.04</v>
      </c>
      <c r="R189" s="129">
        <f t="shared" si="54"/>
        <v>0.04</v>
      </c>
      <c r="S189" s="129">
        <f t="shared" si="55"/>
        <v>0.04</v>
      </c>
      <c r="T189" s="129">
        <f t="shared" si="55"/>
        <v>0.04</v>
      </c>
      <c r="U189" s="129">
        <f t="shared" si="55"/>
        <v>0.04</v>
      </c>
      <c r="V189" s="129">
        <f t="shared" si="55"/>
        <v>0.04</v>
      </c>
      <c r="W189" s="129">
        <f t="shared" si="55"/>
        <v>0.04</v>
      </c>
      <c r="X189" s="129">
        <f t="shared" si="55"/>
        <v>0.04</v>
      </c>
      <c r="Y189" s="129">
        <f t="shared" si="55"/>
        <v>0.04</v>
      </c>
      <c r="Z189" s="129">
        <f t="shared" si="55"/>
        <v>0.04</v>
      </c>
      <c r="AA189" s="129">
        <f t="shared" si="55"/>
        <v>0.04</v>
      </c>
      <c r="AB189" s="129">
        <f t="shared" si="55"/>
        <v>0.04</v>
      </c>
      <c r="AC189" s="129">
        <f t="shared" si="55"/>
        <v>0.04</v>
      </c>
      <c r="AD189" s="129">
        <f t="shared" si="55"/>
        <v>0.04</v>
      </c>
      <c r="AE189" s="129">
        <f t="shared" si="55"/>
        <v>0.04</v>
      </c>
      <c r="AF189" s="129">
        <f t="shared" si="55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3"/>
        <v>2.3E-2</v>
      </c>
      <c r="C190" s="53">
        <v>2.3E-2</v>
      </c>
      <c r="D190" s="129">
        <f>C190</f>
        <v>2.3E-2</v>
      </c>
      <c r="E190" s="129">
        <f t="shared" si="54"/>
        <v>2.3E-2</v>
      </c>
      <c r="F190" s="129">
        <f t="shared" si="54"/>
        <v>2.3E-2</v>
      </c>
      <c r="G190" s="129">
        <f t="shared" si="54"/>
        <v>2.3E-2</v>
      </c>
      <c r="H190" s="129">
        <f t="shared" si="54"/>
        <v>2.3E-2</v>
      </c>
      <c r="I190" s="129">
        <f t="shared" si="54"/>
        <v>2.3E-2</v>
      </c>
      <c r="J190" s="129">
        <f t="shared" si="54"/>
        <v>2.3E-2</v>
      </c>
      <c r="K190" s="129">
        <f t="shared" si="54"/>
        <v>2.3E-2</v>
      </c>
      <c r="L190" s="129">
        <f t="shared" si="54"/>
        <v>2.3E-2</v>
      </c>
      <c r="M190" s="129">
        <f t="shared" si="54"/>
        <v>2.3E-2</v>
      </c>
      <c r="N190" s="129">
        <f t="shared" si="54"/>
        <v>2.3E-2</v>
      </c>
      <c r="O190" s="129">
        <f t="shared" si="54"/>
        <v>2.3E-2</v>
      </c>
      <c r="P190" s="129">
        <f t="shared" si="54"/>
        <v>2.3E-2</v>
      </c>
      <c r="Q190" s="129">
        <f t="shared" si="54"/>
        <v>2.3E-2</v>
      </c>
      <c r="R190" s="129">
        <f t="shared" si="54"/>
        <v>2.3E-2</v>
      </c>
      <c r="S190" s="129">
        <f t="shared" si="55"/>
        <v>2.3E-2</v>
      </c>
      <c r="T190" s="129">
        <f t="shared" si="55"/>
        <v>2.3E-2</v>
      </c>
      <c r="U190" s="129">
        <f t="shared" si="55"/>
        <v>2.3E-2</v>
      </c>
      <c r="V190" s="129">
        <f t="shared" si="55"/>
        <v>2.3E-2</v>
      </c>
      <c r="W190" s="129">
        <f t="shared" si="55"/>
        <v>2.3E-2</v>
      </c>
      <c r="X190" s="129">
        <f t="shared" si="55"/>
        <v>2.3E-2</v>
      </c>
      <c r="Y190" s="129">
        <f t="shared" si="55"/>
        <v>2.3E-2</v>
      </c>
      <c r="Z190" s="129">
        <f t="shared" si="55"/>
        <v>2.3E-2</v>
      </c>
      <c r="AA190" s="129">
        <f t="shared" si="55"/>
        <v>2.3E-2</v>
      </c>
      <c r="AB190" s="129">
        <f t="shared" si="55"/>
        <v>2.3E-2</v>
      </c>
      <c r="AC190" s="129">
        <f t="shared" si="55"/>
        <v>2.3E-2</v>
      </c>
      <c r="AD190" s="129">
        <f t="shared" si="55"/>
        <v>2.3E-2</v>
      </c>
      <c r="AE190" s="129">
        <f t="shared" si="55"/>
        <v>2.3E-2</v>
      </c>
      <c r="AF190" s="129">
        <f t="shared" si="55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6">SUM(C101:C190)</f>
        <v>194.70600000000002</v>
      </c>
      <c r="D191" s="134">
        <f t="shared" si="56"/>
        <v>194.70600000000002</v>
      </c>
      <c r="E191" s="134">
        <f t="shared" si="56"/>
        <v>194.70600000000002</v>
      </c>
      <c r="F191" s="134">
        <f t="shared" si="56"/>
        <v>194.70600000000002</v>
      </c>
      <c r="G191" s="134">
        <f t="shared" si="56"/>
        <v>194.70600000000002</v>
      </c>
      <c r="H191" s="134">
        <f t="shared" si="56"/>
        <v>194.70600000000002</v>
      </c>
      <c r="I191" s="134">
        <f t="shared" si="56"/>
        <v>194.70600000000002</v>
      </c>
      <c r="J191" s="134">
        <f t="shared" si="56"/>
        <v>192.10600000000005</v>
      </c>
      <c r="K191" s="134">
        <f t="shared" si="56"/>
        <v>192.10600000000005</v>
      </c>
      <c r="L191" s="134">
        <f t="shared" si="56"/>
        <v>192.10600000000005</v>
      </c>
      <c r="M191" s="134">
        <f t="shared" si="56"/>
        <v>192.10600000000005</v>
      </c>
      <c r="N191" s="134">
        <f t="shared" si="56"/>
        <v>192.10600000000005</v>
      </c>
      <c r="O191" s="134">
        <f t="shared" si="56"/>
        <v>192.10600000000005</v>
      </c>
      <c r="P191" s="134">
        <f t="shared" si="56"/>
        <v>192.10600000000005</v>
      </c>
      <c r="Q191" s="134">
        <f t="shared" si="56"/>
        <v>192.10600000000005</v>
      </c>
      <c r="R191" s="134">
        <f t="shared" si="56"/>
        <v>192.10600000000005</v>
      </c>
      <c r="S191" s="134">
        <f t="shared" si="56"/>
        <v>192.10600000000005</v>
      </c>
      <c r="T191" s="134">
        <f t="shared" si="56"/>
        <v>192.10600000000005</v>
      </c>
      <c r="U191" s="134">
        <f t="shared" si="56"/>
        <v>192.10600000000005</v>
      </c>
      <c r="V191" s="134">
        <f t="shared" si="56"/>
        <v>192.10600000000005</v>
      </c>
      <c r="W191" s="134">
        <f t="shared" si="56"/>
        <v>192.10600000000005</v>
      </c>
      <c r="X191" s="134">
        <f t="shared" si="56"/>
        <v>192.10600000000005</v>
      </c>
      <c r="Y191" s="134">
        <f t="shared" si="56"/>
        <v>192.10600000000005</v>
      </c>
      <c r="Z191" s="134">
        <f t="shared" si="56"/>
        <v>192.10600000000005</v>
      </c>
      <c r="AA191" s="134">
        <f t="shared" si="56"/>
        <v>192.10600000000005</v>
      </c>
      <c r="AB191" s="134">
        <f t="shared" si="56"/>
        <v>192.10600000000005</v>
      </c>
      <c r="AC191" s="134">
        <f t="shared" si="56"/>
        <v>192.10600000000005</v>
      </c>
      <c r="AD191" s="134">
        <f t="shared" si="56"/>
        <v>192.10600000000005</v>
      </c>
      <c r="AE191" s="134">
        <f t="shared" si="56"/>
        <v>192.10600000000005</v>
      </c>
      <c r="AF191" s="134">
        <f t="shared" si="56"/>
        <v>192.10600000000005</v>
      </c>
      <c r="AG191" s="135">
        <f t="shared" si="56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7">AF193</f>
        <v>0.3</v>
      </c>
      <c r="C193" s="136">
        <v>0.3</v>
      </c>
      <c r="D193" s="136">
        <f t="shared" ref="D193:S198" si="58">C193</f>
        <v>0.3</v>
      </c>
      <c r="E193" s="136">
        <f t="shared" si="58"/>
        <v>0.3</v>
      </c>
      <c r="F193" s="136">
        <f t="shared" si="58"/>
        <v>0.3</v>
      </c>
      <c r="G193" s="136">
        <f t="shared" si="58"/>
        <v>0.3</v>
      </c>
      <c r="H193" s="136">
        <f t="shared" si="58"/>
        <v>0.3</v>
      </c>
      <c r="I193" s="136">
        <f t="shared" si="58"/>
        <v>0.3</v>
      </c>
      <c r="J193" s="136">
        <f t="shared" si="58"/>
        <v>0.3</v>
      </c>
      <c r="K193" s="136">
        <f t="shared" si="58"/>
        <v>0.3</v>
      </c>
      <c r="L193" s="136">
        <f t="shared" si="58"/>
        <v>0.3</v>
      </c>
      <c r="M193" s="136">
        <f t="shared" si="58"/>
        <v>0.3</v>
      </c>
      <c r="N193" s="136">
        <f t="shared" si="58"/>
        <v>0.3</v>
      </c>
      <c r="O193" s="136">
        <f t="shared" si="58"/>
        <v>0.3</v>
      </c>
      <c r="P193" s="136">
        <f t="shared" si="58"/>
        <v>0.3</v>
      </c>
      <c r="Q193" s="136">
        <f t="shared" si="58"/>
        <v>0.3</v>
      </c>
      <c r="R193" s="136">
        <f t="shared" si="58"/>
        <v>0.3</v>
      </c>
      <c r="S193" s="136">
        <f t="shared" si="58"/>
        <v>0.3</v>
      </c>
      <c r="T193" s="136">
        <f t="shared" ref="T193:AF198" si="59">S193</f>
        <v>0.3</v>
      </c>
      <c r="U193" s="136">
        <f t="shared" si="59"/>
        <v>0.3</v>
      </c>
      <c r="V193" s="136">
        <f t="shared" si="59"/>
        <v>0.3</v>
      </c>
      <c r="W193" s="136">
        <f t="shared" si="59"/>
        <v>0.3</v>
      </c>
      <c r="X193" s="136">
        <f t="shared" si="59"/>
        <v>0.3</v>
      </c>
      <c r="Y193" s="136">
        <f t="shared" si="59"/>
        <v>0.3</v>
      </c>
      <c r="Z193" s="136">
        <f t="shared" si="59"/>
        <v>0.3</v>
      </c>
      <c r="AA193" s="136">
        <f t="shared" si="59"/>
        <v>0.3</v>
      </c>
      <c r="AB193" s="136">
        <f t="shared" si="59"/>
        <v>0.3</v>
      </c>
      <c r="AC193" s="136">
        <f t="shared" si="59"/>
        <v>0.3</v>
      </c>
      <c r="AD193" s="136">
        <f t="shared" si="59"/>
        <v>0.3</v>
      </c>
      <c r="AE193" s="136">
        <f t="shared" si="59"/>
        <v>0.3</v>
      </c>
      <c r="AF193" s="136">
        <f t="shared" si="59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7"/>
        <v>0.4</v>
      </c>
      <c r="C194" s="129">
        <v>0.4</v>
      </c>
      <c r="D194" s="129">
        <f t="shared" si="58"/>
        <v>0.4</v>
      </c>
      <c r="E194" s="129">
        <f t="shared" si="58"/>
        <v>0.4</v>
      </c>
      <c r="F194" s="129">
        <f t="shared" si="58"/>
        <v>0.4</v>
      </c>
      <c r="G194" s="129">
        <f t="shared" si="58"/>
        <v>0.4</v>
      </c>
      <c r="H194" s="129">
        <f t="shared" si="58"/>
        <v>0.4</v>
      </c>
      <c r="I194" s="129">
        <f t="shared" si="58"/>
        <v>0.4</v>
      </c>
      <c r="J194" s="129">
        <f t="shared" si="58"/>
        <v>0.4</v>
      </c>
      <c r="K194" s="129">
        <f t="shared" si="58"/>
        <v>0.4</v>
      </c>
      <c r="L194" s="129">
        <f t="shared" si="58"/>
        <v>0.4</v>
      </c>
      <c r="M194" s="129">
        <f t="shared" si="58"/>
        <v>0.4</v>
      </c>
      <c r="N194" s="129">
        <f t="shared" si="58"/>
        <v>0.4</v>
      </c>
      <c r="O194" s="129">
        <f t="shared" si="58"/>
        <v>0.4</v>
      </c>
      <c r="P194" s="129">
        <f t="shared" si="58"/>
        <v>0.4</v>
      </c>
      <c r="Q194" s="129">
        <f t="shared" si="58"/>
        <v>0.4</v>
      </c>
      <c r="R194" s="129">
        <f t="shared" si="58"/>
        <v>0.4</v>
      </c>
      <c r="S194" s="129">
        <f t="shared" si="58"/>
        <v>0.4</v>
      </c>
      <c r="T194" s="129">
        <f t="shared" si="59"/>
        <v>0.4</v>
      </c>
      <c r="U194" s="129">
        <f t="shared" si="59"/>
        <v>0.4</v>
      </c>
      <c r="V194" s="129">
        <f t="shared" si="59"/>
        <v>0.4</v>
      </c>
      <c r="W194" s="129">
        <f>V194</f>
        <v>0.4</v>
      </c>
      <c r="X194" s="129">
        <f>W194</f>
        <v>0.4</v>
      </c>
      <c r="Y194" s="129">
        <f t="shared" si="59"/>
        <v>0.4</v>
      </c>
      <c r="Z194" s="129">
        <f t="shared" si="59"/>
        <v>0.4</v>
      </c>
      <c r="AA194" s="129">
        <f t="shared" si="59"/>
        <v>0.4</v>
      </c>
      <c r="AB194" s="129">
        <f t="shared" si="59"/>
        <v>0.4</v>
      </c>
      <c r="AC194" s="129">
        <f t="shared" si="59"/>
        <v>0.4</v>
      </c>
      <c r="AD194" s="129">
        <f t="shared" si="59"/>
        <v>0.4</v>
      </c>
      <c r="AE194" s="129">
        <f t="shared" si="59"/>
        <v>0.4</v>
      </c>
      <c r="AF194" s="129">
        <f t="shared" si="59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7"/>
        <v>1.5</v>
      </c>
      <c r="C195" s="129">
        <v>1.5</v>
      </c>
      <c r="D195" s="129">
        <f t="shared" si="58"/>
        <v>1.5</v>
      </c>
      <c r="E195" s="129">
        <f t="shared" si="58"/>
        <v>1.5</v>
      </c>
      <c r="F195" s="129">
        <f t="shared" si="58"/>
        <v>1.5</v>
      </c>
      <c r="G195" s="129">
        <f t="shared" si="58"/>
        <v>1.5</v>
      </c>
      <c r="H195" s="129">
        <f t="shared" si="58"/>
        <v>1.5</v>
      </c>
      <c r="I195" s="129">
        <f t="shared" si="58"/>
        <v>1.5</v>
      </c>
      <c r="J195" s="129">
        <f t="shared" si="58"/>
        <v>1.5</v>
      </c>
      <c r="K195" s="129">
        <f t="shared" si="58"/>
        <v>1.5</v>
      </c>
      <c r="L195" s="129">
        <f t="shared" si="58"/>
        <v>1.5</v>
      </c>
      <c r="M195" s="129">
        <f t="shared" si="58"/>
        <v>1.5</v>
      </c>
      <c r="N195" s="129">
        <f t="shared" si="58"/>
        <v>1.5</v>
      </c>
      <c r="O195" s="129">
        <f t="shared" si="58"/>
        <v>1.5</v>
      </c>
      <c r="P195" s="129">
        <f t="shared" si="58"/>
        <v>1.5</v>
      </c>
      <c r="Q195" s="129">
        <f t="shared" si="58"/>
        <v>1.5</v>
      </c>
      <c r="R195" s="129">
        <f t="shared" si="58"/>
        <v>1.5</v>
      </c>
      <c r="S195" s="129">
        <f t="shared" si="58"/>
        <v>1.5</v>
      </c>
      <c r="T195" s="129">
        <f t="shared" si="59"/>
        <v>1.5</v>
      </c>
      <c r="U195" s="129">
        <f t="shared" si="59"/>
        <v>1.5</v>
      </c>
      <c r="V195" s="129">
        <f t="shared" si="59"/>
        <v>1.5</v>
      </c>
      <c r="W195" s="129">
        <f t="shared" si="59"/>
        <v>1.5</v>
      </c>
      <c r="X195" s="129">
        <f t="shared" si="59"/>
        <v>1.5</v>
      </c>
      <c r="Y195" s="129">
        <f t="shared" si="59"/>
        <v>1.5</v>
      </c>
      <c r="Z195" s="129">
        <f t="shared" si="59"/>
        <v>1.5</v>
      </c>
      <c r="AA195" s="129">
        <f t="shared" si="59"/>
        <v>1.5</v>
      </c>
      <c r="AB195" s="129">
        <f t="shared" si="59"/>
        <v>1.5</v>
      </c>
      <c r="AC195" s="129">
        <f t="shared" si="59"/>
        <v>1.5</v>
      </c>
      <c r="AD195" s="129">
        <f t="shared" si="59"/>
        <v>1.5</v>
      </c>
      <c r="AE195" s="129">
        <f t="shared" si="59"/>
        <v>1.5</v>
      </c>
      <c r="AF195" s="129">
        <f t="shared" si="59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7"/>
        <v>0.3</v>
      </c>
      <c r="C196" s="129">
        <v>0.3</v>
      </c>
      <c r="D196" s="129">
        <f t="shared" si="58"/>
        <v>0.3</v>
      </c>
      <c r="E196" s="129">
        <f t="shared" si="58"/>
        <v>0.3</v>
      </c>
      <c r="F196" s="129">
        <f t="shared" si="58"/>
        <v>0.3</v>
      </c>
      <c r="G196" s="129">
        <f t="shared" si="58"/>
        <v>0.3</v>
      </c>
      <c r="H196" s="129">
        <f t="shared" si="58"/>
        <v>0.3</v>
      </c>
      <c r="I196" s="129">
        <f t="shared" si="58"/>
        <v>0.3</v>
      </c>
      <c r="J196" s="129">
        <f t="shared" si="58"/>
        <v>0.3</v>
      </c>
      <c r="K196" s="129">
        <f t="shared" si="58"/>
        <v>0.3</v>
      </c>
      <c r="L196" s="129">
        <f t="shared" si="58"/>
        <v>0.3</v>
      </c>
      <c r="M196" s="129">
        <f t="shared" si="58"/>
        <v>0.3</v>
      </c>
      <c r="N196" s="129">
        <f t="shared" si="58"/>
        <v>0.3</v>
      </c>
      <c r="O196" s="129">
        <f t="shared" si="58"/>
        <v>0.3</v>
      </c>
      <c r="P196" s="129">
        <f t="shared" si="58"/>
        <v>0.3</v>
      </c>
      <c r="Q196" s="129">
        <f t="shared" si="58"/>
        <v>0.3</v>
      </c>
      <c r="R196" s="129">
        <f t="shared" si="58"/>
        <v>0.3</v>
      </c>
      <c r="S196" s="129">
        <f t="shared" si="58"/>
        <v>0.3</v>
      </c>
      <c r="T196" s="129">
        <f t="shared" si="59"/>
        <v>0.3</v>
      </c>
      <c r="U196" s="129">
        <f t="shared" si="59"/>
        <v>0.3</v>
      </c>
      <c r="V196" s="129">
        <f t="shared" si="59"/>
        <v>0.3</v>
      </c>
      <c r="W196" s="129">
        <f t="shared" si="59"/>
        <v>0.3</v>
      </c>
      <c r="X196" s="129">
        <f t="shared" si="59"/>
        <v>0.3</v>
      </c>
      <c r="Y196" s="129">
        <f t="shared" si="59"/>
        <v>0.3</v>
      </c>
      <c r="Z196" s="129">
        <f t="shared" si="59"/>
        <v>0.3</v>
      </c>
      <c r="AA196" s="129">
        <f t="shared" si="59"/>
        <v>0.3</v>
      </c>
      <c r="AB196" s="129">
        <f t="shared" si="59"/>
        <v>0.3</v>
      </c>
      <c r="AC196" s="129">
        <f t="shared" si="59"/>
        <v>0.3</v>
      </c>
      <c r="AD196" s="129">
        <f t="shared" si="59"/>
        <v>0.3</v>
      </c>
      <c r="AE196" s="129">
        <f t="shared" si="59"/>
        <v>0.3</v>
      </c>
      <c r="AF196" s="129">
        <f t="shared" si="59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7"/>
        <v>0.4</v>
      </c>
      <c r="C197" s="129">
        <v>0.4</v>
      </c>
      <c r="D197" s="129">
        <f t="shared" si="58"/>
        <v>0.4</v>
      </c>
      <c r="E197" s="129">
        <f t="shared" si="58"/>
        <v>0.4</v>
      </c>
      <c r="F197" s="129">
        <f t="shared" si="58"/>
        <v>0.4</v>
      </c>
      <c r="G197" s="129">
        <f t="shared" si="58"/>
        <v>0.4</v>
      </c>
      <c r="H197" s="129">
        <f t="shared" si="58"/>
        <v>0.4</v>
      </c>
      <c r="I197" s="129">
        <f t="shared" si="58"/>
        <v>0.4</v>
      </c>
      <c r="J197" s="129">
        <f t="shared" si="58"/>
        <v>0.4</v>
      </c>
      <c r="K197" s="129">
        <f t="shared" si="58"/>
        <v>0.4</v>
      </c>
      <c r="L197" s="129">
        <f t="shared" si="58"/>
        <v>0.4</v>
      </c>
      <c r="M197" s="129">
        <f t="shared" si="58"/>
        <v>0.4</v>
      </c>
      <c r="N197" s="129">
        <f t="shared" si="58"/>
        <v>0.4</v>
      </c>
      <c r="O197" s="129">
        <f t="shared" si="58"/>
        <v>0.4</v>
      </c>
      <c r="P197" s="129">
        <f t="shared" si="58"/>
        <v>0.4</v>
      </c>
      <c r="Q197" s="129">
        <f t="shared" si="58"/>
        <v>0.4</v>
      </c>
      <c r="R197" s="129">
        <f t="shared" si="58"/>
        <v>0.4</v>
      </c>
      <c r="S197" s="129">
        <f t="shared" si="58"/>
        <v>0.4</v>
      </c>
      <c r="T197" s="129">
        <f t="shared" si="59"/>
        <v>0.4</v>
      </c>
      <c r="U197" s="129">
        <f t="shared" si="59"/>
        <v>0.4</v>
      </c>
      <c r="V197" s="129">
        <f t="shared" si="59"/>
        <v>0.4</v>
      </c>
      <c r="W197" s="129">
        <f t="shared" si="59"/>
        <v>0.4</v>
      </c>
      <c r="X197" s="129">
        <f t="shared" si="59"/>
        <v>0.4</v>
      </c>
      <c r="Y197" s="129">
        <f t="shared" si="59"/>
        <v>0.4</v>
      </c>
      <c r="Z197" s="129">
        <f t="shared" si="59"/>
        <v>0.4</v>
      </c>
      <c r="AA197" s="129">
        <f t="shared" si="59"/>
        <v>0.4</v>
      </c>
      <c r="AB197" s="129">
        <f t="shared" si="59"/>
        <v>0.4</v>
      </c>
      <c r="AC197" s="129">
        <f t="shared" si="59"/>
        <v>0.4</v>
      </c>
      <c r="AD197" s="129">
        <f t="shared" si="59"/>
        <v>0.4</v>
      </c>
      <c r="AE197" s="129">
        <f t="shared" si="59"/>
        <v>0.4</v>
      </c>
      <c r="AF197" s="129">
        <f t="shared" si="59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7"/>
        <v>0.64</v>
      </c>
      <c r="C198" s="139">
        <v>0.64</v>
      </c>
      <c r="D198" s="139">
        <f t="shared" si="58"/>
        <v>0.64</v>
      </c>
      <c r="E198" s="139">
        <f t="shared" si="58"/>
        <v>0.64</v>
      </c>
      <c r="F198" s="139">
        <f t="shared" si="58"/>
        <v>0.64</v>
      </c>
      <c r="G198" s="139">
        <f t="shared" si="58"/>
        <v>0.64</v>
      </c>
      <c r="H198" s="139">
        <f t="shared" si="58"/>
        <v>0.64</v>
      </c>
      <c r="I198" s="139">
        <f t="shared" si="58"/>
        <v>0.64</v>
      </c>
      <c r="J198" s="139">
        <f t="shared" si="58"/>
        <v>0.64</v>
      </c>
      <c r="K198" s="139">
        <f t="shared" si="58"/>
        <v>0.64</v>
      </c>
      <c r="L198" s="139">
        <f t="shared" si="58"/>
        <v>0.64</v>
      </c>
      <c r="M198" s="139">
        <f t="shared" si="58"/>
        <v>0.64</v>
      </c>
      <c r="N198" s="139">
        <f t="shared" si="58"/>
        <v>0.64</v>
      </c>
      <c r="O198" s="139">
        <f t="shared" si="58"/>
        <v>0.64</v>
      </c>
      <c r="P198" s="139">
        <f t="shared" si="58"/>
        <v>0.64</v>
      </c>
      <c r="Q198" s="139">
        <f t="shared" si="58"/>
        <v>0.64</v>
      </c>
      <c r="R198" s="139">
        <f t="shared" si="58"/>
        <v>0.64</v>
      </c>
      <c r="S198" s="139">
        <f t="shared" si="58"/>
        <v>0.64</v>
      </c>
      <c r="T198" s="139">
        <f t="shared" si="59"/>
        <v>0.64</v>
      </c>
      <c r="U198" s="139">
        <f t="shared" si="59"/>
        <v>0.64</v>
      </c>
      <c r="V198" s="139">
        <f t="shared" si="59"/>
        <v>0.64</v>
      </c>
      <c r="W198" s="139">
        <f t="shared" si="59"/>
        <v>0.64</v>
      </c>
      <c r="X198" s="139">
        <f t="shared" si="59"/>
        <v>0.64</v>
      </c>
      <c r="Y198" s="139">
        <f t="shared" si="59"/>
        <v>0.64</v>
      </c>
      <c r="Z198" s="139">
        <f t="shared" si="59"/>
        <v>0.64</v>
      </c>
      <c r="AA198" s="139">
        <f t="shared" si="59"/>
        <v>0.64</v>
      </c>
      <c r="AB198" s="139">
        <f t="shared" si="59"/>
        <v>0.64</v>
      </c>
      <c r="AC198" s="139">
        <f t="shared" si="59"/>
        <v>0.64</v>
      </c>
      <c r="AD198" s="139">
        <f t="shared" si="59"/>
        <v>0.64</v>
      </c>
      <c r="AE198" s="139">
        <f t="shared" si="59"/>
        <v>0.64</v>
      </c>
      <c r="AF198" s="139">
        <f t="shared" si="59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60">SUM(D193:D198)</f>
        <v>3.54</v>
      </c>
      <c r="E199" s="142">
        <f t="shared" si="60"/>
        <v>3.54</v>
      </c>
      <c r="F199" s="142">
        <f t="shared" si="60"/>
        <v>3.54</v>
      </c>
      <c r="G199" s="142">
        <f t="shared" si="60"/>
        <v>3.54</v>
      </c>
      <c r="H199" s="142">
        <f t="shared" si="60"/>
        <v>3.54</v>
      </c>
      <c r="I199" s="142">
        <f t="shared" si="60"/>
        <v>3.54</v>
      </c>
      <c r="J199" s="142">
        <f t="shared" si="60"/>
        <v>3.54</v>
      </c>
      <c r="K199" s="142">
        <f t="shared" si="60"/>
        <v>3.54</v>
      </c>
      <c r="L199" s="142">
        <f t="shared" si="60"/>
        <v>3.54</v>
      </c>
      <c r="M199" s="142">
        <f>SUM(M193:M198)</f>
        <v>3.54</v>
      </c>
      <c r="N199" s="142">
        <f t="shared" ref="N199:S199" si="61">SUM(N193:N198)</f>
        <v>3.54</v>
      </c>
      <c r="O199" s="142">
        <f t="shared" si="61"/>
        <v>3.54</v>
      </c>
      <c r="P199" s="142">
        <f t="shared" si="61"/>
        <v>3.54</v>
      </c>
      <c r="Q199" s="142">
        <f t="shared" si="61"/>
        <v>3.54</v>
      </c>
      <c r="R199" s="142">
        <f t="shared" si="61"/>
        <v>3.54</v>
      </c>
      <c r="S199" s="142">
        <f t="shared" si="61"/>
        <v>3.54</v>
      </c>
      <c r="T199" s="142">
        <f>SUM(T193:T198)</f>
        <v>3.54</v>
      </c>
      <c r="U199" s="142">
        <f t="shared" ref="U199:AG199" si="62">SUM(U193:U198)</f>
        <v>3.54</v>
      </c>
      <c r="V199" s="142">
        <f t="shared" si="62"/>
        <v>3.54</v>
      </c>
      <c r="W199" s="142">
        <f t="shared" si="62"/>
        <v>3.54</v>
      </c>
      <c r="X199" s="142">
        <f t="shared" si="62"/>
        <v>3.54</v>
      </c>
      <c r="Y199" s="142">
        <f t="shared" si="62"/>
        <v>3.54</v>
      </c>
      <c r="Z199" s="142">
        <f t="shared" si="62"/>
        <v>3.54</v>
      </c>
      <c r="AA199" s="142">
        <f t="shared" si="62"/>
        <v>3.54</v>
      </c>
      <c r="AB199" s="142">
        <f t="shared" si="62"/>
        <v>3.54</v>
      </c>
      <c r="AC199" s="142">
        <f t="shared" si="62"/>
        <v>3.54</v>
      </c>
      <c r="AD199" s="142">
        <f t="shared" si="62"/>
        <v>3.54</v>
      </c>
      <c r="AE199" s="142">
        <f t="shared" si="62"/>
        <v>3.54</v>
      </c>
      <c r="AF199" s="142">
        <f t="shared" si="62"/>
        <v>3.54</v>
      </c>
      <c r="AG199" s="143">
        <f t="shared" si="62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1443.44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2078/08/5)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3">B75</f>
        <v>889.04</v>
      </c>
      <c r="U213" s="167">
        <f t="shared" si="63"/>
        <v>854.24</v>
      </c>
      <c r="V213" s="167">
        <f t="shared" si="63"/>
        <v>837.54</v>
      </c>
      <c r="W213" s="167">
        <f t="shared" si="63"/>
        <v>841.33999999999992</v>
      </c>
      <c r="X213" s="167">
        <f t="shared" si="63"/>
        <v>812.33999999999992</v>
      </c>
      <c r="Y213" s="167">
        <f t="shared" si="63"/>
        <v>876.83999999999992</v>
      </c>
      <c r="Z213" s="167">
        <f t="shared" si="63"/>
        <v>949.33999999999992</v>
      </c>
      <c r="AA213" s="167">
        <f t="shared" si="63"/>
        <v>1049.3399999999999</v>
      </c>
      <c r="AB213" s="167">
        <f t="shared" si="63"/>
        <v>1219.3399999999999</v>
      </c>
      <c r="AC213" s="167">
        <f t="shared" si="63"/>
        <v>1247.3399999999999</v>
      </c>
      <c r="AD213" s="167">
        <f t="shared" si="63"/>
        <v>1438.3400000000001</v>
      </c>
      <c r="AE213" s="167">
        <f t="shared" si="63"/>
        <v>1443.44</v>
      </c>
      <c r="AF213" s="167">
        <f t="shared" si="63"/>
        <v>1386.94</v>
      </c>
      <c r="AG213" s="167">
        <f t="shared" si="63"/>
        <v>1373.04</v>
      </c>
      <c r="AH213" s="167">
        <f t="shared" si="63"/>
        <v>1364.6399999999999</v>
      </c>
      <c r="AI213" s="167">
        <f t="shared" si="63"/>
        <v>1225.24</v>
      </c>
      <c r="AJ213" s="167">
        <f t="shared" si="63"/>
        <v>1148.44</v>
      </c>
      <c r="AK213" s="167">
        <f t="shared" si="63"/>
        <v>1149.8400000000001</v>
      </c>
      <c r="AL213" s="167">
        <f t="shared" si="63"/>
        <v>1198.8399999999999</v>
      </c>
      <c r="AM213" s="167">
        <f t="shared" si="63"/>
        <v>1276.8399999999999</v>
      </c>
      <c r="AN213" s="167">
        <f t="shared" si="63"/>
        <v>1385.1399999999999</v>
      </c>
      <c r="AO213" s="167">
        <f t="shared" si="63"/>
        <v>1469.1399999999999</v>
      </c>
      <c r="AP213" s="167">
        <f t="shared" si="63"/>
        <v>1540.04</v>
      </c>
      <c r="AQ213" s="167">
        <f t="shared" si="63"/>
        <v>1506.1399999999999</v>
      </c>
      <c r="AR213" s="167">
        <f t="shared" si="63"/>
        <v>1492.94</v>
      </c>
      <c r="AS213" s="167">
        <f t="shared" si="63"/>
        <v>1366.34</v>
      </c>
      <c r="AT213" s="167">
        <f t="shared" si="63"/>
        <v>1347.34</v>
      </c>
      <c r="AU213" s="167">
        <f t="shared" si="63"/>
        <v>1357.34</v>
      </c>
      <c r="AV213" s="167">
        <f t="shared" si="63"/>
        <v>1227.3399999999999</v>
      </c>
      <c r="AW213" s="167">
        <f t="shared" si="63"/>
        <v>1028.3399999999999</v>
      </c>
      <c r="AX213" s="167">
        <f t="shared" si="63"/>
        <v>945.33999999999992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4">C198</f>
        <v>0.64</v>
      </c>
      <c r="C234" s="170">
        <f t="shared" si="64"/>
        <v>0.64</v>
      </c>
      <c r="D234" s="170">
        <f t="shared" si="64"/>
        <v>0.64</v>
      </c>
      <c r="E234" s="170">
        <f t="shared" si="64"/>
        <v>0.64</v>
      </c>
      <c r="F234" s="170">
        <f t="shared" si="64"/>
        <v>0.64</v>
      </c>
      <c r="G234" s="170">
        <f t="shared" si="64"/>
        <v>0.64</v>
      </c>
      <c r="H234" s="170">
        <f t="shared" si="64"/>
        <v>0.64</v>
      </c>
      <c r="I234" s="170">
        <f t="shared" si="64"/>
        <v>0.64</v>
      </c>
      <c r="J234" s="170">
        <f t="shared" si="64"/>
        <v>0.64</v>
      </c>
      <c r="K234" s="170">
        <f t="shared" si="64"/>
        <v>0.64</v>
      </c>
      <c r="L234" s="170">
        <f t="shared" si="64"/>
        <v>0.64</v>
      </c>
      <c r="M234" s="170">
        <f t="shared" si="64"/>
        <v>0.64</v>
      </c>
      <c r="N234" s="170">
        <f t="shared" si="64"/>
        <v>0.64</v>
      </c>
      <c r="O234" s="170">
        <f t="shared" si="64"/>
        <v>0.64</v>
      </c>
      <c r="P234" s="170">
        <f t="shared" si="64"/>
        <v>0.64</v>
      </c>
      <c r="Q234" s="170">
        <f t="shared" si="64"/>
        <v>0.64</v>
      </c>
      <c r="R234" s="170">
        <f t="shared" si="64"/>
        <v>0.64</v>
      </c>
      <c r="S234" s="170">
        <f t="shared" si="64"/>
        <v>0.64</v>
      </c>
      <c r="T234" s="170">
        <f t="shared" si="64"/>
        <v>0.64</v>
      </c>
      <c r="U234" s="170">
        <f t="shared" si="64"/>
        <v>0.64</v>
      </c>
      <c r="V234" s="170">
        <f t="shared" si="64"/>
        <v>0.64</v>
      </c>
      <c r="W234" s="170">
        <f t="shared" si="64"/>
        <v>0.64</v>
      </c>
      <c r="X234" s="170">
        <f t="shared" si="64"/>
        <v>0.64</v>
      </c>
      <c r="Y234" s="170">
        <f t="shared" si="64"/>
        <v>0.64</v>
      </c>
      <c r="Z234" s="170">
        <f t="shared" si="64"/>
        <v>0.64</v>
      </c>
      <c r="AA234" s="170">
        <f t="shared" si="64"/>
        <v>0.64</v>
      </c>
      <c r="AB234" s="170">
        <f t="shared" si="64"/>
        <v>0.64</v>
      </c>
      <c r="AC234" s="170">
        <f t="shared" si="64"/>
        <v>0.64</v>
      </c>
      <c r="AD234" s="170">
        <f t="shared" si="64"/>
        <v>0.64</v>
      </c>
      <c r="AE234" s="170">
        <f t="shared" si="64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5">IF(C202&lt;100,"",C202-520)</f>
        <v/>
      </c>
      <c r="D235" s="115" t="str">
        <f t="shared" si="65"/>
        <v/>
      </c>
      <c r="E235" s="115" t="str">
        <f t="shared" si="65"/>
        <v/>
      </c>
      <c r="F235" s="115" t="str">
        <f t="shared" si="65"/>
        <v/>
      </c>
      <c r="G235" s="115" t="str">
        <f t="shared" si="65"/>
        <v/>
      </c>
      <c r="H235" s="115" t="str">
        <f t="shared" si="65"/>
        <v/>
      </c>
      <c r="I235" s="115" t="str">
        <f t="shared" si="65"/>
        <v/>
      </c>
      <c r="J235" s="115" t="str">
        <f t="shared" si="65"/>
        <v/>
      </c>
      <c r="K235" s="115" t="str">
        <f t="shared" si="65"/>
        <v/>
      </c>
      <c r="L235" s="115" t="str">
        <f t="shared" si="65"/>
        <v/>
      </c>
      <c r="M235" s="115" t="str">
        <f t="shared" si="65"/>
        <v/>
      </c>
      <c r="N235" s="115" t="str">
        <f t="shared" si="65"/>
        <v/>
      </c>
      <c r="O235" s="115" t="str">
        <f t="shared" si="65"/>
        <v/>
      </c>
      <c r="P235" s="115" t="str">
        <f t="shared" si="65"/>
        <v/>
      </c>
      <c r="Q235" s="115" t="str">
        <f t="shared" si="65"/>
        <v/>
      </c>
      <c r="R235" s="115" t="str">
        <f t="shared" si="65"/>
        <v/>
      </c>
      <c r="S235" s="115" t="str">
        <f t="shared" si="65"/>
        <v/>
      </c>
      <c r="T235" s="115" t="str">
        <f t="shared" si="65"/>
        <v/>
      </c>
      <c r="U235" s="115" t="str">
        <f t="shared" si="65"/>
        <v/>
      </c>
      <c r="V235" s="115" t="str">
        <f t="shared" si="65"/>
        <v/>
      </c>
      <c r="W235" s="115" t="str">
        <f t="shared" si="65"/>
        <v/>
      </c>
      <c r="X235" s="115" t="str">
        <f t="shared" si="65"/>
        <v/>
      </c>
      <c r="Y235" s="115" t="str">
        <f t="shared" si="65"/>
        <v/>
      </c>
      <c r="Z235" s="115" t="str">
        <f t="shared" si="65"/>
        <v/>
      </c>
      <c r="AA235" s="115" t="str">
        <f t="shared" si="65"/>
        <v/>
      </c>
      <c r="AB235" s="115" t="str">
        <f t="shared" si="65"/>
        <v/>
      </c>
      <c r="AC235" s="115" t="str">
        <f t="shared" si="65"/>
        <v/>
      </c>
      <c r="AD235" s="115" t="str">
        <f t="shared" si="65"/>
        <v/>
      </c>
      <c r="AE235" s="115" t="str">
        <f t="shared" si="65"/>
        <v/>
      </c>
      <c r="AF235" s="115" t="str">
        <f t="shared" si="65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6">IF(B203&lt;100,"",B203-620)</f>
        <v/>
      </c>
      <c r="C236" s="115" t="str">
        <f t="shared" si="66"/>
        <v/>
      </c>
      <c r="D236" s="115" t="str">
        <f t="shared" si="66"/>
        <v/>
      </c>
      <c r="E236" s="115" t="str">
        <f t="shared" si="66"/>
        <v/>
      </c>
      <c r="F236" s="115" t="str">
        <f t="shared" si="66"/>
        <v/>
      </c>
      <c r="G236" s="115" t="str">
        <f t="shared" si="66"/>
        <v/>
      </c>
      <c r="H236" s="115" t="str">
        <f t="shared" si="66"/>
        <v/>
      </c>
      <c r="I236" s="115" t="str">
        <f t="shared" si="66"/>
        <v/>
      </c>
      <c r="J236" s="115" t="str">
        <f t="shared" si="66"/>
        <v/>
      </c>
      <c r="K236" s="115" t="str">
        <f t="shared" si="66"/>
        <v/>
      </c>
      <c r="L236" s="115" t="str">
        <f t="shared" si="66"/>
        <v/>
      </c>
      <c r="M236" s="115" t="str">
        <f t="shared" si="66"/>
        <v/>
      </c>
      <c r="N236" s="115" t="str">
        <f t="shared" si="66"/>
        <v/>
      </c>
      <c r="O236" s="115" t="str">
        <f t="shared" si="66"/>
        <v/>
      </c>
      <c r="P236" s="115" t="str">
        <f t="shared" si="66"/>
        <v/>
      </c>
      <c r="Q236" s="115" t="str">
        <f t="shared" si="66"/>
        <v/>
      </c>
      <c r="R236" s="115" t="str">
        <f t="shared" si="66"/>
        <v/>
      </c>
      <c r="S236" s="115" t="str">
        <f t="shared" si="66"/>
        <v/>
      </c>
      <c r="T236" s="115" t="str">
        <f t="shared" si="66"/>
        <v/>
      </c>
      <c r="U236" s="115" t="str">
        <f t="shared" si="66"/>
        <v/>
      </c>
      <c r="V236" s="115" t="str">
        <f t="shared" si="66"/>
        <v/>
      </c>
      <c r="W236" s="115" t="str">
        <f t="shared" si="66"/>
        <v/>
      </c>
      <c r="X236" s="115" t="str">
        <f t="shared" si="66"/>
        <v/>
      </c>
      <c r="Y236" s="115" t="str">
        <f t="shared" si="66"/>
        <v/>
      </c>
      <c r="Z236" s="115" t="str">
        <f t="shared" si="66"/>
        <v/>
      </c>
      <c r="AA236" s="115" t="str">
        <f t="shared" si="66"/>
        <v/>
      </c>
      <c r="AB236" s="115" t="str">
        <f t="shared" si="66"/>
        <v/>
      </c>
      <c r="AC236" s="115" t="str">
        <f t="shared" si="66"/>
        <v/>
      </c>
      <c r="AD236" s="115" t="str">
        <f t="shared" si="66"/>
        <v/>
      </c>
      <c r="AE236" s="115" t="str">
        <f t="shared" si="66"/>
        <v/>
      </c>
      <c r="AF236" s="115" t="str">
        <f t="shared" si="66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7">IF(B204&lt;100,"",B204-330)</f>
        <v/>
      </c>
      <c r="C237" s="115" t="str">
        <f t="shared" si="67"/>
        <v/>
      </c>
      <c r="D237" s="115" t="str">
        <f t="shared" si="67"/>
        <v/>
      </c>
      <c r="E237" s="115" t="str">
        <f t="shared" si="67"/>
        <v/>
      </c>
      <c r="F237" s="115" t="str">
        <f t="shared" si="67"/>
        <v/>
      </c>
      <c r="G237" s="115" t="str">
        <f t="shared" si="67"/>
        <v/>
      </c>
      <c r="H237" s="115" t="str">
        <f t="shared" si="67"/>
        <v/>
      </c>
      <c r="I237" s="115" t="str">
        <f t="shared" si="67"/>
        <v/>
      </c>
      <c r="J237" s="115" t="str">
        <f t="shared" si="67"/>
        <v/>
      </c>
      <c r="K237" s="115" t="str">
        <f t="shared" si="67"/>
        <v/>
      </c>
      <c r="L237" s="115" t="str">
        <f t="shared" si="67"/>
        <v/>
      </c>
      <c r="M237" s="115" t="str">
        <f t="shared" si="67"/>
        <v/>
      </c>
      <c r="N237" s="115" t="str">
        <f t="shared" si="67"/>
        <v/>
      </c>
      <c r="O237" s="115" t="str">
        <f t="shared" si="67"/>
        <v/>
      </c>
      <c r="P237" s="115" t="str">
        <f t="shared" si="67"/>
        <v/>
      </c>
      <c r="Q237" s="115" t="str">
        <f t="shared" si="67"/>
        <v/>
      </c>
      <c r="R237" s="115" t="str">
        <f t="shared" si="67"/>
        <v/>
      </c>
      <c r="S237" s="115" t="str">
        <f t="shared" si="67"/>
        <v/>
      </c>
      <c r="T237" s="115" t="str">
        <f t="shared" si="67"/>
        <v/>
      </c>
      <c r="U237" s="115" t="str">
        <f t="shared" si="67"/>
        <v/>
      </c>
      <c r="V237" s="115" t="str">
        <f t="shared" si="67"/>
        <v/>
      </c>
      <c r="W237" s="115" t="str">
        <f t="shared" si="67"/>
        <v/>
      </c>
      <c r="X237" s="115" t="str">
        <f t="shared" si="67"/>
        <v/>
      </c>
      <c r="Y237" s="115" t="str">
        <f t="shared" si="67"/>
        <v/>
      </c>
      <c r="Z237" s="115" t="str">
        <f t="shared" si="67"/>
        <v/>
      </c>
      <c r="AA237" s="115" t="str">
        <f t="shared" si="67"/>
        <v/>
      </c>
      <c r="AB237" s="115" t="str">
        <f t="shared" si="67"/>
        <v/>
      </c>
      <c r="AC237" s="115" t="str">
        <f t="shared" si="67"/>
        <v/>
      </c>
      <c r="AD237" s="115" t="str">
        <f t="shared" si="67"/>
        <v/>
      </c>
      <c r="AE237" s="115" t="str">
        <f t="shared" si="67"/>
        <v/>
      </c>
      <c r="AF237" s="115" t="str">
        <f t="shared" si="67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8">IF(C205&lt;100,"",C205-1500)</f>
        <v/>
      </c>
      <c r="D238" s="115" t="str">
        <f t="shared" si="68"/>
        <v/>
      </c>
      <c r="E238" s="115" t="str">
        <f t="shared" si="68"/>
        <v/>
      </c>
      <c r="F238" s="115" t="str">
        <f t="shared" si="68"/>
        <v/>
      </c>
      <c r="G238" s="115" t="str">
        <f t="shared" si="68"/>
        <v/>
      </c>
      <c r="H238" s="115" t="str">
        <f t="shared" si="68"/>
        <v/>
      </c>
      <c r="I238" s="115" t="str">
        <f t="shared" si="68"/>
        <v/>
      </c>
      <c r="J238" s="115" t="str">
        <f t="shared" si="68"/>
        <v/>
      </c>
      <c r="K238" s="115" t="str">
        <f t="shared" si="68"/>
        <v/>
      </c>
      <c r="L238" s="115" t="str">
        <f t="shared" si="68"/>
        <v/>
      </c>
      <c r="M238" s="115" t="str">
        <f t="shared" si="68"/>
        <v/>
      </c>
      <c r="N238" s="115" t="str">
        <f t="shared" si="68"/>
        <v/>
      </c>
      <c r="O238" s="115" t="str">
        <f t="shared" si="68"/>
        <v/>
      </c>
      <c r="P238" s="115" t="str">
        <f t="shared" si="68"/>
        <v/>
      </c>
      <c r="Q238" s="115" t="str">
        <f t="shared" si="68"/>
        <v/>
      </c>
      <c r="R238" s="115" t="str">
        <f t="shared" si="68"/>
        <v/>
      </c>
      <c r="S238" s="115" t="str">
        <f t="shared" si="68"/>
        <v/>
      </c>
      <c r="T238" s="115" t="str">
        <f t="shared" si="68"/>
        <v/>
      </c>
      <c r="U238" s="115" t="str">
        <f t="shared" si="68"/>
        <v/>
      </c>
      <c r="V238" s="115" t="str">
        <f t="shared" si="68"/>
        <v/>
      </c>
      <c r="W238" s="115" t="str">
        <f t="shared" si="68"/>
        <v/>
      </c>
      <c r="X238" s="115" t="str">
        <f t="shared" si="68"/>
        <v/>
      </c>
      <c r="Y238" s="115" t="str">
        <f t="shared" si="68"/>
        <v/>
      </c>
      <c r="Z238" s="115" t="str">
        <f t="shared" si="68"/>
        <v/>
      </c>
      <c r="AA238" s="115" t="str">
        <f t="shared" si="68"/>
        <v/>
      </c>
      <c r="AB238" s="115" t="str">
        <f t="shared" si="68"/>
        <v/>
      </c>
      <c r="AC238" s="115" t="str">
        <f t="shared" si="68"/>
        <v/>
      </c>
      <c r="AD238" s="115" t="str">
        <f t="shared" si="68"/>
        <v/>
      </c>
      <c r="AE238" s="115" t="str">
        <f t="shared" si="68"/>
        <v/>
      </c>
      <c r="AF238" s="115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M37 C57:L59 N62:N67 P39:R39 M39:O42 O61:O67 R40:T41 M58:O59 AB81:AF81 B81:R81 C56:AF56 B82:AF83 D193:AF199 B193:B199 C68:AF72 B73:AF80 B9:AF10 B191:AF191 AF57:AF61 B53:B72 AG73 U212:AF212 C60:D67 B84:D91 B94:D99 C53:E55 B36:M36 K61:N61 K60:O60 E60:J61 M16:P25 N36:P37 M27:P32 P40:Q42 R42 Q37:T37 S39:T42 P58:T67 U58:W59 U63:W67 U40:Z42 X85:AA91 AB94:AF99 M53:AF55 AB84:AF91 M11:AE14 Q16:AF17 AF12:AF14 N45:AF48 Z40:AF43">
    <cfRule type="expression" dxfId="7990" priority="282">
      <formula>B$9&gt;=20/24</formula>
    </cfRule>
    <cfRule type="expression" dxfId="7989" priority="283">
      <formula>AND(B$9&gt;=14/24,B$9&lt;20/24)</formula>
    </cfRule>
    <cfRule type="expression" dxfId="7988" priority="284">
      <formula>AND(B$9&gt;=8/24,B$9&lt;14/24)</formula>
    </cfRule>
    <cfRule type="expression" dxfId="7987" priority="285">
      <formula>B$9&lt;8/24</formula>
    </cfRule>
  </conditionalFormatting>
  <conditionalFormatting sqref="AL4:AL6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M57:T57">
    <cfRule type="expression" dxfId="7986" priority="277">
      <formula>M$9&gt;=20/24</formula>
    </cfRule>
    <cfRule type="expression" dxfId="7985" priority="278">
      <formula>AND(M$9&gt;=14/24,M$9&lt;20/24)</formula>
    </cfRule>
    <cfRule type="expression" dxfId="7984" priority="279">
      <formula>AND(M$9&gt;=8/24,M$9&lt;14/24)</formula>
    </cfRule>
    <cfRule type="expression" dxfId="7983" priority="280">
      <formula>M$9&lt;8/24</formula>
    </cfRule>
  </conditionalFormatting>
  <conditionalFormatting sqref="M43:AF43">
    <cfRule type="expression" dxfId="7982" priority="273">
      <formula>M$9&gt;=20/24</formula>
    </cfRule>
    <cfRule type="expression" dxfId="7981" priority="274">
      <formula>AND(M$9&gt;=14/24,M$9&lt;20/24)</formula>
    </cfRule>
    <cfRule type="expression" dxfId="7980" priority="275">
      <formula>AND(M$9&gt;=8/24,M$9&lt;14/24)</formula>
    </cfRule>
    <cfRule type="expression" dxfId="7979" priority="276">
      <formula>M$9&lt;8/24</formula>
    </cfRule>
  </conditionalFormatting>
  <conditionalFormatting sqref="S39:AE39">
    <cfRule type="expression" dxfId="7978" priority="265">
      <formula>S$9&gt;=20/24</formula>
    </cfRule>
    <cfRule type="expression" dxfId="7977" priority="266">
      <formula>AND(S$9&gt;=14/24,S$9&lt;20/24)</formula>
    </cfRule>
    <cfRule type="expression" dxfId="7976" priority="267">
      <formula>AND(S$9&gt;=8/24,S$9&lt;14/24)</formula>
    </cfRule>
    <cfRule type="expression" dxfId="7975" priority="268">
      <formula>S$9&lt;8/24</formula>
    </cfRule>
  </conditionalFormatting>
  <conditionalFormatting sqref="U57:AE57">
    <cfRule type="expression" dxfId="7974" priority="261">
      <formula>U$9&gt;=20/24</formula>
    </cfRule>
    <cfRule type="expression" dxfId="7973" priority="262">
      <formula>AND(U$9&gt;=14/24,U$9&lt;20/24)</formula>
    </cfRule>
    <cfRule type="expression" dxfId="7972" priority="263">
      <formula>AND(U$9&gt;=8/24,U$9&lt;14/24)</formula>
    </cfRule>
    <cfRule type="expression" dxfId="7971" priority="264">
      <formula>U$9&lt;8/24</formula>
    </cfRule>
  </conditionalFormatting>
  <conditionalFormatting sqref="S81:AA81">
    <cfRule type="expression" dxfId="7970" priority="257">
      <formula>S$9&gt;=20/24</formula>
    </cfRule>
    <cfRule type="expression" dxfId="7969" priority="258">
      <formula>AND(S$9&gt;=14/24,S$9&lt;20/24)</formula>
    </cfRule>
    <cfRule type="expression" dxfId="7968" priority="259">
      <formula>AND(S$9&gt;=8/24,S$9&lt;14/24)</formula>
    </cfRule>
    <cfRule type="expression" dxfId="7967" priority="260">
      <formula>S$9&lt;8/24</formula>
    </cfRule>
  </conditionalFormatting>
  <conditionalFormatting sqref="U84:AA84">
    <cfRule type="expression" dxfId="7966" priority="253">
      <formula>U$9&gt;=20/24</formula>
    </cfRule>
    <cfRule type="expression" dxfId="7965" priority="254">
      <formula>AND(U$9&gt;=14/24,U$9&lt;20/24)</formula>
    </cfRule>
    <cfRule type="expression" dxfId="7964" priority="255">
      <formula>AND(U$9&gt;=8/24,U$9&lt;14/24)</formula>
    </cfRule>
    <cfRule type="expression" dxfId="7963" priority="256">
      <formula>U$9&lt;8/24</formula>
    </cfRule>
  </conditionalFormatting>
  <conditionalFormatting sqref="M35:P35">
    <cfRule type="expression" dxfId="7962" priority="249">
      <formula>M$9&gt;=20/24</formula>
    </cfRule>
    <cfRule type="expression" dxfId="7961" priority="250">
      <formula>AND(M$9&gt;=14/24,M$9&lt;20/24)</formula>
    </cfRule>
    <cfRule type="expression" dxfId="7960" priority="251">
      <formula>AND(M$9&gt;=8/24,M$9&lt;14/24)</formula>
    </cfRule>
    <cfRule type="expression" dxfId="7959" priority="252">
      <formula>M$9&lt;8/24</formula>
    </cfRule>
  </conditionalFormatting>
  <conditionalFormatting sqref="M49:AF49">
    <cfRule type="expression" dxfId="7958" priority="245">
      <formula>M$9&gt;=20/24</formula>
    </cfRule>
    <cfRule type="expression" dxfId="7957" priority="246">
      <formula>AND(M$9&gt;=14/24,M$9&lt;20/24)</formula>
    </cfRule>
    <cfRule type="expression" dxfId="7956" priority="247">
      <formula>AND(M$9&gt;=8/24,M$9&lt;14/24)</formula>
    </cfRule>
    <cfRule type="expression" dxfId="7955" priority="248">
      <formula>M$9&lt;8/24</formula>
    </cfRule>
  </conditionalFormatting>
  <conditionalFormatting sqref="M50:AF50">
    <cfRule type="expression" dxfId="7954" priority="241">
      <formula>M$9&gt;=20/24</formula>
    </cfRule>
    <cfRule type="expression" dxfId="7953" priority="242">
      <formula>AND(M$9&gt;=14/24,M$9&lt;20/24)</formula>
    </cfRule>
    <cfRule type="expression" dxfId="7952" priority="243">
      <formula>AND(M$9&gt;=8/24,M$9&lt;14/24)</formula>
    </cfRule>
    <cfRule type="expression" dxfId="7951" priority="244">
      <formula>M$9&lt;8/24</formula>
    </cfRule>
  </conditionalFormatting>
  <conditionalFormatting sqref="M45:AF48">
    <cfRule type="expression" dxfId="7950" priority="237">
      <formula>M$9&gt;=20/24</formula>
    </cfRule>
    <cfRule type="expression" dxfId="7949" priority="238">
      <formula>AND(M$9&gt;=14/24,M$9&lt;20/24)</formula>
    </cfRule>
    <cfRule type="expression" dxfId="7948" priority="239">
      <formula>AND(M$9&gt;=8/24,M$9&lt;14/24)</formula>
    </cfRule>
    <cfRule type="expression" dxfId="7947" priority="240">
      <formula>M$9&lt;8/24</formula>
    </cfRule>
  </conditionalFormatting>
  <conditionalFormatting sqref="U37:AF37">
    <cfRule type="expression" dxfId="7946" priority="233">
      <formula>U$9&gt;=20/24</formula>
    </cfRule>
    <cfRule type="expression" dxfId="7945" priority="234">
      <formula>AND(U$9&gt;=14/24,U$9&lt;20/24)</formula>
    </cfRule>
    <cfRule type="expression" dxfId="7944" priority="235">
      <formula>AND(U$9&gt;=8/24,U$9&lt;14/24)</formula>
    </cfRule>
    <cfRule type="expression" dxfId="7943" priority="236">
      <formula>U$9&lt;8/24</formula>
    </cfRule>
  </conditionalFormatting>
  <conditionalFormatting sqref="S45:AF48 S42:AF43">
    <cfRule type="expression" dxfId="7942" priority="225">
      <formula>S$9&gt;=20/24</formula>
    </cfRule>
    <cfRule type="expression" dxfId="7941" priority="226">
      <formula>AND(S$9&gt;=14/24,S$9&lt;20/24)</formula>
    </cfRule>
    <cfRule type="expression" dxfId="7940" priority="227">
      <formula>AND(S$9&gt;=8/24,S$9&lt;14/24)</formula>
    </cfRule>
    <cfRule type="expression" dxfId="7939" priority="228">
      <formula>S$9&lt;8/24</formula>
    </cfRule>
  </conditionalFormatting>
  <conditionalFormatting sqref="S49:AF49">
    <cfRule type="expression" dxfId="7938" priority="221">
      <formula>S$9&gt;=20/24</formula>
    </cfRule>
    <cfRule type="expression" dxfId="7937" priority="222">
      <formula>AND(S$9&gt;=14/24,S$9&lt;20/24)</formula>
    </cfRule>
    <cfRule type="expression" dxfId="7936" priority="223">
      <formula>AND(S$9&gt;=8/24,S$9&lt;14/24)</formula>
    </cfRule>
    <cfRule type="expression" dxfId="7935" priority="224">
      <formula>S$9&lt;8/24</formula>
    </cfRule>
  </conditionalFormatting>
  <conditionalFormatting sqref="S50:AF50">
    <cfRule type="expression" dxfId="7934" priority="217">
      <formula>S$9&gt;=20/24</formula>
    </cfRule>
    <cfRule type="expression" dxfId="7933" priority="218">
      <formula>AND(S$9&gt;=14/24,S$9&lt;20/24)</formula>
    </cfRule>
    <cfRule type="expression" dxfId="7932" priority="219">
      <formula>AND(S$9&gt;=8/24,S$9&lt;14/24)</formula>
    </cfRule>
    <cfRule type="expression" dxfId="7931" priority="220">
      <formula>S$9&lt;8/24</formula>
    </cfRule>
  </conditionalFormatting>
  <conditionalFormatting sqref="X60:AE67 AF62:AF67">
    <cfRule type="expression" dxfId="7930" priority="213">
      <formula>X$9&gt;=20/24</formula>
    </cfRule>
    <cfRule type="expression" dxfId="7929" priority="214">
      <formula>AND(X$9&gt;=14/24,X$9&lt;20/24)</formula>
    </cfRule>
    <cfRule type="expression" dxfId="7928" priority="215">
      <formula>AND(X$9&gt;=8/24,X$9&lt;14/24)</formula>
    </cfRule>
    <cfRule type="expression" dxfId="7927" priority="216">
      <formula>X$9&lt;8/24</formula>
    </cfRule>
  </conditionalFormatting>
  <conditionalFormatting sqref="K62:L67 E62:J62">
    <cfRule type="expression" dxfId="7926" priority="209">
      <formula>E$9&gt;=20/24</formula>
    </cfRule>
    <cfRule type="expression" dxfId="7925" priority="210">
      <formula>AND(E$9&gt;=14/24,E$9&lt;20/24)</formula>
    </cfRule>
    <cfRule type="expression" dxfId="7924" priority="211">
      <formula>AND(E$9&gt;=8/24,E$9&lt;14/24)</formula>
    </cfRule>
    <cfRule type="expression" dxfId="7923" priority="212">
      <formula>E$9&lt;8/24</formula>
    </cfRule>
  </conditionalFormatting>
  <conditionalFormatting sqref="U94:AA97">
    <cfRule type="expression" dxfId="7922" priority="205">
      <formula>U$9&gt;=20/24</formula>
    </cfRule>
    <cfRule type="expression" dxfId="7921" priority="206">
      <formula>AND(U$9&gt;=14/24,U$9&lt;20/24)</formula>
    </cfRule>
    <cfRule type="expression" dxfId="7920" priority="207">
      <formula>AND(U$9&gt;=8/24,U$9&lt;14/24)</formula>
    </cfRule>
    <cfRule type="expression" dxfId="7919" priority="208">
      <formula>U$9&lt;8/24</formula>
    </cfRule>
  </conditionalFormatting>
  <conditionalFormatting sqref="AG51 B11:D25 E12:L25 M16:O25 B26:O32 P16:P32 B34:P36 E11:Z11 M12:Z14 Q16:AF17 AA11:AF14 B37:AF56">
    <cfRule type="expression" dxfId="7918" priority="204">
      <formula>B11&gt;$AG11</formula>
    </cfRule>
  </conditionalFormatting>
  <conditionalFormatting sqref="A100:A156 A84:A97 A11:A14 A16:A32 A45:A72 A80:A82 A74:A78 A35:A43 A169:A199">
    <cfRule type="expression" dxfId="7917" priority="203">
      <formula>$AH11=0</formula>
    </cfRule>
  </conditionalFormatting>
  <conditionalFormatting sqref="U98:AA98">
    <cfRule type="expression" dxfId="7916" priority="199">
      <formula>U$9&gt;=20/24</formula>
    </cfRule>
    <cfRule type="expression" dxfId="7915" priority="200">
      <formula>AND(U$9&gt;=14/24,U$9&lt;20/24)</formula>
    </cfRule>
    <cfRule type="expression" dxfId="7914" priority="201">
      <formula>AND(U$9&gt;=8/24,U$9&lt;14/24)</formula>
    </cfRule>
    <cfRule type="expression" dxfId="7913" priority="202">
      <formula>U$9&lt;8/24</formula>
    </cfRule>
  </conditionalFormatting>
  <conditionalFormatting sqref="A98">
    <cfRule type="expression" dxfId="7912" priority="198">
      <formula>$AH98=0</formula>
    </cfRule>
  </conditionalFormatting>
  <conditionalFormatting sqref="E63:J67">
    <cfRule type="expression" dxfId="7911" priority="190">
      <formula>E$9&gt;=20/24</formula>
    </cfRule>
    <cfRule type="expression" dxfId="7910" priority="191">
      <formula>AND(E$9&gt;=14/24,E$9&lt;20/24)</formula>
    </cfRule>
    <cfRule type="expression" dxfId="7909" priority="192">
      <formula>AND(E$9&gt;=8/24,E$9&lt;14/24)</formula>
    </cfRule>
    <cfRule type="expression" dxfId="7908" priority="193">
      <formula>E$9&lt;8/24</formula>
    </cfRule>
  </conditionalFormatting>
  <conditionalFormatting sqref="M62:M67">
    <cfRule type="expression" dxfId="7907" priority="186">
      <formula>M$9&gt;=20/24</formula>
    </cfRule>
    <cfRule type="expression" dxfId="7906" priority="187">
      <formula>AND(M$9&gt;=14/24,M$9&lt;20/24)</formula>
    </cfRule>
    <cfRule type="expression" dxfId="7905" priority="188">
      <formula>AND(M$9&gt;=8/24,M$9&lt;14/24)</formula>
    </cfRule>
    <cfRule type="expression" dxfId="7904" priority="189">
      <formula>M$9&lt;8/24</formula>
    </cfRule>
  </conditionalFormatting>
  <conditionalFormatting sqref="AL32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M34:P34">
    <cfRule type="expression" dxfId="7903" priority="177">
      <formula>M$9&gt;=20/24</formula>
    </cfRule>
    <cfRule type="expression" dxfId="7902" priority="178">
      <formula>AND(M$9&gt;=14/24,M$9&lt;20/24)</formula>
    </cfRule>
    <cfRule type="expression" dxfId="7901" priority="179">
      <formula>AND(M$9&gt;=8/24,M$9&lt;14/24)</formula>
    </cfRule>
    <cfRule type="expression" dxfId="7900" priority="180">
      <formula>M$9&lt;8/24</formula>
    </cfRule>
  </conditionalFormatting>
  <conditionalFormatting sqref="A34">
    <cfRule type="expression" dxfId="7899" priority="172">
      <formula>$AH34=0</formula>
    </cfRule>
  </conditionalFormatting>
  <conditionalFormatting sqref="A83">
    <cfRule type="expression" dxfId="7898" priority="171">
      <formula>$AH83=0</formula>
    </cfRule>
  </conditionalFormatting>
  <conditionalFormatting sqref="M15:AF15">
    <cfRule type="expression" dxfId="7897" priority="163">
      <formula>M$9&gt;=20/24</formula>
    </cfRule>
    <cfRule type="expression" dxfId="7896" priority="164">
      <formula>AND(M$9&gt;=14/24,M$9&lt;20/24)</formula>
    </cfRule>
    <cfRule type="expression" dxfId="7895" priority="165">
      <formula>AND(M$9&gt;=8/24,M$9&lt;14/24)</formula>
    </cfRule>
    <cfRule type="expression" dxfId="7894" priority="166">
      <formula>M$9&lt;8/24</formula>
    </cfRule>
  </conditionalFormatting>
  <conditionalFormatting sqref="M15:AF15">
    <cfRule type="expression" dxfId="7893" priority="162">
      <formula>M15&gt;$AG15</formula>
    </cfRule>
  </conditionalFormatting>
  <conditionalFormatting sqref="A15">
    <cfRule type="expression" dxfId="7892" priority="161">
      <formula>$AH15=0</formula>
    </cfRule>
  </conditionalFormatting>
  <conditionalFormatting sqref="A163:A168">
    <cfRule type="expression" dxfId="7891" priority="160">
      <formula>$AH163=0</formula>
    </cfRule>
  </conditionalFormatting>
  <conditionalFormatting sqref="A157:A162">
    <cfRule type="expression" dxfId="7890" priority="159">
      <formula>$AH157=0</formula>
    </cfRule>
  </conditionalFormatting>
  <conditionalFormatting sqref="Z44:AF44">
    <cfRule type="expression" dxfId="7889" priority="155">
      <formula>Z$9&gt;=20/24</formula>
    </cfRule>
    <cfRule type="expression" dxfId="7888" priority="156">
      <formula>AND(Z$9&gt;=14/24,Z$9&lt;20/24)</formula>
    </cfRule>
    <cfRule type="expression" dxfId="7887" priority="157">
      <formula>AND(Z$9&gt;=8/24,Z$9&lt;14/24)</formula>
    </cfRule>
    <cfRule type="expression" dxfId="7886" priority="158">
      <formula>Z$9&lt;8/24</formula>
    </cfRule>
  </conditionalFormatting>
  <conditionalFormatting sqref="M44:AF44">
    <cfRule type="expression" dxfId="7885" priority="151">
      <formula>M$9&gt;=20/24</formula>
    </cfRule>
    <cfRule type="expression" dxfId="7884" priority="152">
      <formula>AND(M$9&gt;=14/24,M$9&lt;20/24)</formula>
    </cfRule>
    <cfRule type="expression" dxfId="7883" priority="153">
      <formula>AND(M$9&gt;=8/24,M$9&lt;14/24)</formula>
    </cfRule>
    <cfRule type="expression" dxfId="7882" priority="154">
      <formula>M$9&lt;8/24</formula>
    </cfRule>
  </conditionalFormatting>
  <conditionalFormatting sqref="S44:AF44">
    <cfRule type="expression" dxfId="7881" priority="147">
      <formula>S$9&gt;=20/24</formula>
    </cfRule>
    <cfRule type="expression" dxfId="7880" priority="148">
      <formula>AND(S$9&gt;=14/24,S$9&lt;20/24)</formula>
    </cfRule>
    <cfRule type="expression" dxfId="7879" priority="149">
      <formula>AND(S$9&gt;=8/24,S$9&lt;14/24)</formula>
    </cfRule>
    <cfRule type="expression" dxfId="7878" priority="150">
      <formula>S$9&lt;8/24</formula>
    </cfRule>
  </conditionalFormatting>
  <conditionalFormatting sqref="A44">
    <cfRule type="expression" dxfId="7877" priority="146">
      <formula>$AH44=0</formula>
    </cfRule>
  </conditionalFormatting>
  <conditionalFormatting sqref="A79">
    <cfRule type="expression" dxfId="7876" priority="145">
      <formula>$AH79=0</formula>
    </cfRule>
  </conditionalFormatting>
  <conditionalFormatting sqref="A73">
    <cfRule type="expression" dxfId="7875" priority="144">
      <formula>$AH73=0</formula>
    </cfRule>
  </conditionalFormatting>
  <conditionalFormatting sqref="AL34:AL35 AL7:AL31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U60:W62">
    <cfRule type="expression" dxfId="7874" priority="140">
      <formula>U$9&gt;=20/24</formula>
    </cfRule>
    <cfRule type="expression" dxfId="7873" priority="141">
      <formula>AND(U$9&gt;=14/24,U$9&lt;20/24)</formula>
    </cfRule>
    <cfRule type="expression" dxfId="7872" priority="142">
      <formula>AND(U$9&gt;=8/24,U$9&lt;14/24)</formula>
    </cfRule>
    <cfRule type="expression" dxfId="7871" priority="143">
      <formula>U$9&lt;8/24</formula>
    </cfRule>
  </conditionalFormatting>
  <conditionalFormatting sqref="U85:W91">
    <cfRule type="expression" dxfId="7870" priority="136">
      <formula>U$9&gt;=20/24</formula>
    </cfRule>
    <cfRule type="expression" dxfId="7869" priority="137">
      <formula>AND(U$9&gt;=14/24,U$9&lt;20/24)</formula>
    </cfRule>
    <cfRule type="expression" dxfId="7868" priority="138">
      <formula>AND(U$9&gt;=8/24,U$9&lt;14/24)</formula>
    </cfRule>
    <cfRule type="expression" dxfId="7867" priority="139">
      <formula>U$9&lt;8/24</formula>
    </cfRule>
  </conditionalFormatting>
  <conditionalFormatting sqref="E84:T91">
    <cfRule type="expression" dxfId="7866" priority="132">
      <formula>E$9&gt;=20/24</formula>
    </cfRule>
    <cfRule type="expression" dxfId="7865" priority="133">
      <formula>AND(E$9&gt;=14/24,E$9&lt;20/24)</formula>
    </cfRule>
    <cfRule type="expression" dxfId="7864" priority="134">
      <formula>AND(E$9&gt;=8/24,E$9&lt;14/24)</formula>
    </cfRule>
    <cfRule type="expression" dxfId="7863" priority="135">
      <formula>E$9&lt;8/24</formula>
    </cfRule>
  </conditionalFormatting>
  <conditionalFormatting sqref="E95:M97 E94:F94">
    <cfRule type="expression" dxfId="7862" priority="124">
      <formula>E$9&gt;=20/24</formula>
    </cfRule>
    <cfRule type="expression" dxfId="7861" priority="125">
      <formula>AND(E$9&gt;=14/24,E$9&lt;20/24)</formula>
    </cfRule>
    <cfRule type="expression" dxfId="7860" priority="126">
      <formula>AND(E$9&gt;=8/24,E$9&lt;14/24)</formula>
    </cfRule>
    <cfRule type="expression" dxfId="7859" priority="127">
      <formula>E$9&lt;8/24</formula>
    </cfRule>
  </conditionalFormatting>
  <conditionalFormatting sqref="N95:R97 O94:R94">
    <cfRule type="expression" dxfId="7858" priority="120">
      <formula>N$9&gt;=20/24</formula>
    </cfRule>
    <cfRule type="expression" dxfId="7857" priority="121">
      <formula>AND(N$9&gt;=14/24,N$9&lt;20/24)</formula>
    </cfRule>
    <cfRule type="expression" dxfId="7856" priority="122">
      <formula>AND(N$9&gt;=8/24,N$9&lt;14/24)</formula>
    </cfRule>
    <cfRule type="expression" dxfId="7855" priority="123">
      <formula>N$9&lt;8/24</formula>
    </cfRule>
  </conditionalFormatting>
  <conditionalFormatting sqref="S94:T97">
    <cfRule type="expression" dxfId="7854" priority="116">
      <formula>S$9&gt;=20/24</formula>
    </cfRule>
    <cfRule type="expression" dxfId="7853" priority="117">
      <formula>AND(S$9&gt;=14/24,S$9&lt;20/24)</formula>
    </cfRule>
    <cfRule type="expression" dxfId="7852" priority="118">
      <formula>AND(S$9&gt;=8/24,S$9&lt;14/24)</formula>
    </cfRule>
    <cfRule type="expression" dxfId="7851" priority="119">
      <formula>S$9&lt;8/24</formula>
    </cfRule>
  </conditionalFormatting>
  <conditionalFormatting sqref="E98:M98">
    <cfRule type="expression" dxfId="7850" priority="112">
      <formula>E$9&gt;=20/24</formula>
    </cfRule>
    <cfRule type="expression" dxfId="7849" priority="113">
      <formula>AND(E$9&gt;=14/24,E$9&lt;20/24)</formula>
    </cfRule>
    <cfRule type="expression" dxfId="7848" priority="114">
      <formula>AND(E$9&gt;=8/24,E$9&lt;14/24)</formula>
    </cfRule>
    <cfRule type="expression" dxfId="7847" priority="115">
      <formula>E$9&lt;8/24</formula>
    </cfRule>
  </conditionalFormatting>
  <conditionalFormatting sqref="N98:R98">
    <cfRule type="expression" dxfId="7846" priority="108">
      <formula>N$9&gt;=20/24</formula>
    </cfRule>
    <cfRule type="expression" dxfId="7845" priority="109">
      <formula>AND(N$9&gt;=14/24,N$9&lt;20/24)</formula>
    </cfRule>
    <cfRule type="expression" dxfId="7844" priority="110">
      <formula>AND(N$9&gt;=8/24,N$9&lt;14/24)</formula>
    </cfRule>
    <cfRule type="expression" dxfId="7843" priority="111">
      <formula>N$9&lt;8/24</formula>
    </cfRule>
  </conditionalFormatting>
  <conditionalFormatting sqref="S98:T98">
    <cfRule type="expression" dxfId="7842" priority="104">
      <formula>S$9&gt;=20/24</formula>
    </cfRule>
    <cfRule type="expression" dxfId="7841" priority="105">
      <formula>AND(S$9&gt;=14/24,S$9&lt;20/24)</formula>
    </cfRule>
    <cfRule type="expression" dxfId="7840" priority="106">
      <formula>AND(S$9&gt;=8/24,S$9&lt;14/24)</formula>
    </cfRule>
    <cfRule type="expression" dxfId="7839" priority="107">
      <formula>S$9&lt;8/24</formula>
    </cfRule>
  </conditionalFormatting>
  <conditionalFormatting sqref="M94:N94">
    <cfRule type="expression" dxfId="7838" priority="100">
      <formula>M$9&gt;=20/24</formula>
    </cfRule>
    <cfRule type="expression" dxfId="7837" priority="101">
      <formula>AND(M$9&gt;=14/24,M$9&lt;20/24)</formula>
    </cfRule>
    <cfRule type="expression" dxfId="7836" priority="102">
      <formula>AND(M$9&gt;=8/24,M$9&lt;14/24)</formula>
    </cfRule>
    <cfRule type="expression" dxfId="7835" priority="103">
      <formula>M$9&lt;8/24</formula>
    </cfRule>
  </conditionalFormatting>
  <conditionalFormatting sqref="G94:L94">
    <cfRule type="expression" dxfId="7834" priority="96">
      <formula>G$9&gt;=20/24</formula>
    </cfRule>
    <cfRule type="expression" dxfId="7833" priority="97">
      <formula>AND(G$9&gt;=14/24,G$9&lt;20/24)</formula>
    </cfRule>
    <cfRule type="expression" dxfId="7832" priority="98">
      <formula>AND(G$9&gt;=8/24,G$9&lt;14/24)</formula>
    </cfRule>
    <cfRule type="expression" dxfId="7831" priority="99">
      <formula>G$9&lt;8/24</formula>
    </cfRule>
  </conditionalFormatting>
  <conditionalFormatting sqref="U94:AA94">
    <cfRule type="expression" dxfId="7830" priority="92">
      <formula>U$9&gt;=20/24</formula>
    </cfRule>
    <cfRule type="expression" dxfId="7829" priority="93">
      <formula>AND(U$9&gt;=14/24,U$9&lt;20/24)</formula>
    </cfRule>
    <cfRule type="expression" dxfId="7828" priority="94">
      <formula>AND(U$9&gt;=8/24,U$9&lt;14/24)</formula>
    </cfRule>
    <cfRule type="expression" dxfId="7827" priority="95">
      <formula>U$9&lt;8/24</formula>
    </cfRule>
  </conditionalFormatting>
  <conditionalFormatting sqref="N94:T94">
    <cfRule type="expression" dxfId="7826" priority="88">
      <formula>N$9&gt;=20/24</formula>
    </cfRule>
    <cfRule type="expression" dxfId="7825" priority="89">
      <formula>AND(N$9&gt;=14/24,N$9&lt;20/24)</formula>
    </cfRule>
    <cfRule type="expression" dxfId="7824" priority="90">
      <formula>AND(N$9&gt;=8/24,N$9&lt;14/24)</formula>
    </cfRule>
    <cfRule type="expression" dxfId="7823" priority="91">
      <formula>N$9&lt;8/24</formula>
    </cfRule>
  </conditionalFormatting>
  <conditionalFormatting sqref="U99:AA99">
    <cfRule type="expression" dxfId="7822" priority="84">
      <formula>U$9&gt;=20/24</formula>
    </cfRule>
    <cfRule type="expression" dxfId="7821" priority="85">
      <formula>AND(U$9&gt;=14/24,U$9&lt;20/24)</formula>
    </cfRule>
    <cfRule type="expression" dxfId="7820" priority="86">
      <formula>AND(U$9&gt;=8/24,U$9&lt;14/24)</formula>
    </cfRule>
    <cfRule type="expression" dxfId="7819" priority="87">
      <formula>U$9&lt;8/24</formula>
    </cfRule>
  </conditionalFormatting>
  <conditionalFormatting sqref="E99:M99">
    <cfRule type="expression" dxfId="7818" priority="80">
      <formula>E$9&gt;=20/24</formula>
    </cfRule>
    <cfRule type="expression" dxfId="7817" priority="81">
      <formula>AND(E$9&gt;=14/24,E$9&lt;20/24)</formula>
    </cfRule>
    <cfRule type="expression" dxfId="7816" priority="82">
      <formula>AND(E$9&gt;=8/24,E$9&lt;14/24)</formula>
    </cfRule>
    <cfRule type="expression" dxfId="7815" priority="83">
      <formula>E$9&lt;8/24</formula>
    </cfRule>
  </conditionalFormatting>
  <conditionalFormatting sqref="N99:R99">
    <cfRule type="expression" dxfId="7814" priority="76">
      <formula>N$9&gt;=20/24</formula>
    </cfRule>
    <cfRule type="expression" dxfId="7813" priority="77">
      <formula>AND(N$9&gt;=14/24,N$9&lt;20/24)</formula>
    </cfRule>
    <cfRule type="expression" dxfId="7812" priority="78">
      <formula>AND(N$9&gt;=8/24,N$9&lt;14/24)</formula>
    </cfRule>
    <cfRule type="expression" dxfId="7811" priority="79">
      <formula>N$9&lt;8/24</formula>
    </cfRule>
  </conditionalFormatting>
  <conditionalFormatting sqref="S99:T99">
    <cfRule type="expression" dxfId="7810" priority="72">
      <formula>S$9&gt;=20/24</formula>
    </cfRule>
    <cfRule type="expression" dxfId="7809" priority="73">
      <formula>AND(S$9&gt;=14/24,S$9&lt;20/24)</formula>
    </cfRule>
    <cfRule type="expression" dxfId="7808" priority="74">
      <formula>AND(S$9&gt;=8/24,S$9&lt;14/24)</formula>
    </cfRule>
    <cfRule type="expression" dxfId="7807" priority="75">
      <formula>S$9&lt;8/24</formula>
    </cfRule>
  </conditionalFormatting>
  <conditionalFormatting sqref="AE58:AE59">
    <cfRule type="expression" dxfId="7806" priority="56">
      <formula>AE$9&gt;=20/24</formula>
    </cfRule>
    <cfRule type="expression" dxfId="7805" priority="57">
      <formula>AND(AE$9&gt;=14/24,AE$9&lt;20/24)</formula>
    </cfRule>
    <cfRule type="expression" dxfId="7804" priority="58">
      <formula>AND(AE$9&gt;=8/24,AE$9&lt;14/24)</formula>
    </cfRule>
    <cfRule type="expression" dxfId="7803" priority="59">
      <formula>AE$9&lt;8/24</formula>
    </cfRule>
  </conditionalFormatting>
  <conditionalFormatting sqref="AL33">
    <cfRule type="iconSet" priority="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02" priority="289">
      <formula>C$9&gt;=20/24</formula>
    </cfRule>
    <cfRule type="expression" dxfId="7801" priority="290">
      <formula>AND(C$9&gt;=14/24,C$9&lt;20/24)</formula>
    </cfRule>
    <cfRule type="expression" dxfId="7800" priority="291">
      <formula>AND(C$9&gt;=8/24,C$9&lt;14/24)</formula>
    </cfRule>
    <cfRule type="expression" dxfId="7799" priority="292">
      <formula>C$9&lt;8/24</formula>
    </cfRule>
  </conditionalFormatting>
  <conditionalFormatting sqref="A200">
    <cfRule type="expression" dxfId="7798" priority="293">
      <formula>$AH200=0</formula>
    </cfRule>
  </conditionalFormatting>
  <conditionalFormatting sqref="AG212">
    <cfRule type="expression" dxfId="7797" priority="295">
      <formula>B$9&gt;=20/24</formula>
    </cfRule>
    <cfRule type="expression" dxfId="7796" priority="296">
      <formula>AND(B$9&gt;=14/24,B$9&lt;20/24)</formula>
    </cfRule>
    <cfRule type="expression" dxfId="7795" priority="297">
      <formula>AND(B$9&gt;=8/24,B$9&lt;14/24)</formula>
    </cfRule>
    <cfRule type="expression" dxfId="7794" priority="298">
      <formula>B$9&lt;8/24</formula>
    </cfRule>
  </conditionalFormatting>
  <conditionalFormatting sqref="S8">
    <cfRule type="expression" dxfId="7793" priority="45">
      <formula>U$9&gt;=20/24</formula>
    </cfRule>
    <cfRule type="expression" dxfId="7792" priority="46">
      <formula>AND(U$9&gt;=14/24,U$9&lt;20/24)</formula>
    </cfRule>
    <cfRule type="expression" dxfId="7791" priority="47">
      <formula>AND(U$9&gt;=8/24,U$9&lt;14/24)</formula>
    </cfRule>
    <cfRule type="expression" dxfId="7790" priority="48">
      <formula>U$9&lt;8/24</formula>
    </cfRule>
  </conditionalFormatting>
  <conditionalFormatting sqref="AB8">
    <cfRule type="expression" dxfId="7789" priority="41">
      <formula>AD$9&gt;=20/24</formula>
    </cfRule>
    <cfRule type="expression" dxfId="7788" priority="42">
      <formula>AND(AD$9&gt;=14/24,AD$9&lt;20/24)</formula>
    </cfRule>
    <cfRule type="expression" dxfId="7787" priority="43">
      <formula>AND(AD$9&gt;=8/24,AD$9&lt;14/24)</formula>
    </cfRule>
    <cfRule type="expression" dxfId="7786" priority="44">
      <formula>AD$9&lt;8/24</formula>
    </cfRule>
  </conditionalFormatting>
  <conditionalFormatting sqref="AH212:AX212">
    <cfRule type="expression" dxfId="7785" priority="299">
      <formula>AG$9&gt;=20/24</formula>
    </cfRule>
    <cfRule type="expression" dxfId="7784" priority="300">
      <formula>AND(AG$9&gt;=14/24,AG$9&lt;20/24)</formula>
    </cfRule>
    <cfRule type="expression" dxfId="7783" priority="301">
      <formula>AND(AG$9&gt;=8/24,AG$9&lt;14/24)</formula>
    </cfRule>
    <cfRule type="expression" dxfId="7782" priority="302">
      <formula>AG$9&lt;8/24</formula>
    </cfRule>
  </conditionalFormatting>
  <conditionalFormatting sqref="T212">
    <cfRule type="expression" dxfId="7781" priority="303">
      <formula>AX$9&gt;=20/24</formula>
    </cfRule>
    <cfRule type="expression" dxfId="7780" priority="304">
      <formula>AND(AX$9&gt;=14/24,AX$9&lt;20/24)</formula>
    </cfRule>
    <cfRule type="expression" dxfId="7779" priority="305">
      <formula>AND(AX$9&gt;=8/24,AX$9&lt;14/24)</formula>
    </cfRule>
    <cfRule type="expression" dxfId="7778" priority="306">
      <formula>AX$9&lt;8/24</formula>
    </cfRule>
  </conditionalFormatting>
  <conditionalFormatting sqref="A99">
    <cfRule type="expression" dxfId="7777" priority="40">
      <formula>$AH99=0</formula>
    </cfRule>
  </conditionalFormatting>
  <conditionalFormatting sqref="M33:P33">
    <cfRule type="expression" dxfId="7776" priority="36">
      <formula>M$9&gt;=20/24</formula>
    </cfRule>
    <cfRule type="expression" dxfId="7775" priority="37">
      <formula>AND(M$9&gt;=14/24,M$9&lt;20/24)</formula>
    </cfRule>
    <cfRule type="expression" dxfId="7774" priority="38">
      <formula>AND(M$9&gt;=8/24,M$9&lt;14/24)</formula>
    </cfRule>
    <cfRule type="expression" dxfId="7773" priority="39">
      <formula>M$9&lt;8/24</formula>
    </cfRule>
  </conditionalFormatting>
  <conditionalFormatting sqref="B33:P33">
    <cfRule type="expression" dxfId="7772" priority="27">
      <formula>B33&gt;$AG33</formula>
    </cfRule>
  </conditionalFormatting>
  <conditionalFormatting sqref="M26:P26">
    <cfRule type="expression" dxfId="7771" priority="23">
      <formula>M$9&gt;=20/24</formula>
    </cfRule>
    <cfRule type="expression" dxfId="7770" priority="24">
      <formula>AND(M$9&gt;=14/24,M$9&lt;20/24)</formula>
    </cfRule>
    <cfRule type="expression" dxfId="7769" priority="25">
      <formula>AND(M$9&gt;=8/24,M$9&lt;14/24)</formula>
    </cfRule>
    <cfRule type="expression" dxfId="7768" priority="26">
      <formula>M$9&lt;8/24</formula>
    </cfRule>
  </conditionalFormatting>
  <conditionalFormatting sqref="Q18:AF25 Q36:AF36 Q27:AF32">
    <cfRule type="expression" dxfId="7767" priority="19">
      <formula>Q$9&gt;=20/24</formula>
    </cfRule>
    <cfRule type="expression" dxfId="7766" priority="20">
      <formula>AND(Q$9&gt;=14/24,Q$9&lt;20/24)</formula>
    </cfRule>
    <cfRule type="expression" dxfId="7765" priority="21">
      <formula>AND(Q$9&gt;=8/24,Q$9&lt;14/24)</formula>
    </cfRule>
    <cfRule type="expression" dxfId="7764" priority="22">
      <formula>Q$9&lt;8/24</formula>
    </cfRule>
  </conditionalFormatting>
  <conditionalFormatting sqref="Q35:AF35">
    <cfRule type="expression" dxfId="7763" priority="15">
      <formula>Q$9&gt;=20/24</formula>
    </cfRule>
    <cfRule type="expression" dxfId="7762" priority="16">
      <formula>AND(Q$9&gt;=14/24,Q$9&lt;20/24)</formula>
    </cfRule>
    <cfRule type="expression" dxfId="7761" priority="17">
      <formula>AND(Q$9&gt;=8/24,Q$9&lt;14/24)</formula>
    </cfRule>
    <cfRule type="expression" dxfId="7760" priority="18">
      <formula>Q$9&lt;8/24</formula>
    </cfRule>
  </conditionalFormatting>
  <conditionalFormatting sqref="Q18:AF32 Q34:AF36">
    <cfRule type="expression" dxfId="7759" priority="14">
      <formula>Q18&gt;$AG18</formula>
    </cfRule>
  </conditionalFormatting>
  <conditionalFormatting sqref="Q34:AF34">
    <cfRule type="expression" dxfId="7758" priority="10">
      <formula>Q$9&gt;=20/24</formula>
    </cfRule>
    <cfRule type="expression" dxfId="7757" priority="11">
      <formula>AND(Q$9&gt;=14/24,Q$9&lt;20/24)</formula>
    </cfRule>
    <cfRule type="expression" dxfId="7756" priority="12">
      <formula>AND(Q$9&gt;=8/24,Q$9&lt;14/24)</formula>
    </cfRule>
    <cfRule type="expression" dxfId="7755" priority="13">
      <formula>Q$9&lt;8/24</formula>
    </cfRule>
  </conditionalFormatting>
  <conditionalFormatting sqref="Q33:AF33">
    <cfRule type="expression" dxfId="7754" priority="6">
      <formula>Q$9&gt;=20/24</formula>
    </cfRule>
    <cfRule type="expression" dxfId="7753" priority="7">
      <formula>AND(Q$9&gt;=14/24,Q$9&lt;20/24)</formula>
    </cfRule>
    <cfRule type="expression" dxfId="7752" priority="8">
      <formula>AND(Q$9&gt;=8/24,Q$9&lt;14/24)</formula>
    </cfRule>
    <cfRule type="expression" dxfId="7751" priority="9">
      <formula>Q$9&lt;8/24</formula>
    </cfRule>
  </conditionalFormatting>
  <conditionalFormatting sqref="Q33:AF33">
    <cfRule type="expression" dxfId="7750" priority="5">
      <formula>Q33&gt;$AG33</formula>
    </cfRule>
  </conditionalFormatting>
  <conditionalFormatting sqref="Q26:AF26">
    <cfRule type="expression" dxfId="7749" priority="1">
      <formula>Q$9&gt;=20/24</formula>
    </cfRule>
    <cfRule type="expression" dxfId="7748" priority="2">
      <formula>AND(Q$9&gt;=14/24,Q$9&lt;20/24)</formula>
    </cfRule>
    <cfRule type="expression" dxfId="7747" priority="3">
      <formula>AND(Q$9&gt;=8/24,Q$9&lt;14/24)</formula>
    </cfRule>
    <cfRule type="expression" dxfId="7746" priority="4">
      <formula>Q$9&lt;8/24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" id="{080D4640-9C12-4BA9-BD1A-925CEE4F9D6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E94" sqref="AE94:AE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7.28515625" bestFit="1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2078/08/6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90</v>
      </c>
      <c r="C5" s="32">
        <f t="shared" si="0"/>
        <v>78</v>
      </c>
      <c r="D5" s="32">
        <f t="shared" si="0"/>
        <v>125</v>
      </c>
      <c r="E5" s="32">
        <f t="shared" si="0"/>
        <v>134</v>
      </c>
      <c r="F5" s="32">
        <f t="shared" si="0"/>
        <v>148</v>
      </c>
      <c r="G5" s="32">
        <f t="shared" si="0"/>
        <v>180</v>
      </c>
      <c r="H5" s="32">
        <f t="shared" si="0"/>
        <v>163</v>
      </c>
      <c r="I5" s="32">
        <f t="shared" si="0"/>
        <v>205</v>
      </c>
      <c r="J5" s="32">
        <f t="shared" si="0"/>
        <v>157</v>
      </c>
      <c r="K5" s="32">
        <f t="shared" si="0"/>
        <v>145</v>
      </c>
      <c r="L5" s="32">
        <f t="shared" si="0"/>
        <v>154.89999999999998</v>
      </c>
      <c r="M5" s="32">
        <f t="shared" si="0"/>
        <v>66</v>
      </c>
      <c r="N5" s="32">
        <f t="shared" si="0"/>
        <v>78.7</v>
      </c>
      <c r="O5" s="32">
        <f t="shared" si="0"/>
        <v>78.7</v>
      </c>
      <c r="P5" s="32">
        <f t="shared" si="0"/>
        <v>365</v>
      </c>
      <c r="Q5" s="32">
        <f t="shared" si="0"/>
        <v>374</v>
      </c>
      <c r="R5" s="32">
        <f t="shared" si="0"/>
        <v>425</v>
      </c>
      <c r="S5" s="32">
        <f t="shared" si="0"/>
        <v>415.9</v>
      </c>
      <c r="T5" s="32">
        <f t="shared" si="0"/>
        <v>414.59999999999997</v>
      </c>
      <c r="U5" s="32">
        <f t="shared" si="0"/>
        <v>220</v>
      </c>
      <c r="V5" s="32">
        <f t="shared" si="0"/>
        <v>202.1</v>
      </c>
      <c r="W5" s="32">
        <f t="shared" si="0"/>
        <v>224.89999999999998</v>
      </c>
      <c r="X5" s="32">
        <f t="shared" si="0"/>
        <v>229.89999999999998</v>
      </c>
      <c r="Y5" s="32">
        <f t="shared" si="0"/>
        <v>226.89999999999998</v>
      </c>
      <c r="Z5" s="32">
        <f t="shared" si="0"/>
        <v>188.9</v>
      </c>
      <c r="AA5" s="32">
        <f t="shared" si="0"/>
        <v>208</v>
      </c>
      <c r="AB5" s="32">
        <f t="shared" si="0"/>
        <v>235</v>
      </c>
      <c r="AC5" s="32">
        <f t="shared" si="0"/>
        <v>232</v>
      </c>
      <c r="AD5" s="32">
        <f t="shared" si="0"/>
        <v>215</v>
      </c>
      <c r="AE5" s="32">
        <f t="shared" si="0"/>
        <v>160</v>
      </c>
      <c r="AF5" s="32">
        <f>B68</f>
        <v>80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Load=821</v>
      </c>
      <c r="B7" s="37">
        <f>B75</f>
        <v>919.83999999999992</v>
      </c>
      <c r="C7" s="37">
        <f t="shared" ref="C7:AF7" si="1">C75</f>
        <v>855.83999999999992</v>
      </c>
      <c r="D7" s="37">
        <f t="shared" si="1"/>
        <v>820.84</v>
      </c>
      <c r="E7" s="37">
        <f t="shared" si="1"/>
        <v>888.14</v>
      </c>
      <c r="F7" s="37">
        <f t="shared" si="1"/>
        <v>868.44</v>
      </c>
      <c r="G7" s="37">
        <f t="shared" si="1"/>
        <v>906.44</v>
      </c>
      <c r="H7" s="37">
        <f t="shared" si="1"/>
        <v>1005.44</v>
      </c>
      <c r="I7" s="37">
        <f t="shared" si="1"/>
        <v>1100.44</v>
      </c>
      <c r="J7" s="37">
        <f t="shared" si="1"/>
        <v>1231.3399999999999</v>
      </c>
      <c r="K7" s="37">
        <f t="shared" si="1"/>
        <v>1324.44</v>
      </c>
      <c r="L7" s="37">
        <f t="shared" si="1"/>
        <v>1416.04</v>
      </c>
      <c r="M7" s="37">
        <f t="shared" si="1"/>
        <v>1423.84</v>
      </c>
      <c r="N7" s="37">
        <f t="shared" si="1"/>
        <v>1303.04</v>
      </c>
      <c r="O7" s="37">
        <f t="shared" si="1"/>
        <v>1269.3399999999999</v>
      </c>
      <c r="P7" s="37">
        <f t="shared" si="1"/>
        <v>1264.3399999999999</v>
      </c>
      <c r="Q7" s="37">
        <f t="shared" si="1"/>
        <v>1250.04</v>
      </c>
      <c r="R7" s="37">
        <f t="shared" si="1"/>
        <v>1174.6399999999999</v>
      </c>
      <c r="S7" s="37">
        <f t="shared" si="1"/>
        <v>1161.94</v>
      </c>
      <c r="T7" s="37">
        <f t="shared" si="1"/>
        <v>1183.44</v>
      </c>
      <c r="U7" s="37">
        <f t="shared" si="1"/>
        <v>1242.6399999999999</v>
      </c>
      <c r="V7" s="37">
        <f t="shared" si="1"/>
        <v>1344.54</v>
      </c>
      <c r="W7" s="37">
        <f t="shared" si="1"/>
        <v>1522.2399999999998</v>
      </c>
      <c r="X7" s="37">
        <f t="shared" si="1"/>
        <v>1609.2399999999998</v>
      </c>
      <c r="Y7" s="37">
        <f t="shared" si="1"/>
        <v>1562.2399999999998</v>
      </c>
      <c r="Z7" s="37">
        <f t="shared" si="1"/>
        <v>1495.9399999999998</v>
      </c>
      <c r="AA7" s="37">
        <f t="shared" si="1"/>
        <v>1457.54</v>
      </c>
      <c r="AB7" s="37">
        <f t="shared" si="1"/>
        <v>1394.04</v>
      </c>
      <c r="AC7" s="37">
        <f t="shared" si="1"/>
        <v>1325.84</v>
      </c>
      <c r="AD7" s="37">
        <f t="shared" si="1"/>
        <v>1257.8399999999999</v>
      </c>
      <c r="AE7" s="37">
        <f t="shared" si="1"/>
        <v>1039.74</v>
      </c>
      <c r="AF7" s="37">
        <f t="shared" si="1"/>
        <v>956.24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56</v>
      </c>
      <c r="C11" s="49">
        <v>20</v>
      </c>
      <c r="D11" s="49">
        <v>30</v>
      </c>
      <c r="E11" s="49">
        <v>50</v>
      </c>
      <c r="F11" s="49">
        <v>50</v>
      </c>
      <c r="G11" s="49">
        <v>60</v>
      </c>
      <c r="H11" s="49">
        <v>140</v>
      </c>
      <c r="I11" s="49">
        <v>190</v>
      </c>
      <c r="J11" s="49">
        <v>200</v>
      </c>
      <c r="K11" s="49">
        <v>260</v>
      </c>
      <c r="L11" s="49">
        <v>340</v>
      </c>
      <c r="M11" s="49">
        <v>300</v>
      </c>
      <c r="N11" s="49">
        <v>340</v>
      </c>
      <c r="O11" s="49">
        <v>290</v>
      </c>
      <c r="P11" s="49">
        <v>290</v>
      </c>
      <c r="Q11" s="50">
        <v>51</v>
      </c>
      <c r="R11" s="51">
        <v>25</v>
      </c>
      <c r="S11" s="50">
        <v>12</v>
      </c>
      <c r="T11" s="50">
        <v>13.7</v>
      </c>
      <c r="U11" s="50">
        <v>12.2</v>
      </c>
      <c r="V11" s="50">
        <v>210</v>
      </c>
      <c r="W11" s="50">
        <v>360</v>
      </c>
      <c r="X11" s="50">
        <v>365</v>
      </c>
      <c r="Y11" s="50">
        <v>335</v>
      </c>
      <c r="Z11" s="52">
        <v>270</v>
      </c>
      <c r="AA11" s="50">
        <v>270</v>
      </c>
      <c r="AB11" s="50">
        <v>200</v>
      </c>
      <c r="AC11" s="50">
        <v>150</v>
      </c>
      <c r="AD11" s="50">
        <v>120</v>
      </c>
      <c r="AE11" s="50">
        <v>40</v>
      </c>
      <c r="AF11" s="49">
        <v>40</v>
      </c>
      <c r="AG11" s="53">
        <v>456</v>
      </c>
      <c r="AH11" s="54">
        <f>MAX(B11:AF11)</f>
        <v>365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47.5</v>
      </c>
      <c r="C12" s="49">
        <v>47.5</v>
      </c>
      <c r="D12" s="49">
        <v>47.5</v>
      </c>
      <c r="E12" s="49">
        <v>47.5</v>
      </c>
      <c r="F12" s="49">
        <v>47.5</v>
      </c>
      <c r="G12" s="49">
        <v>47.5</v>
      </c>
      <c r="H12" s="49">
        <v>47.5</v>
      </c>
      <c r="I12" s="49">
        <v>47.5</v>
      </c>
      <c r="J12" s="49">
        <v>47.5</v>
      </c>
      <c r="K12" s="49">
        <v>47.5</v>
      </c>
      <c r="L12" s="49">
        <v>47.5</v>
      </c>
      <c r="M12" s="49">
        <v>47.5</v>
      </c>
      <c r="N12" s="49">
        <v>47.5</v>
      </c>
      <c r="O12" s="49">
        <v>47.5</v>
      </c>
      <c r="P12" s="49">
        <v>47.5</v>
      </c>
      <c r="Q12" s="49">
        <v>47.5</v>
      </c>
      <c r="R12" s="49">
        <v>47.5</v>
      </c>
      <c r="S12" s="58">
        <v>47.5</v>
      </c>
      <c r="T12" s="58">
        <v>47.5</v>
      </c>
      <c r="U12" s="58">
        <v>47.5</v>
      </c>
      <c r="V12" s="58">
        <v>47.5</v>
      </c>
      <c r="W12" s="58">
        <v>47.5</v>
      </c>
      <c r="X12" s="58">
        <v>47.5</v>
      </c>
      <c r="Y12" s="58">
        <v>47.5</v>
      </c>
      <c r="Z12" s="58">
        <v>47.5</v>
      </c>
      <c r="AA12" s="58">
        <v>47.5</v>
      </c>
      <c r="AB12" s="50">
        <v>47.5</v>
      </c>
      <c r="AC12" s="50">
        <v>47.5</v>
      </c>
      <c r="AD12" s="50">
        <v>47.5</v>
      </c>
      <c r="AE12" s="50">
        <v>50</v>
      </c>
      <c r="AF12" s="49">
        <v>50</v>
      </c>
      <c r="AG12" s="59">
        <v>60</v>
      </c>
      <c r="AH12" s="54">
        <f t="shared" ref="AH12:AH75" si="2">MAX(B12:AF12)</f>
        <v>50</v>
      </c>
      <c r="AI12" s="55">
        <f t="shared" ref="AI12:AI75" si="3">MIN(B12:AF12)</f>
        <v>47.5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27.3</v>
      </c>
      <c r="C13" s="49">
        <v>27.3</v>
      </c>
      <c r="D13" s="49">
        <v>27.3</v>
      </c>
      <c r="E13" s="49">
        <v>27.3</v>
      </c>
      <c r="F13" s="49">
        <v>27.3</v>
      </c>
      <c r="G13" s="49">
        <v>27.3</v>
      </c>
      <c r="H13" s="49">
        <v>27.3</v>
      </c>
      <c r="I13" s="49">
        <v>27.3</v>
      </c>
      <c r="J13" s="49">
        <v>27.3</v>
      </c>
      <c r="K13" s="49">
        <v>27.3</v>
      </c>
      <c r="L13" s="49">
        <v>27.3</v>
      </c>
      <c r="M13" s="49">
        <v>27.3</v>
      </c>
      <c r="N13" s="49">
        <v>27.3</v>
      </c>
      <c r="O13" s="49">
        <v>27.3</v>
      </c>
      <c r="P13" s="49">
        <v>27.3</v>
      </c>
      <c r="Q13" s="49">
        <v>26.9</v>
      </c>
      <c r="R13" s="49">
        <v>26.9</v>
      </c>
      <c r="S13" s="58">
        <v>26.8</v>
      </c>
      <c r="T13" s="58">
        <v>26.8</v>
      </c>
      <c r="U13" s="58">
        <v>26.8</v>
      </c>
      <c r="V13" s="58">
        <v>26.8</v>
      </c>
      <c r="W13" s="58">
        <v>26.8</v>
      </c>
      <c r="X13" s="58">
        <v>26.8</v>
      </c>
      <c r="Y13" s="58">
        <v>26.8</v>
      </c>
      <c r="Z13" s="58">
        <v>26.8</v>
      </c>
      <c r="AA13" s="58">
        <v>26.8</v>
      </c>
      <c r="AB13" s="50">
        <v>26.8</v>
      </c>
      <c r="AC13" s="50">
        <v>26.8</v>
      </c>
      <c r="AD13" s="50">
        <v>26.8</v>
      </c>
      <c r="AE13" s="50">
        <v>29.6</v>
      </c>
      <c r="AF13" s="49">
        <v>27.3</v>
      </c>
      <c r="AG13" s="59">
        <v>52.4</v>
      </c>
      <c r="AH13" s="54">
        <f t="shared" si="2"/>
        <v>29.6</v>
      </c>
      <c r="AI13" s="55">
        <f t="shared" si="3"/>
        <v>26.8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51.1</v>
      </c>
      <c r="C14" s="49">
        <v>51.1</v>
      </c>
      <c r="D14" s="49">
        <v>51.1</v>
      </c>
      <c r="E14" s="49">
        <v>51.1</v>
      </c>
      <c r="F14" s="49">
        <v>51.1</v>
      </c>
      <c r="G14" s="49">
        <v>51.1</v>
      </c>
      <c r="H14" s="49">
        <v>51.1</v>
      </c>
      <c r="I14" s="49">
        <v>51.1</v>
      </c>
      <c r="J14" s="49">
        <v>51.1</v>
      </c>
      <c r="K14" s="49">
        <v>51.1</v>
      </c>
      <c r="L14" s="49">
        <v>51.1</v>
      </c>
      <c r="M14" s="49">
        <v>51.1</v>
      </c>
      <c r="N14" s="49">
        <v>51.1</v>
      </c>
      <c r="O14" s="49">
        <v>51.1</v>
      </c>
      <c r="P14" s="49">
        <v>51.1</v>
      </c>
      <c r="Q14" s="50">
        <v>50.5</v>
      </c>
      <c r="R14" s="50">
        <v>50.5</v>
      </c>
      <c r="S14" s="60">
        <v>50.7</v>
      </c>
      <c r="T14" s="60">
        <v>50.7</v>
      </c>
      <c r="U14" s="60">
        <v>50.7</v>
      </c>
      <c r="V14" s="60">
        <v>50.7</v>
      </c>
      <c r="W14" s="60">
        <v>50.7</v>
      </c>
      <c r="X14" s="60">
        <v>50.7</v>
      </c>
      <c r="Y14" s="60">
        <v>50.7</v>
      </c>
      <c r="Z14" s="60">
        <v>50.7</v>
      </c>
      <c r="AA14" s="60">
        <v>50.7</v>
      </c>
      <c r="AB14" s="50">
        <v>50.7</v>
      </c>
      <c r="AC14" s="50">
        <v>50.7</v>
      </c>
      <c r="AD14" s="50">
        <v>50.7</v>
      </c>
      <c r="AE14" s="50">
        <v>50.8</v>
      </c>
      <c r="AF14" s="49">
        <v>50.8</v>
      </c>
      <c r="AG14" s="59">
        <v>50</v>
      </c>
      <c r="AH14" s="54">
        <f t="shared" si="2"/>
        <v>51.1</v>
      </c>
      <c r="AI14" s="55">
        <f t="shared" si="3"/>
        <v>50.5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23.1</v>
      </c>
      <c r="C15" s="61">
        <v>23.1</v>
      </c>
      <c r="D15" s="61">
        <v>23.1</v>
      </c>
      <c r="E15" s="61">
        <v>23.1</v>
      </c>
      <c r="F15" s="61">
        <v>23.1</v>
      </c>
      <c r="G15" s="61">
        <v>23.1</v>
      </c>
      <c r="H15" s="61">
        <v>23.1</v>
      </c>
      <c r="I15" s="61">
        <v>23.1</v>
      </c>
      <c r="J15" s="61">
        <v>23.1</v>
      </c>
      <c r="K15" s="61">
        <v>23.1</v>
      </c>
      <c r="L15" s="61">
        <v>23.1</v>
      </c>
      <c r="M15" s="61">
        <v>23.1</v>
      </c>
      <c r="N15" s="61">
        <v>23.1</v>
      </c>
      <c r="O15" s="61">
        <v>23.1</v>
      </c>
      <c r="P15" s="61">
        <v>23.1</v>
      </c>
      <c r="Q15" s="50">
        <v>23.1</v>
      </c>
      <c r="R15" s="50">
        <v>23.1</v>
      </c>
      <c r="S15" s="60">
        <v>23.4</v>
      </c>
      <c r="T15" s="60">
        <v>23.4</v>
      </c>
      <c r="U15" s="60">
        <v>23.4</v>
      </c>
      <c r="V15" s="60">
        <v>23.4</v>
      </c>
      <c r="W15" s="60">
        <v>23.4</v>
      </c>
      <c r="X15" s="60">
        <v>26.9</v>
      </c>
      <c r="Y15" s="60">
        <v>26.9</v>
      </c>
      <c r="Z15" s="60">
        <v>26.9</v>
      </c>
      <c r="AA15" s="60">
        <v>26.5</v>
      </c>
      <c r="AB15" s="50">
        <v>26.5</v>
      </c>
      <c r="AC15" s="50">
        <v>26.5</v>
      </c>
      <c r="AD15" s="50">
        <v>26.5</v>
      </c>
      <c r="AE15" s="50">
        <v>26</v>
      </c>
      <c r="AF15" s="61">
        <v>25.3</v>
      </c>
      <c r="AG15" s="62">
        <v>45</v>
      </c>
      <c r="AH15" s="54">
        <f t="shared" si="2"/>
        <v>26.9</v>
      </c>
      <c r="AI15" s="55">
        <f t="shared" si="3"/>
        <v>23.1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14</v>
      </c>
      <c r="C16" s="49">
        <v>14</v>
      </c>
      <c r="D16" s="49">
        <v>14</v>
      </c>
      <c r="E16" s="49">
        <v>14</v>
      </c>
      <c r="F16" s="49">
        <v>14</v>
      </c>
      <c r="G16" s="49">
        <v>14</v>
      </c>
      <c r="H16" s="49">
        <v>14</v>
      </c>
      <c r="I16" s="49">
        <v>14</v>
      </c>
      <c r="J16" s="49">
        <v>14</v>
      </c>
      <c r="K16" s="49">
        <v>14</v>
      </c>
      <c r="L16" s="49">
        <v>14</v>
      </c>
      <c r="M16" s="49">
        <v>14</v>
      </c>
      <c r="N16" s="49">
        <v>14</v>
      </c>
      <c r="O16" s="49">
        <v>14</v>
      </c>
      <c r="P16" s="49">
        <v>14</v>
      </c>
      <c r="Q16" s="50">
        <v>14</v>
      </c>
      <c r="R16" s="50">
        <v>14</v>
      </c>
      <c r="S16" s="63">
        <v>14</v>
      </c>
      <c r="T16" s="63">
        <v>14</v>
      </c>
      <c r="U16" s="63">
        <v>14</v>
      </c>
      <c r="V16" s="63">
        <v>14</v>
      </c>
      <c r="W16" s="63">
        <v>14</v>
      </c>
      <c r="X16" s="63">
        <v>14</v>
      </c>
      <c r="Y16" s="63">
        <v>14</v>
      </c>
      <c r="Z16" s="63">
        <v>14</v>
      </c>
      <c r="AA16" s="63">
        <v>14</v>
      </c>
      <c r="AB16" s="50">
        <v>14</v>
      </c>
      <c r="AC16" s="50">
        <v>14</v>
      </c>
      <c r="AD16" s="50">
        <v>14</v>
      </c>
      <c r="AE16" s="50">
        <v>14</v>
      </c>
      <c r="AF16" s="49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49">
        <v>13</v>
      </c>
      <c r="N17" s="49">
        <v>13</v>
      </c>
      <c r="O17" s="49">
        <v>13</v>
      </c>
      <c r="P17" s="49">
        <v>13</v>
      </c>
      <c r="Q17" s="50">
        <v>13</v>
      </c>
      <c r="R17" s="50">
        <v>13</v>
      </c>
      <c r="S17" s="60">
        <v>13</v>
      </c>
      <c r="T17" s="60">
        <v>13</v>
      </c>
      <c r="U17" s="60">
        <v>13</v>
      </c>
      <c r="V17" s="60">
        <v>13</v>
      </c>
      <c r="W17" s="60">
        <v>13</v>
      </c>
      <c r="X17" s="60">
        <v>13</v>
      </c>
      <c r="Y17" s="60">
        <v>13</v>
      </c>
      <c r="Z17" s="60">
        <v>13</v>
      </c>
      <c r="AA17" s="60">
        <v>13</v>
      </c>
      <c r="AB17" s="50">
        <v>13</v>
      </c>
      <c r="AC17" s="50">
        <v>13</v>
      </c>
      <c r="AD17" s="50">
        <v>13</v>
      </c>
      <c r="AE17" s="50">
        <v>13</v>
      </c>
      <c r="AF17" s="49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49">
        <v>11</v>
      </c>
      <c r="N18" s="49">
        <v>11</v>
      </c>
      <c r="O18" s="49">
        <v>11</v>
      </c>
      <c r="P18" s="49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49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12.4</v>
      </c>
      <c r="C19" s="49">
        <v>12.4</v>
      </c>
      <c r="D19" s="49">
        <v>12.4</v>
      </c>
      <c r="E19" s="49">
        <v>12.4</v>
      </c>
      <c r="F19" s="49">
        <v>12.4</v>
      </c>
      <c r="G19" s="49">
        <v>12.4</v>
      </c>
      <c r="H19" s="49">
        <v>12.4</v>
      </c>
      <c r="I19" s="49">
        <v>12.4</v>
      </c>
      <c r="J19" s="49">
        <v>12.4</v>
      </c>
      <c r="K19" s="49">
        <v>12.4</v>
      </c>
      <c r="L19" s="49">
        <v>12.4</v>
      </c>
      <c r="M19" s="49">
        <v>12.4</v>
      </c>
      <c r="N19" s="49">
        <v>12.4</v>
      </c>
      <c r="O19" s="49">
        <v>12.4</v>
      </c>
      <c r="P19" s="49">
        <v>12.4</v>
      </c>
      <c r="Q19" s="50">
        <v>12.4</v>
      </c>
      <c r="R19" s="50">
        <v>12.4</v>
      </c>
      <c r="S19" s="50">
        <v>12.4</v>
      </c>
      <c r="T19" s="50">
        <v>12.4</v>
      </c>
      <c r="U19" s="50">
        <v>12.4</v>
      </c>
      <c r="V19" s="50">
        <v>12.4</v>
      </c>
      <c r="W19" s="50">
        <v>12.4</v>
      </c>
      <c r="X19" s="50">
        <v>12.4</v>
      </c>
      <c r="Y19" s="50">
        <v>12.4</v>
      </c>
      <c r="Z19" s="50">
        <v>12.4</v>
      </c>
      <c r="AA19" s="50">
        <v>12.4</v>
      </c>
      <c r="AB19" s="50">
        <v>12.4</v>
      </c>
      <c r="AC19" s="50">
        <v>12.4</v>
      </c>
      <c r="AD19" s="50">
        <v>12.4</v>
      </c>
      <c r="AE19" s="50">
        <v>12.2</v>
      </c>
      <c r="AF19" s="49">
        <v>12.2</v>
      </c>
      <c r="AG19" s="59">
        <v>30</v>
      </c>
      <c r="AH19" s="54">
        <f t="shared" si="2"/>
        <v>12.4</v>
      </c>
      <c r="AI19" s="55">
        <f t="shared" si="3"/>
        <v>12.2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49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49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13.4</v>
      </c>
      <c r="C22" s="49">
        <v>13.4</v>
      </c>
      <c r="D22" s="49">
        <v>13.4</v>
      </c>
      <c r="E22" s="49">
        <v>13.4</v>
      </c>
      <c r="F22" s="49">
        <v>13.4</v>
      </c>
      <c r="G22" s="49">
        <v>13.4</v>
      </c>
      <c r="H22" s="49">
        <v>13.4</v>
      </c>
      <c r="I22" s="49">
        <v>13.4</v>
      </c>
      <c r="J22" s="49">
        <v>13.4</v>
      </c>
      <c r="K22" s="49">
        <v>13.4</v>
      </c>
      <c r="L22" s="49">
        <v>13.4</v>
      </c>
      <c r="M22" s="49">
        <v>13.4</v>
      </c>
      <c r="N22" s="49">
        <v>13.4</v>
      </c>
      <c r="O22" s="49">
        <v>13.4</v>
      </c>
      <c r="P22" s="49">
        <v>13.4</v>
      </c>
      <c r="Q22" s="50">
        <v>13.4</v>
      </c>
      <c r="R22" s="50">
        <v>13.4</v>
      </c>
      <c r="S22" s="50">
        <v>13.4</v>
      </c>
      <c r="T22" s="50">
        <v>13.4</v>
      </c>
      <c r="U22" s="50">
        <v>13.4</v>
      </c>
      <c r="V22" s="50">
        <v>13.4</v>
      </c>
      <c r="W22" s="50">
        <v>13.4</v>
      </c>
      <c r="X22" s="50">
        <v>19.8</v>
      </c>
      <c r="Y22" s="50">
        <v>19.8</v>
      </c>
      <c r="Z22" s="50">
        <v>19.899999999999999</v>
      </c>
      <c r="AA22" s="50">
        <v>19.899999999999999</v>
      </c>
      <c r="AB22" s="50">
        <v>19.899999999999999</v>
      </c>
      <c r="AC22" s="50">
        <v>19.899999999999999</v>
      </c>
      <c r="AD22" s="50">
        <v>19.899999999999999</v>
      </c>
      <c r="AE22" s="50">
        <v>15.5</v>
      </c>
      <c r="AF22" s="49">
        <v>15.5</v>
      </c>
      <c r="AG22" s="59">
        <v>25</v>
      </c>
      <c r="AH22" s="54">
        <f t="shared" si="2"/>
        <v>19.899999999999999</v>
      </c>
      <c r="AI22" s="55">
        <f t="shared" si="3"/>
        <v>13.4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49">
        <v>9</v>
      </c>
      <c r="N23" s="49">
        <v>9</v>
      </c>
      <c r="O23" s="49">
        <v>9</v>
      </c>
      <c r="P23" s="49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49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49">
        <v>12</v>
      </c>
      <c r="N24" s="49">
        <v>12</v>
      </c>
      <c r="O24" s="49">
        <v>12</v>
      </c>
      <c r="P24" s="49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49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49">
        <v>13</v>
      </c>
      <c r="N25" s="49">
        <v>13</v>
      </c>
      <c r="O25" s="49">
        <v>13</v>
      </c>
      <c r="P25" s="49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49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49">
        <v>10</v>
      </c>
      <c r="N26" s="49">
        <v>10</v>
      </c>
      <c r="O26" s="49">
        <v>10</v>
      </c>
      <c r="P26" s="49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49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49">
        <v>5</v>
      </c>
      <c r="N28" s="49">
        <v>5</v>
      </c>
      <c r="O28" s="49">
        <v>5</v>
      </c>
      <c r="P28" s="49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49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49">
        <v>6</v>
      </c>
      <c r="N29" s="49">
        <v>6</v>
      </c>
      <c r="O29" s="49">
        <v>6</v>
      </c>
      <c r="P29" s="49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49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49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61">
        <v>6</v>
      </c>
      <c r="O31" s="61">
        <v>6</v>
      </c>
      <c r="P31" s="61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61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61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61">
        <v>5</v>
      </c>
      <c r="N33" s="61">
        <v>5</v>
      </c>
      <c r="O33" s="61">
        <v>5</v>
      </c>
      <c r="P33" s="61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61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61">
        <v>5</v>
      </c>
      <c r="N34" s="61">
        <v>5</v>
      </c>
      <c r="O34" s="61">
        <v>5</v>
      </c>
      <c r="P34" s="61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61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61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v>61.900000000000006</v>
      </c>
      <c r="C37" s="61">
        <v>61.900000000000006</v>
      </c>
      <c r="D37" s="61">
        <v>61.900000000000006</v>
      </c>
      <c r="E37" s="61">
        <v>61.900000000000006</v>
      </c>
      <c r="F37" s="61">
        <v>61.900000000000006</v>
      </c>
      <c r="G37" s="61">
        <v>61.900000000000006</v>
      </c>
      <c r="H37" s="61">
        <v>61.900000000000006</v>
      </c>
      <c r="I37" s="61">
        <v>61.900000000000006</v>
      </c>
      <c r="J37" s="61">
        <v>61.900000000000006</v>
      </c>
      <c r="K37" s="61">
        <v>61.900000000000006</v>
      </c>
      <c r="L37" s="61">
        <v>61.900000000000006</v>
      </c>
      <c r="M37" s="61">
        <f>26+38.5</f>
        <v>64.5</v>
      </c>
      <c r="N37" s="61">
        <f>26+38.5</f>
        <v>64.5</v>
      </c>
      <c r="O37" s="61">
        <f>28.8+38</f>
        <v>66.8</v>
      </c>
      <c r="P37" s="61">
        <f>28.8+38</f>
        <v>66.8</v>
      </c>
      <c r="Q37" s="70">
        <v>66.8</v>
      </c>
      <c r="R37" s="70">
        <f>29.3+33.5</f>
        <v>62.8</v>
      </c>
      <c r="S37" s="70">
        <f>29.4+34.8</f>
        <v>64.199999999999989</v>
      </c>
      <c r="T37" s="70">
        <f>29.4+34.8</f>
        <v>64.199999999999989</v>
      </c>
      <c r="U37" s="70">
        <f>29.4+34.8</f>
        <v>64.199999999999989</v>
      </c>
      <c r="V37" s="70">
        <f>29.4+34.8</f>
        <v>64.199999999999989</v>
      </c>
      <c r="W37" s="70">
        <f>27.6+33.9</f>
        <v>61.5</v>
      </c>
      <c r="X37" s="70">
        <v>61.5</v>
      </c>
      <c r="Y37" s="70">
        <v>61.5</v>
      </c>
      <c r="Z37" s="70">
        <v>61.5</v>
      </c>
      <c r="AA37" s="70">
        <f>32.2+27.2</f>
        <v>59.400000000000006</v>
      </c>
      <c r="AB37" s="70">
        <f>27.2+33.2</f>
        <v>60.400000000000006</v>
      </c>
      <c r="AC37" s="70">
        <f>27.2+33.2</f>
        <v>60.400000000000006</v>
      </c>
      <c r="AD37" s="70">
        <f>35+27</f>
        <v>62</v>
      </c>
      <c r="AE37" s="70">
        <f>28.1+39.3</f>
        <v>67.400000000000006</v>
      </c>
      <c r="AF37" s="61">
        <f>28.4+38.6</f>
        <v>67</v>
      </c>
      <c r="AG37" s="67">
        <v>240</v>
      </c>
      <c r="AH37" s="54">
        <f t="shared" si="2"/>
        <v>67.400000000000006</v>
      </c>
      <c r="AI37" s="55">
        <f t="shared" si="3"/>
        <v>59.400000000000006</v>
      </c>
      <c r="AK37" s="56"/>
    </row>
    <row r="38" spans="1:88" ht="15.75" thickBot="1" x14ac:dyDescent="0.3">
      <c r="A38" s="71" t="s">
        <v>46</v>
      </c>
      <c r="B38" s="72">
        <f>SUM(B11:B36)</f>
        <v>520.5</v>
      </c>
      <c r="C38" s="72">
        <f t="shared" ref="C38:AF38" si="4">SUM(C11:C36)</f>
        <v>484.5</v>
      </c>
      <c r="D38" s="72">
        <f t="shared" si="4"/>
        <v>494.5</v>
      </c>
      <c r="E38" s="72">
        <f t="shared" si="4"/>
        <v>514.5</v>
      </c>
      <c r="F38" s="72">
        <f t="shared" si="4"/>
        <v>514.5</v>
      </c>
      <c r="G38" s="72">
        <f t="shared" si="4"/>
        <v>524.5</v>
      </c>
      <c r="H38" s="72">
        <f t="shared" si="4"/>
        <v>604.5</v>
      </c>
      <c r="I38" s="72">
        <f t="shared" si="4"/>
        <v>654.5</v>
      </c>
      <c r="J38" s="72">
        <f t="shared" si="4"/>
        <v>664.5</v>
      </c>
      <c r="K38" s="72">
        <f t="shared" si="4"/>
        <v>724.5</v>
      </c>
      <c r="L38" s="72">
        <f t="shared" si="4"/>
        <v>804.5</v>
      </c>
      <c r="M38" s="72">
        <f t="shared" si="4"/>
        <v>764.5</v>
      </c>
      <c r="N38" s="72">
        <f t="shared" si="4"/>
        <v>804.5</v>
      </c>
      <c r="O38" s="72">
        <f t="shared" si="4"/>
        <v>754.5</v>
      </c>
      <c r="P38" s="72">
        <f t="shared" si="4"/>
        <v>754.5</v>
      </c>
      <c r="Q38" s="72">
        <f t="shared" si="4"/>
        <v>514.5</v>
      </c>
      <c r="R38" s="72">
        <f t="shared" si="4"/>
        <v>488.5</v>
      </c>
      <c r="S38" s="72">
        <f t="shared" si="4"/>
        <v>475.9</v>
      </c>
      <c r="T38" s="72">
        <f t="shared" si="4"/>
        <v>477.6</v>
      </c>
      <c r="U38" s="72">
        <f t="shared" si="4"/>
        <v>476.1</v>
      </c>
      <c r="V38" s="72">
        <f t="shared" si="4"/>
        <v>673.89999999999986</v>
      </c>
      <c r="W38" s="72">
        <f t="shared" si="4"/>
        <v>823.9</v>
      </c>
      <c r="X38" s="72">
        <f t="shared" si="4"/>
        <v>838.8</v>
      </c>
      <c r="Y38" s="72">
        <f t="shared" si="4"/>
        <v>808.8</v>
      </c>
      <c r="Z38" s="72">
        <f t="shared" si="4"/>
        <v>743.89999999999986</v>
      </c>
      <c r="AA38" s="72">
        <f t="shared" si="4"/>
        <v>743.5</v>
      </c>
      <c r="AB38" s="72">
        <f t="shared" si="4"/>
        <v>673.5</v>
      </c>
      <c r="AC38" s="72">
        <f t="shared" si="4"/>
        <v>623.5</v>
      </c>
      <c r="AD38" s="72">
        <f t="shared" si="4"/>
        <v>593.5</v>
      </c>
      <c r="AE38" s="72">
        <f t="shared" si="4"/>
        <v>513.79999999999995</v>
      </c>
      <c r="AF38" s="72">
        <f t="shared" si="4"/>
        <v>510.79999999999995</v>
      </c>
      <c r="AG38" s="67">
        <f>SUM(AG11:AG37)</f>
        <v>1492.8299999999997</v>
      </c>
      <c r="AH38" s="54">
        <f t="shared" si="2"/>
        <v>838.8</v>
      </c>
      <c r="AI38" s="55">
        <f t="shared" si="3"/>
        <v>475.9</v>
      </c>
      <c r="AK38" s="56"/>
    </row>
    <row r="39" spans="1:88" x14ac:dyDescent="0.25">
      <c r="A39" s="57" t="s">
        <v>47</v>
      </c>
      <c r="B39" s="49">
        <v>91</v>
      </c>
      <c r="C39" s="61">
        <v>66</v>
      </c>
      <c r="D39" s="61">
        <v>45</v>
      </c>
      <c r="E39" s="61">
        <v>35.700000000000003</v>
      </c>
      <c r="F39" s="61">
        <v>30</v>
      </c>
      <c r="G39" s="61">
        <v>30</v>
      </c>
      <c r="H39" s="61">
        <v>30</v>
      </c>
      <c r="I39" s="61">
        <v>60</v>
      </c>
      <c r="J39" s="61">
        <v>93</v>
      </c>
      <c r="K39" s="61">
        <v>145</v>
      </c>
      <c r="L39" s="61">
        <v>90</v>
      </c>
      <c r="M39" s="61">
        <v>145.80000000000001</v>
      </c>
      <c r="N39" s="61">
        <v>145.80000000000001</v>
      </c>
      <c r="O39" s="61">
        <v>145.80000000000001</v>
      </c>
      <c r="P39" s="61">
        <v>145.80000000000001</v>
      </c>
      <c r="Q39" s="50">
        <v>85.9</v>
      </c>
      <c r="R39" s="50">
        <v>86.3</v>
      </c>
      <c r="S39" s="50">
        <v>71.3</v>
      </c>
      <c r="T39" s="50">
        <v>81.099999999999994</v>
      </c>
      <c r="U39" s="50">
        <v>89.6</v>
      </c>
      <c r="V39" s="50">
        <v>111.9</v>
      </c>
      <c r="W39" s="50">
        <v>145.4</v>
      </c>
      <c r="X39" s="50">
        <v>145.4</v>
      </c>
      <c r="Y39" s="50">
        <v>145.4</v>
      </c>
      <c r="Z39" s="50">
        <v>145.19999999999999</v>
      </c>
      <c r="AA39" s="50">
        <v>145.19999999999999</v>
      </c>
      <c r="AB39" s="50">
        <v>140</v>
      </c>
      <c r="AC39" s="50">
        <v>102</v>
      </c>
      <c r="AD39" s="50">
        <v>81</v>
      </c>
      <c r="AE39" s="50">
        <v>60.7</v>
      </c>
      <c r="AF39" s="49">
        <v>61.2</v>
      </c>
      <c r="AG39" s="62">
        <v>144</v>
      </c>
      <c r="AH39" s="54">
        <f t="shared" si="2"/>
        <v>145.80000000000001</v>
      </c>
      <c r="AI39" s="55">
        <f t="shared" si="3"/>
        <v>30</v>
      </c>
      <c r="AK39" s="56"/>
    </row>
    <row r="40" spans="1:88" x14ac:dyDescent="0.25">
      <c r="A40" s="66" t="s">
        <v>48</v>
      </c>
      <c r="B40" s="61">
        <v>35</v>
      </c>
      <c r="C40" s="61">
        <v>36</v>
      </c>
      <c r="D40" s="61">
        <v>25</v>
      </c>
      <c r="E40" s="61">
        <v>35</v>
      </c>
      <c r="F40" s="61">
        <v>25</v>
      </c>
      <c r="G40" s="61">
        <v>25</v>
      </c>
      <c r="H40" s="61">
        <v>25</v>
      </c>
      <c r="I40" s="61">
        <v>50</v>
      </c>
      <c r="J40" s="61">
        <v>68.900000000000006</v>
      </c>
      <c r="K40" s="61">
        <v>70</v>
      </c>
      <c r="L40" s="61">
        <v>72</v>
      </c>
      <c r="M40" s="61">
        <v>69.8</v>
      </c>
      <c r="N40" s="61">
        <v>60.2</v>
      </c>
      <c r="O40" s="61">
        <v>68</v>
      </c>
      <c r="P40" s="61">
        <v>68</v>
      </c>
      <c r="Q40" s="73">
        <v>50.5</v>
      </c>
      <c r="R40" s="73">
        <v>46.2</v>
      </c>
      <c r="S40" s="73">
        <v>34.700000000000003</v>
      </c>
      <c r="T40" s="73">
        <v>34.700000000000003</v>
      </c>
      <c r="U40" s="73">
        <v>35</v>
      </c>
      <c r="V40" s="73">
        <v>50.7</v>
      </c>
      <c r="W40" s="73">
        <v>58</v>
      </c>
      <c r="X40" s="73">
        <v>72.400000000000006</v>
      </c>
      <c r="Y40" s="73">
        <v>72.400000000000006</v>
      </c>
      <c r="Z40" s="73">
        <v>71.3</v>
      </c>
      <c r="AA40" s="73">
        <v>71.3</v>
      </c>
      <c r="AB40" s="73">
        <v>69.400000000000006</v>
      </c>
      <c r="AC40" s="73">
        <v>69.400000000000006</v>
      </c>
      <c r="AD40" s="73">
        <v>69.400000000000006</v>
      </c>
      <c r="AE40" s="73">
        <v>23.1</v>
      </c>
      <c r="AF40" s="61">
        <v>25.6</v>
      </c>
      <c r="AG40" s="67">
        <v>70</v>
      </c>
      <c r="AH40" s="54">
        <f t="shared" si="2"/>
        <v>72.400000000000006</v>
      </c>
      <c r="AI40" s="55">
        <f t="shared" si="3"/>
        <v>23.1</v>
      </c>
      <c r="AK40" s="56"/>
    </row>
    <row r="41" spans="1:88" x14ac:dyDescent="0.25">
      <c r="A41" s="66" t="s">
        <v>49</v>
      </c>
      <c r="B41" s="61">
        <v>68</v>
      </c>
      <c r="C41" s="61">
        <v>69</v>
      </c>
      <c r="D41" s="61">
        <v>68</v>
      </c>
      <c r="E41" s="61">
        <v>68</v>
      </c>
      <c r="F41" s="61">
        <v>45</v>
      </c>
      <c r="G41" s="61">
        <v>45</v>
      </c>
      <c r="H41" s="61">
        <v>32</v>
      </c>
      <c r="I41" s="61">
        <v>33</v>
      </c>
      <c r="J41" s="61">
        <v>60</v>
      </c>
      <c r="K41" s="61">
        <v>68</v>
      </c>
      <c r="L41" s="61">
        <v>67.5</v>
      </c>
      <c r="M41" s="61">
        <v>67</v>
      </c>
      <c r="N41" s="61">
        <v>52.1</v>
      </c>
      <c r="O41" s="61">
        <v>46.9</v>
      </c>
      <c r="P41" s="61">
        <v>46.9</v>
      </c>
      <c r="Q41" s="73">
        <v>33</v>
      </c>
      <c r="R41" s="73">
        <v>34.1</v>
      </c>
      <c r="S41" s="73">
        <v>34.299999999999997</v>
      </c>
      <c r="T41" s="73">
        <v>34.299999999999997</v>
      </c>
      <c r="U41" s="73">
        <v>60</v>
      </c>
      <c r="V41" s="73">
        <v>69.099999999999994</v>
      </c>
      <c r="W41" s="73">
        <v>69.099999999999994</v>
      </c>
      <c r="X41" s="73">
        <v>69.099999999999994</v>
      </c>
      <c r="Y41" s="73">
        <v>69.099999999999994</v>
      </c>
      <c r="Z41" s="73">
        <v>68</v>
      </c>
      <c r="AA41" s="73">
        <v>68</v>
      </c>
      <c r="AB41" s="73">
        <v>68</v>
      </c>
      <c r="AC41" s="73">
        <v>68</v>
      </c>
      <c r="AD41" s="73">
        <v>54</v>
      </c>
      <c r="AE41" s="73">
        <v>57.6</v>
      </c>
      <c r="AF41" s="61">
        <v>49.4</v>
      </c>
      <c r="AG41" s="67">
        <v>69</v>
      </c>
      <c r="AH41" s="54">
        <f t="shared" si="2"/>
        <v>69.099999999999994</v>
      </c>
      <c r="AI41" s="55">
        <f t="shared" si="3"/>
        <v>32</v>
      </c>
      <c r="AK41" s="56"/>
    </row>
    <row r="42" spans="1:88" x14ac:dyDescent="0.25">
      <c r="A42" s="66" t="s">
        <v>50</v>
      </c>
      <c r="B42" s="61">
        <v>60.4</v>
      </c>
      <c r="C42" s="61">
        <v>60.4</v>
      </c>
      <c r="D42" s="61">
        <v>60.4</v>
      </c>
      <c r="E42" s="61">
        <v>60</v>
      </c>
      <c r="F42" s="61">
        <v>60</v>
      </c>
      <c r="G42" s="61">
        <v>60</v>
      </c>
      <c r="H42" s="61">
        <v>60</v>
      </c>
      <c r="I42" s="61">
        <v>60</v>
      </c>
      <c r="J42" s="61">
        <v>60</v>
      </c>
      <c r="K42" s="61">
        <v>60</v>
      </c>
      <c r="L42" s="61">
        <v>60</v>
      </c>
      <c r="M42" s="61">
        <v>60.4</v>
      </c>
      <c r="N42" s="61">
        <v>60.4</v>
      </c>
      <c r="O42" s="61">
        <v>60.4</v>
      </c>
      <c r="P42" s="61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61">
        <v>60.4</v>
      </c>
      <c r="AG42" s="67">
        <v>60</v>
      </c>
      <c r="AH42" s="54">
        <f t="shared" si="2"/>
        <v>60.4</v>
      </c>
      <c r="AI42" s="55">
        <f t="shared" si="3"/>
        <v>60</v>
      </c>
      <c r="AK42" s="56"/>
    </row>
    <row r="43" spans="1:88" x14ac:dyDescent="0.25">
      <c r="A43" s="66" t="s">
        <v>51</v>
      </c>
      <c r="B43" s="61">
        <v>15</v>
      </c>
      <c r="C43" s="61">
        <v>0</v>
      </c>
      <c r="D43" s="61">
        <v>0</v>
      </c>
      <c r="E43" s="61">
        <v>0</v>
      </c>
      <c r="F43" s="61">
        <v>10</v>
      </c>
      <c r="G43" s="61">
        <v>24</v>
      </c>
      <c r="H43" s="61">
        <v>24</v>
      </c>
      <c r="I43" s="61">
        <v>30</v>
      </c>
      <c r="J43" s="61">
        <v>30</v>
      </c>
      <c r="K43" s="61">
        <v>30</v>
      </c>
      <c r="L43" s="61">
        <v>30</v>
      </c>
      <c r="M43" s="61">
        <v>30</v>
      </c>
      <c r="N43" s="61">
        <v>15</v>
      </c>
      <c r="O43" s="61">
        <v>15</v>
      </c>
      <c r="P43" s="61">
        <v>10</v>
      </c>
      <c r="Q43" s="50">
        <v>0</v>
      </c>
      <c r="R43" s="50">
        <v>0</v>
      </c>
      <c r="S43" s="50">
        <v>10.4</v>
      </c>
      <c r="T43" s="50">
        <v>10.4</v>
      </c>
      <c r="U43" s="50">
        <v>10.7</v>
      </c>
      <c r="V43" s="50">
        <v>22.3</v>
      </c>
      <c r="W43" s="50">
        <v>27.9</v>
      </c>
      <c r="X43" s="50">
        <v>27.9</v>
      </c>
      <c r="Y43" s="50">
        <v>27.9</v>
      </c>
      <c r="Z43" s="50">
        <v>27.9</v>
      </c>
      <c r="AA43" s="50">
        <v>27.9</v>
      </c>
      <c r="AB43" s="73">
        <v>22.6</v>
      </c>
      <c r="AC43" s="73">
        <v>15.4</v>
      </c>
      <c r="AD43" s="73">
        <v>15.4</v>
      </c>
      <c r="AE43" s="73">
        <v>9.6</v>
      </c>
      <c r="AF43" s="61">
        <v>10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61">
        <v>18</v>
      </c>
      <c r="Q45" s="61">
        <v>18</v>
      </c>
      <c r="R45" s="61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50">
        <v>0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61">
        <v>2.5</v>
      </c>
      <c r="AG46" s="67">
        <v>15</v>
      </c>
      <c r="AH46" s="54">
        <f t="shared" si="2"/>
        <v>2.5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12</v>
      </c>
      <c r="C47" s="61">
        <v>12</v>
      </c>
      <c r="D47" s="61">
        <v>12</v>
      </c>
      <c r="E47" s="61">
        <v>12</v>
      </c>
      <c r="F47" s="61">
        <v>12</v>
      </c>
      <c r="G47" s="61">
        <v>12</v>
      </c>
      <c r="H47" s="61">
        <v>12</v>
      </c>
      <c r="I47" s="61">
        <v>12</v>
      </c>
      <c r="J47" s="61">
        <v>12</v>
      </c>
      <c r="K47" s="61">
        <v>12</v>
      </c>
      <c r="L47" s="61">
        <v>12</v>
      </c>
      <c r="M47" s="61">
        <v>12</v>
      </c>
      <c r="N47" s="61">
        <v>12</v>
      </c>
      <c r="O47" s="61">
        <v>12</v>
      </c>
      <c r="P47" s="61">
        <v>12</v>
      </c>
      <c r="Q47" s="61">
        <v>12</v>
      </c>
      <c r="R47" s="61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61">
        <v>12</v>
      </c>
      <c r="AG47" s="67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4</v>
      </c>
      <c r="C48" s="61">
        <v>4</v>
      </c>
      <c r="D48" s="61">
        <v>4</v>
      </c>
      <c r="E48" s="61">
        <v>4</v>
      </c>
      <c r="F48" s="61">
        <v>4</v>
      </c>
      <c r="G48" s="61">
        <v>4</v>
      </c>
      <c r="H48" s="61">
        <v>4</v>
      </c>
      <c r="I48" s="61">
        <v>4</v>
      </c>
      <c r="J48" s="61">
        <v>4</v>
      </c>
      <c r="K48" s="61">
        <v>4</v>
      </c>
      <c r="L48" s="61">
        <v>4</v>
      </c>
      <c r="M48" s="61">
        <v>4</v>
      </c>
      <c r="N48" s="61">
        <v>4</v>
      </c>
      <c r="O48" s="61">
        <v>4</v>
      </c>
      <c r="P48" s="61">
        <v>4</v>
      </c>
      <c r="Q48" s="61">
        <v>4</v>
      </c>
      <c r="R48" s="61">
        <v>4</v>
      </c>
      <c r="S48" s="50">
        <v>4</v>
      </c>
      <c r="T48" s="50">
        <v>4</v>
      </c>
      <c r="U48" s="50">
        <v>4</v>
      </c>
      <c r="V48" s="50">
        <v>4</v>
      </c>
      <c r="W48" s="50">
        <v>4</v>
      </c>
      <c r="X48" s="50">
        <v>4</v>
      </c>
      <c r="Y48" s="50">
        <v>4</v>
      </c>
      <c r="Z48" s="50">
        <v>4</v>
      </c>
      <c r="AA48" s="50">
        <v>4</v>
      </c>
      <c r="AB48" s="50">
        <v>4</v>
      </c>
      <c r="AC48" s="50">
        <v>4</v>
      </c>
      <c r="AD48" s="50">
        <v>4</v>
      </c>
      <c r="AE48" s="50">
        <v>4</v>
      </c>
      <c r="AF48" s="61">
        <v>4</v>
      </c>
      <c r="AG48" s="67">
        <v>14</v>
      </c>
      <c r="AH48" s="54">
        <f t="shared" si="2"/>
        <v>4</v>
      </c>
      <c r="AI48" s="55">
        <f t="shared" si="3"/>
        <v>4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61">
        <v>8</v>
      </c>
      <c r="N49" s="61">
        <v>8</v>
      </c>
      <c r="O49" s="61">
        <v>8</v>
      </c>
      <c r="P49" s="61">
        <v>8</v>
      </c>
      <c r="Q49" s="61">
        <v>8</v>
      </c>
      <c r="R49" s="61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61">
        <v>4.4000000000000004</v>
      </c>
      <c r="Q50" s="61">
        <v>4.4000000000000004</v>
      </c>
      <c r="R50" s="61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319.33999999999997</v>
      </c>
      <c r="C52" s="72">
        <f t="shared" ref="C52:AF52" si="6">SUM(C39:C51)</f>
        <v>281.33999999999997</v>
      </c>
      <c r="D52" s="72">
        <f t="shared" si="6"/>
        <v>248.34</v>
      </c>
      <c r="E52" s="72">
        <f t="shared" si="6"/>
        <v>248.64</v>
      </c>
      <c r="F52" s="72">
        <f t="shared" si="6"/>
        <v>219.94</v>
      </c>
      <c r="G52" s="72">
        <f t="shared" si="6"/>
        <v>233.94</v>
      </c>
      <c r="H52" s="72">
        <f t="shared" si="6"/>
        <v>220.94</v>
      </c>
      <c r="I52" s="72">
        <f t="shared" si="6"/>
        <v>282.94</v>
      </c>
      <c r="J52" s="72">
        <f t="shared" si="6"/>
        <v>361.84</v>
      </c>
      <c r="K52" s="72">
        <f t="shared" si="6"/>
        <v>422.94</v>
      </c>
      <c r="L52" s="72">
        <f t="shared" si="6"/>
        <v>369.44</v>
      </c>
      <c r="M52" s="72">
        <f t="shared" si="6"/>
        <v>422.94</v>
      </c>
      <c r="N52" s="72">
        <f t="shared" si="6"/>
        <v>383.44</v>
      </c>
      <c r="O52" s="72">
        <f t="shared" si="6"/>
        <v>386.03999999999996</v>
      </c>
      <c r="P52" s="72">
        <f t="shared" si="6"/>
        <v>381.03999999999996</v>
      </c>
      <c r="Q52" s="72">
        <f t="shared" si="6"/>
        <v>279.74</v>
      </c>
      <c r="R52" s="72">
        <f t="shared" si="6"/>
        <v>276.94</v>
      </c>
      <c r="S52" s="72">
        <f t="shared" si="6"/>
        <v>261.04000000000002</v>
      </c>
      <c r="T52" s="72">
        <f t="shared" si="6"/>
        <v>273.33999999999997</v>
      </c>
      <c r="U52" s="72">
        <f t="shared" si="6"/>
        <v>308.14</v>
      </c>
      <c r="V52" s="72">
        <f t="shared" si="6"/>
        <v>366.84000000000003</v>
      </c>
      <c r="W52" s="72">
        <f t="shared" si="6"/>
        <v>413.23999999999995</v>
      </c>
      <c r="X52" s="72">
        <f t="shared" si="6"/>
        <v>427.63999999999993</v>
      </c>
      <c r="Y52" s="72">
        <f t="shared" si="6"/>
        <v>427.63999999999993</v>
      </c>
      <c r="Z52" s="72">
        <f t="shared" si="6"/>
        <v>425.23999999999995</v>
      </c>
      <c r="AA52" s="72">
        <f t="shared" si="6"/>
        <v>425.23999999999995</v>
      </c>
      <c r="AB52" s="72">
        <f t="shared" si="6"/>
        <v>412.84</v>
      </c>
      <c r="AC52" s="72">
        <f t="shared" si="6"/>
        <v>367.64</v>
      </c>
      <c r="AD52" s="72">
        <f t="shared" si="6"/>
        <v>332.64</v>
      </c>
      <c r="AE52" s="72">
        <f t="shared" si="6"/>
        <v>263.84000000000003</v>
      </c>
      <c r="AF52" s="72">
        <f t="shared" si="6"/>
        <v>259.04000000000002</v>
      </c>
      <c r="AG52" s="78">
        <f>SUM(AG39:AG51)</f>
        <v>489.91</v>
      </c>
      <c r="AH52" s="54">
        <f t="shared" si="2"/>
        <v>427.63999999999993</v>
      </c>
      <c r="AI52" s="55">
        <f t="shared" si="3"/>
        <v>219.94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61">
        <v>20</v>
      </c>
      <c r="L53" s="61">
        <v>58.5</v>
      </c>
      <c r="M53" s="79">
        <v>50</v>
      </c>
      <c r="N53" s="79">
        <v>29.5</v>
      </c>
      <c r="O53" s="79">
        <v>30.2</v>
      </c>
      <c r="P53" s="79">
        <v>30.2</v>
      </c>
      <c r="Q53" s="50">
        <v>55.7</v>
      </c>
      <c r="R53" s="50">
        <v>13.9</v>
      </c>
      <c r="S53" s="50">
        <v>0</v>
      </c>
      <c r="T53" s="50">
        <v>10</v>
      </c>
      <c r="U53" s="50">
        <v>29.9</v>
      </c>
      <c r="V53" s="50">
        <v>50.6</v>
      </c>
      <c r="W53" s="50">
        <v>50.6</v>
      </c>
      <c r="X53" s="50">
        <v>53.5</v>
      </c>
      <c r="Y53" s="50">
        <v>53.5</v>
      </c>
      <c r="Z53" s="50">
        <v>60</v>
      </c>
      <c r="AA53" s="50">
        <v>60</v>
      </c>
      <c r="AB53" s="50">
        <v>59.8</v>
      </c>
      <c r="AC53" s="50">
        <v>59.8</v>
      </c>
      <c r="AD53" s="50">
        <v>59.8</v>
      </c>
      <c r="AE53" s="50">
        <v>19.8</v>
      </c>
      <c r="AF53" s="50">
        <v>20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61">
        <v>28.3</v>
      </c>
      <c r="M54" s="79">
        <v>23.1</v>
      </c>
      <c r="N54" s="79">
        <v>14.4</v>
      </c>
      <c r="O54" s="79">
        <v>14.6</v>
      </c>
      <c r="P54" s="79">
        <v>14.6</v>
      </c>
      <c r="Q54" s="73">
        <v>25.7</v>
      </c>
      <c r="R54" s="73">
        <v>15.6</v>
      </c>
      <c r="S54" s="50">
        <v>0</v>
      </c>
      <c r="T54" s="50">
        <v>4.8</v>
      </c>
      <c r="U54" s="50">
        <v>10.199999999999999</v>
      </c>
      <c r="V54" s="73">
        <v>24.3</v>
      </c>
      <c r="W54" s="73">
        <v>23.7</v>
      </c>
      <c r="X54" s="73">
        <v>25.2</v>
      </c>
      <c r="Y54" s="73">
        <v>25.2</v>
      </c>
      <c r="Z54" s="73">
        <v>29.2</v>
      </c>
      <c r="AA54" s="73">
        <v>29.2</v>
      </c>
      <c r="AB54" s="73">
        <v>29.2</v>
      </c>
      <c r="AC54" s="73">
        <v>29.2</v>
      </c>
      <c r="AD54" s="73">
        <v>29.2</v>
      </c>
      <c r="AE54" s="73">
        <v>20</v>
      </c>
      <c r="AF54" s="73">
        <v>4.7</v>
      </c>
      <c r="AG54" s="67">
        <v>32</v>
      </c>
      <c r="AH54" s="54">
        <f t="shared" si="2"/>
        <v>29.2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>
        <v>0</v>
      </c>
      <c r="L55" s="74">
        <v>10.3</v>
      </c>
      <c r="M55" s="81">
        <v>8.4</v>
      </c>
      <c r="N55" s="81">
        <v>5.2</v>
      </c>
      <c r="O55" s="81">
        <v>5.3</v>
      </c>
      <c r="P55" s="81">
        <v>5.3</v>
      </c>
      <c r="Q55" s="80">
        <v>9.4</v>
      </c>
      <c r="R55" s="80">
        <v>5.7</v>
      </c>
      <c r="S55" s="50">
        <v>0</v>
      </c>
      <c r="T55" s="50">
        <v>1.8</v>
      </c>
      <c r="U55" s="50">
        <v>3.7</v>
      </c>
      <c r="V55" s="80">
        <v>8.9</v>
      </c>
      <c r="W55" s="80">
        <v>8.6999999999999993</v>
      </c>
      <c r="X55" s="80">
        <v>9.1999999999999993</v>
      </c>
      <c r="Y55" s="80">
        <v>9.1999999999999993</v>
      </c>
      <c r="Z55" s="80">
        <v>10.7</v>
      </c>
      <c r="AA55" s="80">
        <v>10.7</v>
      </c>
      <c r="AB55" s="80">
        <v>10.7</v>
      </c>
      <c r="AC55" s="80">
        <v>10.7</v>
      </c>
      <c r="AD55" s="80">
        <v>10.7</v>
      </c>
      <c r="AE55" s="80">
        <v>7.3</v>
      </c>
      <c r="AF55" s="80">
        <v>1.7</v>
      </c>
      <c r="AG55" s="82">
        <v>14</v>
      </c>
      <c r="AH55" s="54">
        <f t="shared" si="2"/>
        <v>10.7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20</v>
      </c>
      <c r="L56" s="72">
        <f t="shared" si="7"/>
        <v>97.1</v>
      </c>
      <c r="M56" s="72">
        <f t="shared" si="7"/>
        <v>81.5</v>
      </c>
      <c r="N56" s="72">
        <f t="shared" si="7"/>
        <v>49.1</v>
      </c>
      <c r="O56" s="72">
        <f t="shared" si="7"/>
        <v>50.099999999999994</v>
      </c>
      <c r="P56" s="72">
        <f t="shared" si="7"/>
        <v>50.099999999999994</v>
      </c>
      <c r="Q56" s="72">
        <f t="shared" si="7"/>
        <v>90.800000000000011</v>
      </c>
      <c r="R56" s="72">
        <f t="shared" si="7"/>
        <v>35.200000000000003</v>
      </c>
      <c r="S56" s="72">
        <f t="shared" si="7"/>
        <v>0</v>
      </c>
      <c r="T56" s="72">
        <f t="shared" si="7"/>
        <v>16.600000000000001</v>
      </c>
      <c r="U56" s="72">
        <f t="shared" si="7"/>
        <v>43.8</v>
      </c>
      <c r="V56" s="72">
        <f t="shared" si="7"/>
        <v>83.800000000000011</v>
      </c>
      <c r="W56" s="72">
        <f t="shared" si="7"/>
        <v>83</v>
      </c>
      <c r="X56" s="72">
        <f t="shared" si="7"/>
        <v>87.9</v>
      </c>
      <c r="Y56" s="72">
        <f t="shared" si="7"/>
        <v>87.9</v>
      </c>
      <c r="Z56" s="72">
        <f t="shared" si="7"/>
        <v>99.9</v>
      </c>
      <c r="AA56" s="72">
        <f t="shared" si="7"/>
        <v>99.9</v>
      </c>
      <c r="AB56" s="72">
        <f t="shared" si="7"/>
        <v>99.7</v>
      </c>
      <c r="AC56" s="72">
        <f t="shared" si="7"/>
        <v>99.7</v>
      </c>
      <c r="AD56" s="72">
        <f t="shared" si="7"/>
        <v>99.7</v>
      </c>
      <c r="AE56" s="72">
        <f t="shared" si="7"/>
        <v>47.099999999999994</v>
      </c>
      <c r="AF56" s="72">
        <f t="shared" si="7"/>
        <v>26.4</v>
      </c>
      <c r="AG56" s="78">
        <f>SUM(AG53:AG55)</f>
        <v>106</v>
      </c>
      <c r="AH56" s="54">
        <f t="shared" si="2"/>
        <v>99.9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40</v>
      </c>
      <c r="M57" s="50">
        <v>40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40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73.099999999999994</v>
      </c>
      <c r="Y58" s="83">
        <v>75.5</v>
      </c>
      <c r="Z58" s="83">
        <v>68.2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75.5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80</v>
      </c>
      <c r="C59" s="73">
        <v>90</v>
      </c>
      <c r="D59" s="73">
        <v>78</v>
      </c>
      <c r="E59" s="73">
        <v>95</v>
      </c>
      <c r="F59" s="73">
        <v>104</v>
      </c>
      <c r="G59" s="73">
        <v>118</v>
      </c>
      <c r="H59" s="73">
        <v>150</v>
      </c>
      <c r="I59" s="73">
        <v>123</v>
      </c>
      <c r="J59" s="73">
        <v>165</v>
      </c>
      <c r="K59" s="73">
        <v>117</v>
      </c>
      <c r="L59" s="73">
        <v>65</v>
      </c>
      <c r="M59" s="73">
        <v>67.099999999999994</v>
      </c>
      <c r="N59" s="73">
        <v>11.1</v>
      </c>
      <c r="O59" s="73">
        <v>28.7</v>
      </c>
      <c r="P59" s="73">
        <v>28.7</v>
      </c>
      <c r="Q59" s="73">
        <v>320</v>
      </c>
      <c r="R59" s="73">
        <v>328</v>
      </c>
      <c r="S59" s="73">
        <v>325</v>
      </c>
      <c r="T59" s="73">
        <v>316.89999999999998</v>
      </c>
      <c r="U59" s="73">
        <v>326.89999999999998</v>
      </c>
      <c r="V59" s="73">
        <v>118</v>
      </c>
      <c r="W59" s="73">
        <v>77.599999999999994</v>
      </c>
      <c r="X59" s="84">
        <v>18.100000000000001</v>
      </c>
      <c r="Y59" s="84">
        <v>21.6</v>
      </c>
      <c r="Z59" s="84">
        <v>35.5</v>
      </c>
      <c r="AA59" s="84">
        <v>75.5</v>
      </c>
      <c r="AB59" s="73">
        <v>162</v>
      </c>
      <c r="AC59" s="73">
        <v>192</v>
      </c>
      <c r="AD59" s="73">
        <v>192</v>
      </c>
      <c r="AE59" s="73">
        <v>175</v>
      </c>
      <c r="AF59" s="73">
        <v>120</v>
      </c>
      <c r="AG59" s="85"/>
      <c r="AH59" s="54">
        <f t="shared" si="2"/>
        <v>328</v>
      </c>
      <c r="AI59" s="55">
        <f t="shared" si="3"/>
        <v>11.1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30</v>
      </c>
      <c r="F60" s="58">
        <v>30</v>
      </c>
      <c r="G60" s="58">
        <v>30</v>
      </c>
      <c r="H60" s="58">
        <v>30</v>
      </c>
      <c r="I60" s="58">
        <v>40</v>
      </c>
      <c r="J60" s="58">
        <v>40</v>
      </c>
      <c r="K60" s="58">
        <v>40</v>
      </c>
      <c r="L60" s="58">
        <v>40</v>
      </c>
      <c r="M60" s="58">
        <v>47.8</v>
      </c>
      <c r="N60" s="58">
        <v>54.9</v>
      </c>
      <c r="O60" s="58">
        <v>50</v>
      </c>
      <c r="P60" s="58">
        <v>50</v>
      </c>
      <c r="Q60" s="73">
        <v>45</v>
      </c>
      <c r="R60" s="73">
        <v>46</v>
      </c>
      <c r="S60" s="73">
        <v>45</v>
      </c>
      <c r="T60" s="73">
        <v>44</v>
      </c>
      <c r="U60" s="73">
        <v>32.700000000000003</v>
      </c>
      <c r="V60" s="73">
        <v>47</v>
      </c>
      <c r="W60" s="73">
        <v>50</v>
      </c>
      <c r="X60" s="73">
        <v>52.5</v>
      </c>
      <c r="Y60" s="73">
        <v>52</v>
      </c>
      <c r="Z60" s="73">
        <v>50</v>
      </c>
      <c r="AA60" s="73">
        <v>48</v>
      </c>
      <c r="AB60" s="73">
        <v>46</v>
      </c>
      <c r="AC60" s="73">
        <v>43</v>
      </c>
      <c r="AD60" s="73">
        <v>40</v>
      </c>
      <c r="AE60" s="73">
        <v>40</v>
      </c>
      <c r="AF60" s="58">
        <v>40</v>
      </c>
      <c r="AG60" s="85"/>
      <c r="AH60" s="54">
        <f t="shared" si="2"/>
        <v>54.9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0">
        <v>55</v>
      </c>
      <c r="T61" s="50">
        <v>55</v>
      </c>
      <c r="U61" s="50">
        <v>55</v>
      </c>
      <c r="V61" s="50">
        <v>55</v>
      </c>
      <c r="W61" s="50">
        <v>74.5</v>
      </c>
      <c r="X61" s="50">
        <v>81.2</v>
      </c>
      <c r="Y61" s="50">
        <v>80.8</v>
      </c>
      <c r="Z61" s="50">
        <v>73.2</v>
      </c>
      <c r="AA61" s="50">
        <v>65.400000000000006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81.2</v>
      </c>
      <c r="AI61" s="55">
        <f t="shared" si="3"/>
        <v>0</v>
      </c>
      <c r="AK61" s="56"/>
    </row>
    <row r="62" spans="1:37" x14ac:dyDescent="0.25">
      <c r="A62" s="66" t="s">
        <v>70</v>
      </c>
      <c r="B62" s="50">
        <v>0</v>
      </c>
      <c r="C62" s="50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0">
        <v>0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0">
        <v>0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80</v>
      </c>
      <c r="C68" s="72">
        <f>SUM(C57:C67)</f>
        <v>90</v>
      </c>
      <c r="D68" s="72">
        <f t="shared" ref="D68:AF68" si="8">SUM(D57:D67)</f>
        <v>78</v>
      </c>
      <c r="E68" s="72">
        <f t="shared" si="8"/>
        <v>125</v>
      </c>
      <c r="F68" s="72">
        <f t="shared" si="8"/>
        <v>134</v>
      </c>
      <c r="G68" s="72">
        <f t="shared" si="8"/>
        <v>148</v>
      </c>
      <c r="H68" s="72">
        <f t="shared" si="8"/>
        <v>180</v>
      </c>
      <c r="I68" s="72">
        <f t="shared" si="8"/>
        <v>163</v>
      </c>
      <c r="J68" s="72">
        <f t="shared" si="8"/>
        <v>205</v>
      </c>
      <c r="K68" s="72">
        <f t="shared" si="8"/>
        <v>157</v>
      </c>
      <c r="L68" s="72">
        <f t="shared" si="8"/>
        <v>145</v>
      </c>
      <c r="M68" s="72">
        <f t="shared" si="8"/>
        <v>154.89999999999998</v>
      </c>
      <c r="N68" s="72">
        <f t="shared" si="8"/>
        <v>66</v>
      </c>
      <c r="O68" s="72">
        <f t="shared" si="8"/>
        <v>78.7</v>
      </c>
      <c r="P68" s="72">
        <f t="shared" si="8"/>
        <v>78.7</v>
      </c>
      <c r="Q68" s="72">
        <f t="shared" si="8"/>
        <v>365</v>
      </c>
      <c r="R68" s="72">
        <f t="shared" si="8"/>
        <v>374</v>
      </c>
      <c r="S68" s="72">
        <f t="shared" si="8"/>
        <v>425</v>
      </c>
      <c r="T68" s="72">
        <f t="shared" si="8"/>
        <v>415.9</v>
      </c>
      <c r="U68" s="72">
        <f t="shared" si="8"/>
        <v>414.59999999999997</v>
      </c>
      <c r="V68" s="72">
        <f t="shared" si="8"/>
        <v>220</v>
      </c>
      <c r="W68" s="72">
        <f t="shared" si="8"/>
        <v>202.1</v>
      </c>
      <c r="X68" s="72">
        <f t="shared" si="8"/>
        <v>224.89999999999998</v>
      </c>
      <c r="Y68" s="72">
        <f t="shared" si="8"/>
        <v>229.89999999999998</v>
      </c>
      <c r="Z68" s="72">
        <f t="shared" si="8"/>
        <v>226.89999999999998</v>
      </c>
      <c r="AA68" s="72">
        <f t="shared" si="8"/>
        <v>188.9</v>
      </c>
      <c r="AB68" s="72">
        <f t="shared" si="8"/>
        <v>208</v>
      </c>
      <c r="AC68" s="72">
        <f t="shared" si="8"/>
        <v>235</v>
      </c>
      <c r="AD68" s="72">
        <f t="shared" si="8"/>
        <v>232</v>
      </c>
      <c r="AE68" s="72">
        <f t="shared" si="8"/>
        <v>215</v>
      </c>
      <c r="AF68" s="72">
        <f t="shared" si="8"/>
        <v>160</v>
      </c>
      <c r="AG68" s="78">
        <f>SUM(AG57:AG67)</f>
        <v>0</v>
      </c>
      <c r="AH68" s="54">
        <f t="shared" si="2"/>
        <v>425</v>
      </c>
      <c r="AI68" s="55">
        <f t="shared" si="3"/>
        <v>66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919.83999999999992</v>
      </c>
      <c r="C73" s="89">
        <f>C68+C56+C52+C38+C72</f>
        <v>855.83999999999992</v>
      </c>
      <c r="D73" s="89">
        <f t="shared" ref="D73:AG73" si="10">D68+D56+D52+D38+D72</f>
        <v>820.84</v>
      </c>
      <c r="E73" s="89">
        <f t="shared" si="10"/>
        <v>888.14</v>
      </c>
      <c r="F73" s="89">
        <f t="shared" si="10"/>
        <v>868.44</v>
      </c>
      <c r="G73" s="89">
        <f t="shared" si="10"/>
        <v>906.44</v>
      </c>
      <c r="H73" s="89">
        <f t="shared" si="10"/>
        <v>1005.44</v>
      </c>
      <c r="I73" s="89">
        <f t="shared" si="10"/>
        <v>1100.44</v>
      </c>
      <c r="J73" s="89">
        <f t="shared" si="10"/>
        <v>1231.3399999999999</v>
      </c>
      <c r="K73" s="89">
        <f t="shared" si="10"/>
        <v>1324.44</v>
      </c>
      <c r="L73" s="89">
        <f t="shared" si="10"/>
        <v>1416.04</v>
      </c>
      <c r="M73" s="89">
        <f t="shared" si="10"/>
        <v>1423.84</v>
      </c>
      <c r="N73" s="89">
        <f t="shared" si="10"/>
        <v>1303.04</v>
      </c>
      <c r="O73" s="89">
        <f t="shared" si="10"/>
        <v>1269.3399999999999</v>
      </c>
      <c r="P73" s="89">
        <f t="shared" si="10"/>
        <v>1264.3399999999999</v>
      </c>
      <c r="Q73" s="89">
        <f t="shared" si="10"/>
        <v>1250.04</v>
      </c>
      <c r="R73" s="89">
        <f t="shared" si="10"/>
        <v>1174.6399999999999</v>
      </c>
      <c r="S73" s="89">
        <f t="shared" si="10"/>
        <v>1161.94</v>
      </c>
      <c r="T73" s="89">
        <f t="shared" si="10"/>
        <v>1183.44</v>
      </c>
      <c r="U73" s="89">
        <f t="shared" si="10"/>
        <v>1242.6399999999999</v>
      </c>
      <c r="V73" s="89">
        <f t="shared" si="10"/>
        <v>1344.54</v>
      </c>
      <c r="W73" s="89">
        <f t="shared" si="10"/>
        <v>1522.2399999999998</v>
      </c>
      <c r="X73" s="89">
        <f t="shared" si="10"/>
        <v>1579.2399999999998</v>
      </c>
      <c r="Y73" s="89">
        <f t="shared" si="10"/>
        <v>1554.2399999999998</v>
      </c>
      <c r="Z73" s="89">
        <f t="shared" si="10"/>
        <v>1495.9399999999998</v>
      </c>
      <c r="AA73" s="89">
        <f t="shared" si="10"/>
        <v>1457.54</v>
      </c>
      <c r="AB73" s="89">
        <f t="shared" si="10"/>
        <v>1394.04</v>
      </c>
      <c r="AC73" s="89">
        <f t="shared" si="10"/>
        <v>1325.84</v>
      </c>
      <c r="AD73" s="89">
        <f t="shared" si="10"/>
        <v>1257.8399999999999</v>
      </c>
      <c r="AE73" s="89">
        <f t="shared" si="10"/>
        <v>1039.74</v>
      </c>
      <c r="AF73" s="89">
        <f t="shared" si="10"/>
        <v>956.24</v>
      </c>
      <c r="AG73" s="89">
        <f t="shared" si="10"/>
        <v>2144.14</v>
      </c>
      <c r="AH73" s="54">
        <f t="shared" si="2"/>
        <v>1579.2399999999998</v>
      </c>
      <c r="AI73" s="55">
        <f t="shared" si="3"/>
        <v>820.84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>
        <v>30</v>
      </c>
      <c r="Y74" s="91">
        <v>8</v>
      </c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8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919.83999999999992</v>
      </c>
      <c r="C75" s="89">
        <f>C73+C74</f>
        <v>855.83999999999992</v>
      </c>
      <c r="D75" s="89">
        <f t="shared" ref="D75:AF75" si="11">D72+D68+D56+D52+D38+D74</f>
        <v>820.84</v>
      </c>
      <c r="E75" s="89">
        <f t="shared" si="11"/>
        <v>888.14</v>
      </c>
      <c r="F75" s="89">
        <f t="shared" si="11"/>
        <v>868.44</v>
      </c>
      <c r="G75" s="89">
        <f t="shared" si="11"/>
        <v>906.44</v>
      </c>
      <c r="H75" s="89">
        <f t="shared" si="11"/>
        <v>1005.44</v>
      </c>
      <c r="I75" s="89">
        <f t="shared" si="11"/>
        <v>1100.44</v>
      </c>
      <c r="J75" s="89">
        <f t="shared" si="11"/>
        <v>1231.3399999999999</v>
      </c>
      <c r="K75" s="89">
        <f t="shared" si="11"/>
        <v>1324.44</v>
      </c>
      <c r="L75" s="89">
        <f t="shared" si="11"/>
        <v>1416.04</v>
      </c>
      <c r="M75" s="89">
        <f t="shared" si="11"/>
        <v>1423.84</v>
      </c>
      <c r="N75" s="89">
        <f t="shared" si="11"/>
        <v>1303.04</v>
      </c>
      <c r="O75" s="89">
        <f t="shared" si="11"/>
        <v>1269.3399999999999</v>
      </c>
      <c r="P75" s="89">
        <f t="shared" si="11"/>
        <v>1264.3399999999999</v>
      </c>
      <c r="Q75" s="89">
        <f t="shared" si="11"/>
        <v>1250.04</v>
      </c>
      <c r="R75" s="89">
        <f t="shared" si="11"/>
        <v>1174.6399999999999</v>
      </c>
      <c r="S75" s="89">
        <f t="shared" si="11"/>
        <v>1161.94</v>
      </c>
      <c r="T75" s="89">
        <f t="shared" si="11"/>
        <v>1183.44</v>
      </c>
      <c r="U75" s="89">
        <f t="shared" si="11"/>
        <v>1242.6399999999999</v>
      </c>
      <c r="V75" s="89">
        <f t="shared" si="11"/>
        <v>1344.54</v>
      </c>
      <c r="W75" s="89">
        <f t="shared" si="11"/>
        <v>1522.2399999999998</v>
      </c>
      <c r="X75" s="89">
        <f t="shared" si="11"/>
        <v>1609.2399999999998</v>
      </c>
      <c r="Y75" s="89">
        <f t="shared" si="11"/>
        <v>1562.2399999999998</v>
      </c>
      <c r="Z75" s="89">
        <f t="shared" si="11"/>
        <v>1495.9399999999998</v>
      </c>
      <c r="AA75" s="89">
        <f t="shared" si="11"/>
        <v>1457.54</v>
      </c>
      <c r="AB75" s="89">
        <f t="shared" si="11"/>
        <v>1394.04</v>
      </c>
      <c r="AC75" s="89">
        <f t="shared" si="11"/>
        <v>1325.84</v>
      </c>
      <c r="AD75" s="89">
        <f t="shared" si="11"/>
        <v>1257.8399999999999</v>
      </c>
      <c r="AE75" s="89">
        <f t="shared" si="11"/>
        <v>1039.74</v>
      </c>
      <c r="AF75" s="89">
        <f t="shared" si="11"/>
        <v>956.24</v>
      </c>
      <c r="AG75" s="78">
        <f>AG72+AG68+AG56+AG52+AG38+AG74</f>
        <v>2144.14</v>
      </c>
      <c r="AH75" s="54">
        <f t="shared" si="2"/>
        <v>1609.2399999999998</v>
      </c>
      <c r="AI75" s="55">
        <f t="shared" si="3"/>
        <v>820.84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1839.6799999999998</v>
      </c>
      <c r="C83" s="72">
        <f t="shared" ref="C83:AG83" si="20">SUM(C70:C82)</f>
        <v>1711.6799999999998</v>
      </c>
      <c r="D83" s="72">
        <f t="shared" si="20"/>
        <v>1641.68</v>
      </c>
      <c r="E83" s="72">
        <f t="shared" si="20"/>
        <v>1776.28</v>
      </c>
      <c r="F83" s="72">
        <f t="shared" si="20"/>
        <v>1736.88</v>
      </c>
      <c r="G83" s="72">
        <f t="shared" si="20"/>
        <v>1812.88</v>
      </c>
      <c r="H83" s="72">
        <f t="shared" si="20"/>
        <v>2010.88</v>
      </c>
      <c r="I83" s="72">
        <f t="shared" si="20"/>
        <v>2200.88</v>
      </c>
      <c r="J83" s="72">
        <f t="shared" si="20"/>
        <v>2462.6799999999998</v>
      </c>
      <c r="K83" s="72">
        <f t="shared" si="20"/>
        <v>2648.88</v>
      </c>
      <c r="L83" s="72">
        <f t="shared" si="20"/>
        <v>2832.08</v>
      </c>
      <c r="M83" s="72">
        <f t="shared" si="20"/>
        <v>2847.68</v>
      </c>
      <c r="N83" s="72">
        <f t="shared" si="20"/>
        <v>2606.08</v>
      </c>
      <c r="O83" s="72">
        <f t="shared" si="20"/>
        <v>2538.6799999999998</v>
      </c>
      <c r="P83" s="72">
        <f t="shared" si="20"/>
        <v>2528.6799999999998</v>
      </c>
      <c r="Q83" s="72">
        <f t="shared" si="20"/>
        <v>2500.08</v>
      </c>
      <c r="R83" s="72">
        <f t="shared" si="20"/>
        <v>2349.2799999999997</v>
      </c>
      <c r="S83" s="72">
        <f t="shared" si="20"/>
        <v>2323.88</v>
      </c>
      <c r="T83" s="72">
        <f t="shared" si="20"/>
        <v>2366.88</v>
      </c>
      <c r="U83" s="72">
        <f t="shared" si="20"/>
        <v>2485.2799999999997</v>
      </c>
      <c r="V83" s="72">
        <f t="shared" si="20"/>
        <v>2689.08</v>
      </c>
      <c r="W83" s="72">
        <f t="shared" si="20"/>
        <v>3044.4799999999996</v>
      </c>
      <c r="X83" s="72">
        <f t="shared" si="20"/>
        <v>3218.4799999999996</v>
      </c>
      <c r="Y83" s="72">
        <f t="shared" si="20"/>
        <v>3124.4799999999996</v>
      </c>
      <c r="Z83" s="72">
        <f t="shared" si="20"/>
        <v>2991.8799999999997</v>
      </c>
      <c r="AA83" s="72">
        <f t="shared" si="20"/>
        <v>2915.08</v>
      </c>
      <c r="AB83" s="72">
        <f t="shared" si="20"/>
        <v>2788.08</v>
      </c>
      <c r="AC83" s="72">
        <f t="shared" si="20"/>
        <v>2651.68</v>
      </c>
      <c r="AD83" s="72">
        <f t="shared" si="20"/>
        <v>2515.6799999999998</v>
      </c>
      <c r="AE83" s="72">
        <f t="shared" si="20"/>
        <v>2079.48</v>
      </c>
      <c r="AF83" s="72">
        <f t="shared" si="20"/>
        <v>1912.48</v>
      </c>
      <c r="AG83" s="78">
        <f t="shared" si="20"/>
        <v>4360.08</v>
      </c>
      <c r="AH83" s="54">
        <f t="shared" si="13"/>
        <v>3218.4799999999996</v>
      </c>
      <c r="AI83" s="55">
        <f t="shared" si="14"/>
        <v>1641.68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50.024000000000001</v>
      </c>
      <c r="C84" s="95">
        <v>49.92</v>
      </c>
      <c r="D84" s="95">
        <v>49.96</v>
      </c>
      <c r="E84" s="95">
        <v>49.996000000000002</v>
      </c>
      <c r="F84" s="95">
        <v>49.999000000000002</v>
      </c>
      <c r="G84" s="95">
        <v>49.966999999999999</v>
      </c>
      <c r="H84" s="95">
        <v>49.933</v>
      </c>
      <c r="I84" s="95">
        <v>49.993000000000002</v>
      </c>
      <c r="J84" s="95">
        <v>50.121000000000002</v>
      </c>
      <c r="K84" s="95">
        <v>49.905999999999999</v>
      </c>
      <c r="L84" s="95">
        <v>49.776000000000003</v>
      </c>
      <c r="M84" s="95">
        <v>49.96</v>
      </c>
      <c r="N84" s="95">
        <v>49.97</v>
      </c>
      <c r="O84" s="95">
        <v>50.03</v>
      </c>
      <c r="P84" s="95">
        <v>50.06</v>
      </c>
      <c r="Q84" s="95">
        <v>49.933999999999997</v>
      </c>
      <c r="R84" s="95">
        <v>50.02</v>
      </c>
      <c r="S84" s="95">
        <v>50.055999999999997</v>
      </c>
      <c r="T84" s="95">
        <v>50.048000000000002</v>
      </c>
      <c r="U84" s="95">
        <v>50.009</v>
      </c>
      <c r="V84" s="95">
        <v>49.987000000000002</v>
      </c>
      <c r="W84" s="95">
        <v>49.96</v>
      </c>
      <c r="X84" s="95">
        <v>49.988</v>
      </c>
      <c r="Y84" s="95">
        <v>49.968000000000004</v>
      </c>
      <c r="Z84" s="95">
        <v>49.987000000000002</v>
      </c>
      <c r="AA84" s="95">
        <v>49.887</v>
      </c>
      <c r="AB84" s="95">
        <v>50.061999999999998</v>
      </c>
      <c r="AC84" s="95">
        <v>50.015999999999998</v>
      </c>
      <c r="AD84" s="95">
        <v>50.006</v>
      </c>
      <c r="AE84" s="95">
        <v>50.06</v>
      </c>
      <c r="AF84" s="95">
        <v>50.01</v>
      </c>
      <c r="AG84" s="96"/>
      <c r="AH84" s="54">
        <f t="shared" si="13"/>
        <v>50.121000000000002</v>
      </c>
      <c r="AI84" s="55">
        <f t="shared" si="14"/>
        <v>49.776000000000003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</v>
      </c>
      <c r="C85" s="73">
        <v>128</v>
      </c>
      <c r="D85" s="73">
        <v>129</v>
      </c>
      <c r="E85" s="73">
        <v>127.9</v>
      </c>
      <c r="F85" s="73">
        <v>128.6</v>
      </c>
      <c r="G85" s="73">
        <v>128</v>
      </c>
      <c r="H85" s="73">
        <v>126.5</v>
      </c>
      <c r="I85" s="73">
        <v>125.3</v>
      </c>
      <c r="J85" s="73">
        <v>123.6</v>
      </c>
      <c r="K85" s="73">
        <v>124.2</v>
      </c>
      <c r="L85" s="73">
        <v>123.7</v>
      </c>
      <c r="M85" s="73">
        <v>125.8</v>
      </c>
      <c r="N85" s="73">
        <v>125.4</v>
      </c>
      <c r="O85" s="73">
        <v>125.7</v>
      </c>
      <c r="P85" s="73">
        <v>122.8</v>
      </c>
      <c r="Q85" s="73">
        <v>124</v>
      </c>
      <c r="R85" s="73">
        <v>125.6</v>
      </c>
      <c r="S85" s="73">
        <v>125.1</v>
      </c>
      <c r="T85" s="73">
        <v>124</v>
      </c>
      <c r="U85" s="98">
        <v>124.4</v>
      </c>
      <c r="V85" s="98">
        <v>125.4</v>
      </c>
      <c r="W85" s="98">
        <v>124.5</v>
      </c>
      <c r="X85" s="98">
        <v>124.3</v>
      </c>
      <c r="Y85" s="98">
        <v>124.6</v>
      </c>
      <c r="Z85" s="98">
        <v>125.3</v>
      </c>
      <c r="AA85" s="98">
        <v>126</v>
      </c>
      <c r="AB85" s="73">
        <v>125.1</v>
      </c>
      <c r="AC85" s="73">
        <v>125.6</v>
      </c>
      <c r="AD85" s="73">
        <v>126.3</v>
      </c>
      <c r="AE85" s="73">
        <v>127.4</v>
      </c>
      <c r="AF85" s="73">
        <v>127.2</v>
      </c>
      <c r="AG85" s="99"/>
      <c r="AH85" s="54">
        <f t="shared" si="13"/>
        <v>129</v>
      </c>
      <c r="AI85" s="55">
        <f t="shared" si="14"/>
        <v>122.8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131.5</v>
      </c>
      <c r="C86" s="73">
        <v>132</v>
      </c>
      <c r="D86" s="73">
        <v>132.6</v>
      </c>
      <c r="E86" s="73">
        <v>131.69999999999999</v>
      </c>
      <c r="F86" s="73">
        <v>132.1</v>
      </c>
      <c r="G86" s="73">
        <v>131.6</v>
      </c>
      <c r="H86" s="73">
        <v>130</v>
      </c>
      <c r="I86" s="73">
        <v>128.30000000000001</v>
      </c>
      <c r="J86" s="73">
        <v>127.1</v>
      </c>
      <c r="K86" s="73">
        <v>126.5</v>
      </c>
      <c r="L86" s="73">
        <v>125.8</v>
      </c>
      <c r="M86" s="73">
        <v>127.3</v>
      </c>
      <c r="N86" s="73">
        <v>127.1</v>
      </c>
      <c r="O86" s="73">
        <v>127</v>
      </c>
      <c r="P86" s="73">
        <v>126.1</v>
      </c>
      <c r="Q86" s="73">
        <v>127</v>
      </c>
      <c r="R86" s="73">
        <v>128.19999999999999</v>
      </c>
      <c r="S86" s="73">
        <v>127.1</v>
      </c>
      <c r="T86" s="73">
        <v>126.3</v>
      </c>
      <c r="U86" s="98">
        <v>126.4</v>
      </c>
      <c r="V86" s="98">
        <v>127.1</v>
      </c>
      <c r="W86" s="98">
        <v>126.2</v>
      </c>
      <c r="X86" s="98">
        <v>126</v>
      </c>
      <c r="Y86" s="98">
        <v>126.2</v>
      </c>
      <c r="Z86" s="98">
        <v>126.1</v>
      </c>
      <c r="AA86" s="98">
        <v>126.8</v>
      </c>
      <c r="AB86" s="73">
        <v>126.6</v>
      </c>
      <c r="AC86" s="73">
        <v>127.5</v>
      </c>
      <c r="AD86" s="73">
        <v>128.19999999999999</v>
      </c>
      <c r="AE86" s="73">
        <v>129.9</v>
      </c>
      <c r="AF86" s="73">
        <v>130.4</v>
      </c>
      <c r="AG86" s="99"/>
      <c r="AH86" s="54">
        <f t="shared" si="13"/>
        <v>132.6</v>
      </c>
      <c r="AI86" s="55">
        <f t="shared" si="14"/>
        <v>125.8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131</v>
      </c>
      <c r="C87" s="73">
        <v>131</v>
      </c>
      <c r="D87" s="73">
        <v>130</v>
      </c>
      <c r="E87" s="73">
        <v>132.19999999999999</v>
      </c>
      <c r="F87" s="73">
        <v>130</v>
      </c>
      <c r="G87" s="73">
        <v>129.30000000000001</v>
      </c>
      <c r="H87" s="73">
        <v>128.5</v>
      </c>
      <c r="I87" s="73">
        <v>129.69999999999999</v>
      </c>
      <c r="J87" s="73">
        <v>127.8</v>
      </c>
      <c r="K87" s="73">
        <v>126.9</v>
      </c>
      <c r="L87" s="73">
        <v>126.6</v>
      </c>
      <c r="M87" s="73">
        <v>127.1</v>
      </c>
      <c r="N87" s="73">
        <v>127.8</v>
      </c>
      <c r="O87" s="73">
        <v>128.19999999999999</v>
      </c>
      <c r="P87" s="73">
        <v>126.5</v>
      </c>
      <c r="Q87" s="73">
        <v>129</v>
      </c>
      <c r="R87" s="73">
        <v>129.5</v>
      </c>
      <c r="S87" s="73">
        <v>128.80000000000001</v>
      </c>
      <c r="T87" s="73">
        <v>129.69999999999999</v>
      </c>
      <c r="U87" s="73">
        <v>128.80000000000001</v>
      </c>
      <c r="V87" s="73">
        <v>129.69999999999999</v>
      </c>
      <c r="W87" s="73">
        <v>124.6</v>
      </c>
      <c r="X87" s="73">
        <v>131</v>
      </c>
      <c r="Y87" s="73">
        <v>129.4</v>
      </c>
      <c r="Z87" s="73">
        <v>128.5</v>
      </c>
      <c r="AA87" s="73">
        <v>127.8</v>
      </c>
      <c r="AB87" s="73">
        <v>128.1</v>
      </c>
      <c r="AC87" s="73">
        <v>129.9</v>
      </c>
      <c r="AD87" s="73">
        <v>131.19999999999999</v>
      </c>
      <c r="AE87" s="73">
        <v>127</v>
      </c>
      <c r="AF87" s="73">
        <v>128.4</v>
      </c>
      <c r="AG87" s="99"/>
      <c r="AH87" s="54">
        <f t="shared" si="13"/>
        <v>132.19999999999999</v>
      </c>
      <c r="AI87" s="55">
        <f t="shared" si="14"/>
        <v>124.6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134</v>
      </c>
      <c r="C88" s="73">
        <v>134</v>
      </c>
      <c r="D88" s="73">
        <v>135</v>
      </c>
      <c r="E88" s="73">
        <v>135.4</v>
      </c>
      <c r="F88" s="73">
        <v>133.80000000000001</v>
      </c>
      <c r="G88" s="73">
        <v>132.9</v>
      </c>
      <c r="H88" s="73">
        <v>132.1</v>
      </c>
      <c r="I88" s="73">
        <v>132.6</v>
      </c>
      <c r="J88" s="73">
        <v>130.6</v>
      </c>
      <c r="K88" s="73">
        <v>130.80000000000001</v>
      </c>
      <c r="L88" s="73">
        <v>129.9</v>
      </c>
      <c r="M88" s="73">
        <v>132.69999999999999</v>
      </c>
      <c r="N88" s="73">
        <v>132</v>
      </c>
      <c r="O88" s="73">
        <v>133.69999999999999</v>
      </c>
      <c r="P88" s="73">
        <v>132.6</v>
      </c>
      <c r="Q88" s="73">
        <v>134.5</v>
      </c>
      <c r="R88" s="73">
        <v>135.5</v>
      </c>
      <c r="S88" s="73">
        <v>132.4</v>
      </c>
      <c r="T88" s="73">
        <v>131.1</v>
      </c>
      <c r="U88" s="73">
        <v>130</v>
      </c>
      <c r="V88" s="73">
        <v>133.1</v>
      </c>
      <c r="W88" s="73">
        <v>128.30000000000001</v>
      </c>
      <c r="X88" s="73">
        <v>132.6</v>
      </c>
      <c r="Y88" s="73">
        <v>133.1</v>
      </c>
      <c r="Z88" s="73">
        <v>133</v>
      </c>
      <c r="AA88" s="73">
        <v>132.80000000000001</v>
      </c>
      <c r="AB88" s="73">
        <v>133.69999999999999</v>
      </c>
      <c r="AC88" s="73">
        <v>133.30000000000001</v>
      </c>
      <c r="AD88" s="73">
        <v>134.6</v>
      </c>
      <c r="AE88" s="73">
        <v>133.30000000000001</v>
      </c>
      <c r="AF88" s="73">
        <v>133.80000000000001</v>
      </c>
      <c r="AG88" s="99"/>
      <c r="AH88" s="54">
        <f t="shared" si="13"/>
        <v>135.5</v>
      </c>
      <c r="AI88" s="55">
        <f t="shared" si="14"/>
        <v>128.30000000000001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134</v>
      </c>
      <c r="C89" s="101">
        <v>131.6</v>
      </c>
      <c r="D89" s="101">
        <v>135</v>
      </c>
      <c r="E89" s="101">
        <v>132.80000000000001</v>
      </c>
      <c r="F89" s="101">
        <v>133.6</v>
      </c>
      <c r="G89" s="101">
        <v>134</v>
      </c>
      <c r="H89" s="101">
        <v>131.6</v>
      </c>
      <c r="I89" s="101">
        <v>131.69999999999999</v>
      </c>
      <c r="J89" s="101">
        <v>132.80000000000001</v>
      </c>
      <c r="K89" s="101">
        <v>136.19999999999999</v>
      </c>
      <c r="L89" s="101">
        <v>134.9</v>
      </c>
      <c r="M89" s="101">
        <v>132.30000000000001</v>
      </c>
      <c r="N89" s="101">
        <v>133.30000000000001</v>
      </c>
      <c r="O89" s="101">
        <v>133.4</v>
      </c>
      <c r="P89" s="101">
        <v>130.6</v>
      </c>
      <c r="Q89" s="101">
        <v>131.9</v>
      </c>
      <c r="R89" s="101">
        <v>134.5</v>
      </c>
      <c r="S89" s="101">
        <v>129.9</v>
      </c>
      <c r="T89" s="101">
        <v>133.80000000000001</v>
      </c>
      <c r="U89" s="101">
        <v>131.69999999999999</v>
      </c>
      <c r="V89" s="101">
        <v>134.1</v>
      </c>
      <c r="W89" s="101">
        <v>133.19999999999999</v>
      </c>
      <c r="X89" s="101">
        <v>135.19999999999999</v>
      </c>
      <c r="Y89" s="101">
        <v>132.4</v>
      </c>
      <c r="Z89" s="101">
        <v>134</v>
      </c>
      <c r="AA89" s="101">
        <v>135</v>
      </c>
      <c r="AB89" s="101">
        <v>135.30000000000001</v>
      </c>
      <c r="AC89" s="101">
        <v>133.19999999999999</v>
      </c>
      <c r="AD89" s="101">
        <v>132.30000000000001</v>
      </c>
      <c r="AE89" s="101">
        <v>134.6</v>
      </c>
      <c r="AF89" s="101">
        <v>132.9</v>
      </c>
      <c r="AG89" s="102"/>
      <c r="AH89" s="54">
        <f t="shared" si="13"/>
        <v>136.19999999999999</v>
      </c>
      <c r="AI89" s="55">
        <f t="shared" si="14"/>
        <v>129.9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134</v>
      </c>
      <c r="C90" s="73">
        <v>134</v>
      </c>
      <c r="D90" s="73">
        <v>135</v>
      </c>
      <c r="E90" s="73">
        <v>133.9</v>
      </c>
      <c r="F90" s="73">
        <v>134.5</v>
      </c>
      <c r="G90" s="73">
        <v>134</v>
      </c>
      <c r="H90" s="73">
        <v>131.69999999999999</v>
      </c>
      <c r="I90" s="73">
        <v>130.6</v>
      </c>
      <c r="J90" s="73">
        <v>129</v>
      </c>
      <c r="K90" s="73">
        <v>130.6</v>
      </c>
      <c r="L90" s="73">
        <v>133.5</v>
      </c>
      <c r="M90" s="73">
        <v>128.9</v>
      </c>
      <c r="N90" s="73">
        <v>129.5</v>
      </c>
      <c r="O90" s="73">
        <v>131.6</v>
      </c>
      <c r="P90" s="73">
        <v>126</v>
      </c>
      <c r="Q90" s="73">
        <v>131</v>
      </c>
      <c r="R90" s="73">
        <v>133</v>
      </c>
      <c r="S90" s="73">
        <v>129.5</v>
      </c>
      <c r="T90" s="73">
        <v>133.6</v>
      </c>
      <c r="U90" s="73">
        <v>131.69999999999999</v>
      </c>
      <c r="V90" s="73">
        <v>132</v>
      </c>
      <c r="W90" s="73">
        <v>130.30000000000001</v>
      </c>
      <c r="X90" s="73">
        <v>134.1</v>
      </c>
      <c r="Y90" s="73">
        <v>132</v>
      </c>
      <c r="Z90" s="73">
        <v>135.1</v>
      </c>
      <c r="AA90" s="73">
        <v>135.30000000000001</v>
      </c>
      <c r="AB90" s="73">
        <v>135.4</v>
      </c>
      <c r="AC90" s="73">
        <v>133.1</v>
      </c>
      <c r="AD90" s="73">
        <v>133.69999999999999</v>
      </c>
      <c r="AE90" s="73">
        <v>135.1</v>
      </c>
      <c r="AF90" s="73">
        <v>134.1</v>
      </c>
      <c r="AG90" s="99"/>
      <c r="AH90" s="54">
        <f t="shared" si="13"/>
        <v>135.4</v>
      </c>
      <c r="AI90" s="55">
        <f t="shared" si="14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66.8</v>
      </c>
      <c r="C91" s="103">
        <v>67</v>
      </c>
      <c r="D91" s="103">
        <v>67</v>
      </c>
      <c r="E91" s="103">
        <v>67.099999999999994</v>
      </c>
      <c r="F91" s="103">
        <v>67.2</v>
      </c>
      <c r="G91" s="103">
        <v>66.900000000000006</v>
      </c>
      <c r="H91" s="103">
        <v>65.900000000000006</v>
      </c>
      <c r="I91" s="103">
        <v>65.2</v>
      </c>
      <c r="J91" s="103">
        <v>64.5</v>
      </c>
      <c r="K91" s="103">
        <v>64.2</v>
      </c>
      <c r="L91" s="103">
        <v>63.8</v>
      </c>
      <c r="M91" s="103">
        <v>65</v>
      </c>
      <c r="N91" s="103">
        <v>64.400000000000006</v>
      </c>
      <c r="O91" s="103">
        <v>64.400000000000006</v>
      </c>
      <c r="P91" s="103">
        <v>63.7</v>
      </c>
      <c r="Q91" s="103">
        <v>64</v>
      </c>
      <c r="R91" s="103">
        <v>65.2</v>
      </c>
      <c r="S91" s="103">
        <v>64.3</v>
      </c>
      <c r="T91" s="103">
        <v>63.7</v>
      </c>
      <c r="U91" s="103">
        <v>64.099999999999994</v>
      </c>
      <c r="V91" s="103">
        <v>64.099999999999994</v>
      </c>
      <c r="W91" s="103">
        <v>64.099999999999994</v>
      </c>
      <c r="X91" s="103">
        <v>64.3</v>
      </c>
      <c r="Y91" s="103">
        <v>64.3</v>
      </c>
      <c r="Z91" s="103">
        <v>64.5</v>
      </c>
      <c r="AA91" s="103">
        <v>64.7</v>
      </c>
      <c r="AB91" s="103">
        <v>64.5</v>
      </c>
      <c r="AC91" s="103">
        <v>64.900000000000006</v>
      </c>
      <c r="AD91" s="103">
        <v>65.5</v>
      </c>
      <c r="AE91" s="103">
        <v>66</v>
      </c>
      <c r="AF91" s="103">
        <v>66.3</v>
      </c>
      <c r="AG91" s="104"/>
      <c r="AH91" s="54">
        <f t="shared" si="13"/>
        <v>67.2</v>
      </c>
      <c r="AI91" s="55">
        <f t="shared" si="14"/>
        <v>63.7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190.23999999999998</v>
      </c>
      <c r="C93" s="110">
        <f>SUM(C15,C18,C21:C22,C42,C44:C45,C47,C49,C94:C97,C102,C108,C114,C123,C125,C137,C144,C147:C148,C155,C157,C159,C163:C165,C167:C169,C174,C180:C181,C183:C185,C193,C198)</f>
        <v>174.73999999999998</v>
      </c>
      <c r="D93" s="110">
        <f t="shared" ref="D93:AF93" si="21">SUM(D15,D18,D21:D22,D42,D44:D45,D47,D49,D94:D97,D102,D108,D114,D123,D125,D137,D144,D147:D148,D155,D157,D159,D163:D165,D167:D169,D174,D180:D181,D183:D185,D193,D198)</f>
        <v>169.23999999999998</v>
      </c>
      <c r="E93" s="110">
        <f t="shared" si="21"/>
        <v>167.64</v>
      </c>
      <c r="F93" s="110">
        <f t="shared" si="21"/>
        <v>167.93999999999997</v>
      </c>
      <c r="G93" s="109">
        <f t="shared" si="21"/>
        <v>192.73999999999995</v>
      </c>
      <c r="H93" s="109">
        <f t="shared" si="21"/>
        <v>223.14</v>
      </c>
      <c r="I93" s="109">
        <f t="shared" si="21"/>
        <v>275.44</v>
      </c>
      <c r="J93" s="109">
        <f t="shared" si="21"/>
        <v>322.14000000000004</v>
      </c>
      <c r="K93" s="109">
        <f t="shared" si="21"/>
        <v>375.24</v>
      </c>
      <c r="L93" s="109">
        <f t="shared" si="21"/>
        <v>428.14</v>
      </c>
      <c r="M93" s="109">
        <f t="shared" si="21"/>
        <v>422.14000000000004</v>
      </c>
      <c r="N93" s="109">
        <f t="shared" si="21"/>
        <v>393.34000000000003</v>
      </c>
      <c r="O93" s="109">
        <f t="shared" si="21"/>
        <v>345.64000000000004</v>
      </c>
      <c r="P93" s="109">
        <f t="shared" si="21"/>
        <v>364.74</v>
      </c>
      <c r="Q93" s="109">
        <f t="shared" si="21"/>
        <v>358.64000000000004</v>
      </c>
      <c r="R93" s="109">
        <f t="shared" si="21"/>
        <v>337.34000000000003</v>
      </c>
      <c r="S93" s="109">
        <f t="shared" si="21"/>
        <v>339.14</v>
      </c>
      <c r="T93" s="109">
        <f t="shared" si="21"/>
        <v>338.64000000000004</v>
      </c>
      <c r="U93" s="109">
        <f t="shared" si="21"/>
        <v>354.53999999999996</v>
      </c>
      <c r="V93" s="109">
        <f t="shared" si="21"/>
        <v>397.34000000000003</v>
      </c>
      <c r="W93" s="109">
        <f t="shared" si="21"/>
        <v>461.24</v>
      </c>
      <c r="X93" s="109">
        <f t="shared" si="21"/>
        <v>481.74</v>
      </c>
      <c r="Y93" s="109">
        <f t="shared" si="21"/>
        <v>475.14000000000004</v>
      </c>
      <c r="Z93" s="109">
        <f t="shared" si="21"/>
        <v>472.14</v>
      </c>
      <c r="AA93" s="109">
        <f t="shared" si="21"/>
        <v>466.34000000000003</v>
      </c>
      <c r="AB93" s="109">
        <f t="shared" si="21"/>
        <v>444.24</v>
      </c>
      <c r="AC93" s="109">
        <f t="shared" si="21"/>
        <v>365.14000000000004</v>
      </c>
      <c r="AD93" s="109">
        <f t="shared" si="21"/>
        <v>357.14000000000004</v>
      </c>
      <c r="AE93" s="109">
        <f t="shared" si="21"/>
        <v>290.04000000000002</v>
      </c>
      <c r="AF93" s="109">
        <f t="shared" si="21"/>
        <v>226.93999999999997</v>
      </c>
      <c r="AG93" s="111"/>
      <c r="AH93" s="54">
        <f>MAX(C93:AF93)</f>
        <v>481.74</v>
      </c>
      <c r="AI93" s="55">
        <f>MIN(C93:AF93)</f>
        <v>167.64</v>
      </c>
    </row>
    <row r="94" spans="1:88" x14ac:dyDescent="0.25">
      <c r="A94" s="112" t="s">
        <v>98</v>
      </c>
      <c r="B94" s="175">
        <v>41</v>
      </c>
      <c r="C94" s="58">
        <v>41.5</v>
      </c>
      <c r="D94" s="58">
        <v>24</v>
      </c>
      <c r="E94" s="58">
        <v>20.8</v>
      </c>
      <c r="F94" s="58">
        <v>11.7</v>
      </c>
      <c r="G94" s="114">
        <v>12.2</v>
      </c>
      <c r="H94" s="114">
        <v>-1.5</v>
      </c>
      <c r="I94" s="114">
        <v>10.1</v>
      </c>
      <c r="J94" s="114">
        <v>31.1</v>
      </c>
      <c r="K94" s="114">
        <v>49.8</v>
      </c>
      <c r="L94" s="114">
        <v>46.6</v>
      </c>
      <c r="M94" s="113">
        <v>45.4</v>
      </c>
      <c r="N94" s="113">
        <v>40.299999999999997</v>
      </c>
      <c r="O94" s="114">
        <v>46.1</v>
      </c>
      <c r="P94" s="114">
        <v>28.5</v>
      </c>
      <c r="Q94" s="114">
        <v>11.4</v>
      </c>
      <c r="R94" s="114">
        <v>22.7</v>
      </c>
      <c r="S94" s="114">
        <v>8.5</v>
      </c>
      <c r="T94" s="114">
        <v>16.100000000000001</v>
      </c>
      <c r="U94" s="113">
        <v>19.2</v>
      </c>
      <c r="V94" s="113">
        <v>35.6</v>
      </c>
      <c r="W94" s="113">
        <v>42.7</v>
      </c>
      <c r="X94" s="113">
        <v>31.1</v>
      </c>
      <c r="Y94" s="113">
        <v>37.4</v>
      </c>
      <c r="Z94" s="113">
        <v>44.8</v>
      </c>
      <c r="AA94" s="113">
        <v>53.2</v>
      </c>
      <c r="AB94" s="113">
        <v>48.6</v>
      </c>
      <c r="AC94" s="113">
        <v>48</v>
      </c>
      <c r="AD94" s="113">
        <v>39</v>
      </c>
      <c r="AE94" s="113">
        <v>29.2</v>
      </c>
      <c r="AF94" s="113">
        <v>25.4</v>
      </c>
      <c r="AG94" s="115">
        <v>75</v>
      </c>
      <c r="AH94" s="54">
        <f t="shared" ref="AH94:AH99" si="22">IF(ABS(MAX(C94:AF94))&gt;ABS(MIN(C94:AF94)),MAX(C94:AF94),MIN(C94:AF94))</f>
        <v>53.2</v>
      </c>
      <c r="AI94" s="116">
        <f t="shared" ref="AI94:AI99" si="23">INDEX($C$9:$AF$9,1,MATCH(AH94,C94:AF94,0))</f>
        <v>0.8125</v>
      </c>
    </row>
    <row r="95" spans="1:88" x14ac:dyDescent="0.25">
      <c r="A95" s="117" t="s">
        <v>99</v>
      </c>
      <c r="B95" s="176">
        <v>-73</v>
      </c>
      <c r="C95" s="60">
        <v>-76</v>
      </c>
      <c r="D95" s="60">
        <v>-75</v>
      </c>
      <c r="E95" s="60">
        <v>-75</v>
      </c>
      <c r="F95" s="60">
        <v>-68</v>
      </c>
      <c r="G95" s="60">
        <v>-60</v>
      </c>
      <c r="H95" s="60">
        <v>-48</v>
      </c>
      <c r="I95" s="60">
        <v>-30</v>
      </c>
      <c r="J95" s="60">
        <v>-18</v>
      </c>
      <c r="K95" s="60">
        <v>-9</v>
      </c>
      <c r="L95" s="60">
        <v>15</v>
      </c>
      <c r="M95" s="60">
        <f>15.2+11.8</f>
        <v>27</v>
      </c>
      <c r="N95" s="60">
        <f>8.8+6.2</f>
        <v>15</v>
      </c>
      <c r="O95" s="60">
        <f>8.3+6.1</f>
        <v>14.4</v>
      </c>
      <c r="P95" s="60">
        <v>-5.5</v>
      </c>
      <c r="Q95" s="60">
        <v>2.5</v>
      </c>
      <c r="R95" s="60">
        <f>-0.2-2.5</f>
        <v>-2.7</v>
      </c>
      <c r="S95" s="60">
        <v>13.4</v>
      </c>
      <c r="T95" s="60">
        <v>12.3</v>
      </c>
      <c r="U95" s="60">
        <v>16.7</v>
      </c>
      <c r="V95" s="60">
        <v>15.5</v>
      </c>
      <c r="W95" s="60">
        <v>47.5</v>
      </c>
      <c r="X95" s="60">
        <v>59.2</v>
      </c>
      <c r="Y95" s="60">
        <v>49</v>
      </c>
      <c r="Z95" s="60">
        <v>56.9</v>
      </c>
      <c r="AA95" s="60">
        <v>52.7</v>
      </c>
      <c r="AB95" s="73">
        <v>35.700000000000003</v>
      </c>
      <c r="AC95" s="73">
        <v>-23</v>
      </c>
      <c r="AD95" s="73">
        <v>-21</v>
      </c>
      <c r="AE95" s="73">
        <f>-4.3-10.2</f>
        <v>-14.5</v>
      </c>
      <c r="AF95" s="73">
        <f>-18.8-23.2</f>
        <v>-42</v>
      </c>
      <c r="AG95" s="115">
        <v>240</v>
      </c>
      <c r="AH95" s="54">
        <f t="shared" si="22"/>
        <v>-76</v>
      </c>
      <c r="AI95" s="116">
        <f t="shared" si="23"/>
        <v>4.1666666666666664E-2</v>
      </c>
    </row>
    <row r="96" spans="1:88" x14ac:dyDescent="0.25">
      <c r="A96" s="117" t="s">
        <v>100</v>
      </c>
      <c r="B96" s="176">
        <v>6</v>
      </c>
      <c r="C96" s="60">
        <v>4</v>
      </c>
      <c r="D96" s="60">
        <v>4</v>
      </c>
      <c r="E96" s="60">
        <v>2.8</v>
      </c>
      <c r="F96" s="60">
        <v>5.2</v>
      </c>
      <c r="G96" s="60">
        <v>6.9</v>
      </c>
      <c r="H96" s="60">
        <v>11.4</v>
      </c>
      <c r="I96" s="60">
        <v>16.2</v>
      </c>
      <c r="J96" s="60">
        <v>19.899999999999999</v>
      </c>
      <c r="K96" s="60">
        <v>40.6</v>
      </c>
      <c r="L96" s="60">
        <v>62.1</v>
      </c>
      <c r="M96" s="60">
        <v>60.5</v>
      </c>
      <c r="N96" s="60">
        <v>47</v>
      </c>
      <c r="O96" s="60">
        <v>48.1</v>
      </c>
      <c r="P96" s="60">
        <v>54</v>
      </c>
      <c r="Q96" s="60">
        <v>57.5</v>
      </c>
      <c r="R96" s="60">
        <v>33.4</v>
      </c>
      <c r="S96" s="60">
        <v>28.7</v>
      </c>
      <c r="T96" s="60">
        <v>23.3</v>
      </c>
      <c r="U96" s="60">
        <v>34.700000000000003</v>
      </c>
      <c r="V96" s="60">
        <v>60.4</v>
      </c>
      <c r="W96" s="60">
        <v>59.6</v>
      </c>
      <c r="X96" s="60">
        <v>62.7</v>
      </c>
      <c r="Y96" s="60">
        <v>63</v>
      </c>
      <c r="Z96" s="60">
        <v>56.2</v>
      </c>
      <c r="AA96" s="60">
        <v>52.6</v>
      </c>
      <c r="AB96" s="73">
        <v>51.2</v>
      </c>
      <c r="AC96" s="73">
        <v>48</v>
      </c>
      <c r="AD96" s="73">
        <v>47</v>
      </c>
      <c r="AE96" s="73">
        <v>17.5</v>
      </c>
      <c r="AF96" s="73">
        <v>4.9000000000000004</v>
      </c>
      <c r="AG96" s="115">
        <v>60</v>
      </c>
      <c r="AH96" s="54">
        <f t="shared" si="22"/>
        <v>63</v>
      </c>
      <c r="AI96" s="116">
        <f t="shared" si="23"/>
        <v>0.77083333333333337</v>
      </c>
    </row>
    <row r="97" spans="1:37" x14ac:dyDescent="0.25">
      <c r="A97" s="118" t="s">
        <v>101</v>
      </c>
      <c r="B97" s="177">
        <v>27</v>
      </c>
      <c r="C97" s="63">
        <v>16</v>
      </c>
      <c r="D97" s="63">
        <v>27</v>
      </c>
      <c r="E97" s="63">
        <v>30.2</v>
      </c>
      <c r="F97" s="63">
        <v>30.2</v>
      </c>
      <c r="G97" s="63">
        <v>44.8</v>
      </c>
      <c r="H97" s="63">
        <v>72.400000000000006</v>
      </c>
      <c r="I97" s="63">
        <v>90.3</v>
      </c>
      <c r="J97" s="63">
        <v>100.3</v>
      </c>
      <c r="K97" s="63">
        <v>105</v>
      </c>
      <c r="L97" s="63">
        <v>115.6</v>
      </c>
      <c r="M97" s="63">
        <v>100</v>
      </c>
      <c r="N97" s="63">
        <v>101.8</v>
      </c>
      <c r="O97" s="63">
        <v>47.8</v>
      </c>
      <c r="P97" s="63">
        <v>98.5</v>
      </c>
      <c r="Q97" s="63">
        <v>98</v>
      </c>
      <c r="R97" s="63">
        <v>94.7</v>
      </c>
      <c r="S97" s="63">
        <v>99</v>
      </c>
      <c r="T97" s="63">
        <v>97.4</v>
      </c>
      <c r="U97" s="63">
        <v>94.4</v>
      </c>
      <c r="V97" s="63">
        <v>96.3</v>
      </c>
      <c r="W97" s="63">
        <v>121.9</v>
      </c>
      <c r="X97" s="63">
        <v>129.30000000000001</v>
      </c>
      <c r="Y97" s="63">
        <v>126.3</v>
      </c>
      <c r="Z97" s="63">
        <v>114.7</v>
      </c>
      <c r="AA97" s="63">
        <v>108.7</v>
      </c>
      <c r="AB97" s="119">
        <v>109.6</v>
      </c>
      <c r="AC97" s="119">
        <v>93</v>
      </c>
      <c r="AD97" s="119">
        <v>93</v>
      </c>
      <c r="AE97" s="119">
        <v>63.6</v>
      </c>
      <c r="AF97" s="119">
        <v>45.1</v>
      </c>
      <c r="AG97" s="120">
        <v>120</v>
      </c>
      <c r="AH97" s="54">
        <f t="shared" si="22"/>
        <v>129.30000000000001</v>
      </c>
      <c r="AI97" s="116">
        <f t="shared" si="23"/>
        <v>0.75</v>
      </c>
    </row>
    <row r="98" spans="1:37" x14ac:dyDescent="0.25">
      <c r="A98" s="118" t="s">
        <v>102</v>
      </c>
      <c r="B98" s="177">
        <v>36</v>
      </c>
      <c r="C98" s="63">
        <v>32</v>
      </c>
      <c r="D98" s="63">
        <v>37</v>
      </c>
      <c r="E98" s="63">
        <v>41.6</v>
      </c>
      <c r="F98" s="63">
        <v>40.5</v>
      </c>
      <c r="G98" s="63">
        <v>49</v>
      </c>
      <c r="H98" s="63">
        <v>72.7</v>
      </c>
      <c r="I98" s="63">
        <v>84.2</v>
      </c>
      <c r="J98" s="63">
        <v>88.8</v>
      </c>
      <c r="K98" s="63">
        <v>90.4</v>
      </c>
      <c r="L98" s="63">
        <v>92.8</v>
      </c>
      <c r="M98" s="63">
        <v>65</v>
      </c>
      <c r="N98" s="63">
        <v>68.8</v>
      </c>
      <c r="O98" s="63">
        <v>59</v>
      </c>
      <c r="P98" s="63">
        <v>96.6</v>
      </c>
      <c r="Q98" s="63">
        <v>93</v>
      </c>
      <c r="R98" s="63">
        <v>91.2</v>
      </c>
      <c r="S98" s="63">
        <v>82.4</v>
      </c>
      <c r="T98" s="63">
        <v>82.5</v>
      </c>
      <c r="U98" s="63">
        <v>77.400000000000006</v>
      </c>
      <c r="V98" s="63">
        <v>60.3</v>
      </c>
      <c r="W98" s="63">
        <v>82.9</v>
      </c>
      <c r="X98" s="63">
        <v>101.5</v>
      </c>
      <c r="Y98" s="63">
        <v>92</v>
      </c>
      <c r="Z98" s="63">
        <v>74.599999999999994</v>
      </c>
      <c r="AA98" s="63">
        <v>65.900000000000006</v>
      </c>
      <c r="AB98" s="119">
        <v>82.8</v>
      </c>
      <c r="AC98" s="119">
        <v>72</v>
      </c>
      <c r="AD98" s="119">
        <v>74</v>
      </c>
      <c r="AE98" s="119">
        <v>57.7</v>
      </c>
      <c r="AF98" s="119">
        <v>47.3</v>
      </c>
      <c r="AG98" s="120"/>
      <c r="AH98" s="54">
        <f t="shared" si="22"/>
        <v>101.5</v>
      </c>
      <c r="AI98" s="116">
        <f t="shared" si="23"/>
        <v>0.75</v>
      </c>
    </row>
    <row r="99" spans="1:37" ht="15.75" thickBot="1" x14ac:dyDescent="0.3">
      <c r="A99" s="118" t="s">
        <v>217</v>
      </c>
      <c r="B99" s="177">
        <v>56</v>
      </c>
      <c r="C99" s="63">
        <v>57</v>
      </c>
      <c r="D99" s="63">
        <v>63</v>
      </c>
      <c r="E99" s="63">
        <v>70.8</v>
      </c>
      <c r="F99" s="63">
        <v>65</v>
      </c>
      <c r="G99" s="63">
        <v>61.9</v>
      </c>
      <c r="H99" s="63">
        <v>70.400000000000006</v>
      </c>
      <c r="I99" s="63">
        <v>70</v>
      </c>
      <c r="J99" s="63">
        <v>69</v>
      </c>
      <c r="K99" s="63">
        <v>50.3</v>
      </c>
      <c r="L99" s="63">
        <v>49.8</v>
      </c>
      <c r="M99" s="63">
        <v>49.7</v>
      </c>
      <c r="N99" s="63">
        <v>52.6</v>
      </c>
      <c r="O99" s="63">
        <v>42.8</v>
      </c>
      <c r="P99" s="63">
        <v>65</v>
      </c>
      <c r="Q99" s="63">
        <v>74.5</v>
      </c>
      <c r="R99" s="63">
        <v>72</v>
      </c>
      <c r="S99" s="63">
        <v>69.8</v>
      </c>
      <c r="T99" s="63">
        <v>63.8</v>
      </c>
      <c r="U99" s="63">
        <v>72.599999999999994</v>
      </c>
      <c r="V99" s="63">
        <v>54.4</v>
      </c>
      <c r="W99" s="63">
        <v>52.7</v>
      </c>
      <c r="X99" s="63">
        <v>67.5</v>
      </c>
      <c r="Y99" s="63">
        <v>64.099999999999994</v>
      </c>
      <c r="Z99" s="63">
        <v>59.5</v>
      </c>
      <c r="AA99" s="63">
        <v>54.1</v>
      </c>
      <c r="AB99" s="119">
        <v>54.8</v>
      </c>
      <c r="AC99" s="119">
        <v>59</v>
      </c>
      <c r="AD99" s="119">
        <v>62.6</v>
      </c>
      <c r="AE99" s="119">
        <v>56.4</v>
      </c>
      <c r="AF99" s="119">
        <v>55.6</v>
      </c>
      <c r="AG99" s="121"/>
      <c r="AH99" s="54">
        <f t="shared" si="22"/>
        <v>74.5</v>
      </c>
      <c r="AI99" s="116">
        <f t="shared" si="23"/>
        <v>0.5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1423.84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2078/08/6)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919.83999999999992</v>
      </c>
      <c r="U213" s="167">
        <f t="shared" si="60"/>
        <v>855.83999999999992</v>
      </c>
      <c r="V213" s="167">
        <f t="shared" si="60"/>
        <v>820.84</v>
      </c>
      <c r="W213" s="167">
        <f t="shared" si="60"/>
        <v>888.14</v>
      </c>
      <c r="X213" s="167">
        <f t="shared" si="60"/>
        <v>868.44</v>
      </c>
      <c r="Y213" s="167">
        <f t="shared" si="60"/>
        <v>906.44</v>
      </c>
      <c r="Z213" s="167">
        <f t="shared" si="60"/>
        <v>1005.44</v>
      </c>
      <c r="AA213" s="167">
        <f t="shared" si="60"/>
        <v>1100.44</v>
      </c>
      <c r="AB213" s="167">
        <f t="shared" si="60"/>
        <v>1231.3399999999999</v>
      </c>
      <c r="AC213" s="167">
        <f t="shared" si="60"/>
        <v>1324.44</v>
      </c>
      <c r="AD213" s="167">
        <f t="shared" si="60"/>
        <v>1416.04</v>
      </c>
      <c r="AE213" s="167">
        <f t="shared" si="60"/>
        <v>1423.84</v>
      </c>
      <c r="AF213" s="167">
        <f t="shared" si="60"/>
        <v>1303.04</v>
      </c>
      <c r="AG213" s="167">
        <f t="shared" si="60"/>
        <v>1269.3399999999999</v>
      </c>
      <c r="AH213" s="167">
        <f t="shared" si="60"/>
        <v>1264.3399999999999</v>
      </c>
      <c r="AI213" s="167">
        <f t="shared" si="60"/>
        <v>1250.04</v>
      </c>
      <c r="AJ213" s="167">
        <f t="shared" si="60"/>
        <v>1174.6399999999999</v>
      </c>
      <c r="AK213" s="167">
        <f t="shared" si="60"/>
        <v>1161.94</v>
      </c>
      <c r="AL213" s="167">
        <f t="shared" si="60"/>
        <v>1183.44</v>
      </c>
      <c r="AM213" s="167">
        <f t="shared" si="60"/>
        <v>1242.6399999999999</v>
      </c>
      <c r="AN213" s="167">
        <f t="shared" si="60"/>
        <v>1344.54</v>
      </c>
      <c r="AO213" s="167">
        <f t="shared" si="60"/>
        <v>1522.2399999999998</v>
      </c>
      <c r="AP213" s="167">
        <f t="shared" si="60"/>
        <v>1609.2399999999998</v>
      </c>
      <c r="AQ213" s="167">
        <f t="shared" si="60"/>
        <v>1562.2399999999998</v>
      </c>
      <c r="AR213" s="167">
        <f t="shared" si="60"/>
        <v>1495.9399999999998</v>
      </c>
      <c r="AS213" s="167">
        <f t="shared" si="60"/>
        <v>1457.54</v>
      </c>
      <c r="AT213" s="167">
        <f t="shared" si="60"/>
        <v>1394.04</v>
      </c>
      <c r="AU213" s="167">
        <f t="shared" si="60"/>
        <v>1325.84</v>
      </c>
      <c r="AV213" s="167">
        <f t="shared" si="60"/>
        <v>1257.8399999999999</v>
      </c>
      <c r="AW213" s="167">
        <f t="shared" si="60"/>
        <v>1039.74</v>
      </c>
      <c r="AX213" s="167">
        <f t="shared" si="60"/>
        <v>956.24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Q37 P39:R39 P40:Q42 Q11:AE11 AB81:AF81 B81:R81 C56:AF56 B82:AF83 D193:AF199 B193:B199 C68:AF72 AB84:AF91 B84:B91 B73:AF80 B9:AF10 B191:AF191 AF57:AF67 AG73 AB94:AF99 B94:B99 U212:AF212 B53:B72 C57:C67 C53:J55 K54:K55 B36:Q36 M39:P42 D57:P61 Q16:R32 R36:R37 Q12:R14 R39:R42 N45:R48 S58:W59 Q58:R61 D63:R67 R40:T41 U40:Z42 S18:AA30 AB16:AE26 AB28:AE31 AB12:AE14 S36:AF36 Z40:AE43 M53:AF55">
    <cfRule type="expression" dxfId="7744" priority="243">
      <formula>B$9&gt;=20/24</formula>
    </cfRule>
    <cfRule type="expression" dxfId="7743" priority="244">
      <formula>AND(B$9&gt;=14/24,B$9&lt;20/24)</formula>
    </cfRule>
    <cfRule type="expression" dxfId="7742" priority="245">
      <formula>AND(B$9&gt;=8/24,B$9&lt;14/24)</formula>
    </cfRule>
    <cfRule type="expression" dxfId="7741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Q57:R57">
    <cfRule type="expression" dxfId="7740" priority="238">
      <formula>Q$9&gt;=20/24</formula>
    </cfRule>
    <cfRule type="expression" dxfId="7739" priority="239">
      <formula>AND(Q$9&gt;=14/24,Q$9&lt;20/24)</formula>
    </cfRule>
    <cfRule type="expression" dxfId="7738" priority="240">
      <formula>AND(Q$9&gt;=8/24,Q$9&lt;14/24)</formula>
    </cfRule>
    <cfRule type="expression" dxfId="7737" priority="241">
      <formula>Q$9&lt;8/24</formula>
    </cfRule>
  </conditionalFormatting>
  <conditionalFormatting sqref="M43:R43">
    <cfRule type="expression" dxfId="7736" priority="234">
      <formula>M$9&gt;=20/24</formula>
    </cfRule>
    <cfRule type="expression" dxfId="7735" priority="235">
      <formula>AND(M$9&gt;=14/24,M$9&lt;20/24)</formula>
    </cfRule>
    <cfRule type="expression" dxfId="7734" priority="236">
      <formula>AND(M$9&gt;=8/24,M$9&lt;14/24)</formula>
    </cfRule>
    <cfRule type="expression" dxfId="7733" priority="237">
      <formula>M$9&lt;8/24</formula>
    </cfRule>
  </conditionalFormatting>
  <conditionalFormatting sqref="AB32:AE33">
    <cfRule type="expression" dxfId="7732" priority="230">
      <formula>AB$9&gt;=20/24</formula>
    </cfRule>
    <cfRule type="expression" dxfId="7731" priority="231">
      <formula>AND(AB$9&gt;=14/24,AB$9&lt;20/24)</formula>
    </cfRule>
    <cfRule type="expression" dxfId="7730" priority="232">
      <formula>AND(AB$9&gt;=8/24,AB$9&lt;14/24)</formula>
    </cfRule>
    <cfRule type="expression" dxfId="7729" priority="233">
      <formula>AB$9&lt;8/24</formula>
    </cfRule>
  </conditionalFormatting>
  <conditionalFormatting sqref="S39:AE39">
    <cfRule type="expression" dxfId="7728" priority="226">
      <formula>S$9&gt;=20/24</formula>
    </cfRule>
    <cfRule type="expression" dxfId="7727" priority="227">
      <formula>AND(S$9&gt;=14/24,S$9&lt;20/24)</formula>
    </cfRule>
    <cfRule type="expression" dxfId="7726" priority="228">
      <formula>AND(S$9&gt;=8/24,S$9&lt;14/24)</formula>
    </cfRule>
    <cfRule type="expression" dxfId="7725" priority="229">
      <formula>S$9&lt;8/24</formula>
    </cfRule>
  </conditionalFormatting>
  <conditionalFormatting sqref="S57:AE57">
    <cfRule type="expression" dxfId="7724" priority="222">
      <formula>S$9&gt;=20/24</formula>
    </cfRule>
    <cfRule type="expression" dxfId="7723" priority="223">
      <formula>AND(S$9&gt;=14/24,S$9&lt;20/24)</formula>
    </cfRule>
    <cfRule type="expression" dxfId="7722" priority="224">
      <formula>AND(S$9&gt;=8/24,S$9&lt;14/24)</formula>
    </cfRule>
    <cfRule type="expression" dxfId="7721" priority="225">
      <formula>S$9&lt;8/24</formula>
    </cfRule>
  </conditionalFormatting>
  <conditionalFormatting sqref="S81:AA81">
    <cfRule type="expression" dxfId="7720" priority="218">
      <formula>S$9&gt;=20/24</formula>
    </cfRule>
    <cfRule type="expression" dxfId="7719" priority="219">
      <formula>AND(S$9&gt;=14/24,S$9&lt;20/24)</formula>
    </cfRule>
    <cfRule type="expression" dxfId="7718" priority="220">
      <formula>AND(S$9&gt;=8/24,S$9&lt;14/24)</formula>
    </cfRule>
    <cfRule type="expression" dxfId="7717" priority="221">
      <formula>S$9&lt;8/24</formula>
    </cfRule>
  </conditionalFormatting>
  <conditionalFormatting sqref="U84:AA84">
    <cfRule type="expression" dxfId="7716" priority="214">
      <formula>U$9&gt;=20/24</formula>
    </cfRule>
    <cfRule type="expression" dxfId="7715" priority="215">
      <formula>AND(U$9&gt;=14/24,U$9&lt;20/24)</formula>
    </cfRule>
    <cfRule type="expression" dxfId="7714" priority="216">
      <formula>AND(U$9&gt;=8/24,U$9&lt;14/24)</formula>
    </cfRule>
    <cfRule type="expression" dxfId="7713" priority="217">
      <formula>U$9&lt;8/24</formula>
    </cfRule>
  </conditionalFormatting>
  <conditionalFormatting sqref="Q35:R35">
    <cfRule type="expression" dxfId="7712" priority="210">
      <formula>Q$9&gt;=20/24</formula>
    </cfRule>
    <cfRule type="expression" dxfId="7711" priority="211">
      <formula>AND(Q$9&gt;=14/24,Q$9&lt;20/24)</formula>
    </cfRule>
    <cfRule type="expression" dxfId="7710" priority="212">
      <formula>AND(Q$9&gt;=8/24,Q$9&lt;14/24)</formula>
    </cfRule>
    <cfRule type="expression" dxfId="7709" priority="213">
      <formula>Q$9&lt;8/24</formula>
    </cfRule>
  </conditionalFormatting>
  <conditionalFormatting sqref="M49:U49">
    <cfRule type="expression" dxfId="7708" priority="206">
      <formula>M$9&gt;=20/24</formula>
    </cfRule>
    <cfRule type="expression" dxfId="7707" priority="207">
      <formula>AND(M$9&gt;=14/24,M$9&lt;20/24)</formula>
    </cfRule>
    <cfRule type="expression" dxfId="7706" priority="208">
      <formula>AND(M$9&gt;=8/24,M$9&lt;14/24)</formula>
    </cfRule>
    <cfRule type="expression" dxfId="7705" priority="209">
      <formula>M$9&lt;8/24</formula>
    </cfRule>
  </conditionalFormatting>
  <conditionalFormatting sqref="M50:R50">
    <cfRule type="expression" dxfId="7704" priority="202">
      <formula>M$9&gt;=20/24</formula>
    </cfRule>
    <cfRule type="expression" dxfId="7703" priority="203">
      <formula>AND(M$9&gt;=14/24,M$9&lt;20/24)</formula>
    </cfRule>
    <cfRule type="expression" dxfId="7702" priority="204">
      <formula>AND(M$9&gt;=8/24,M$9&lt;14/24)</formula>
    </cfRule>
    <cfRule type="expression" dxfId="7701" priority="205">
      <formula>M$9&lt;8/24</formula>
    </cfRule>
  </conditionalFormatting>
  <conditionalFormatting sqref="M45:R48">
    <cfRule type="expression" dxfId="7700" priority="198">
      <formula>M$9&gt;=20/24</formula>
    </cfRule>
    <cfRule type="expression" dxfId="7699" priority="199">
      <formula>AND(M$9&gt;=14/24,M$9&lt;20/24)</formula>
    </cfRule>
    <cfRule type="expression" dxfId="7698" priority="200">
      <formula>AND(M$9&gt;=8/24,M$9&lt;14/24)</formula>
    </cfRule>
    <cfRule type="expression" dxfId="7697" priority="201">
      <formula>M$9&lt;8/24</formula>
    </cfRule>
  </conditionalFormatting>
  <conditionalFormatting sqref="S37:AE37">
    <cfRule type="expression" dxfId="7696" priority="194">
      <formula>S$9&gt;=20/24</formula>
    </cfRule>
    <cfRule type="expression" dxfId="7695" priority="195">
      <formula>AND(S$9&gt;=14/24,S$9&lt;20/24)</formula>
    </cfRule>
    <cfRule type="expression" dxfId="7694" priority="196">
      <formula>AND(S$9&gt;=8/24,S$9&lt;14/24)</formula>
    </cfRule>
    <cfRule type="expression" dxfId="7693" priority="197">
      <formula>S$9&lt;8/24</formula>
    </cfRule>
  </conditionalFormatting>
  <conditionalFormatting sqref="S31:AA33 S35:AE35">
    <cfRule type="expression" dxfId="7692" priority="190">
      <formula>S$9&gt;=20/24</formula>
    </cfRule>
    <cfRule type="expression" dxfId="7691" priority="191">
      <formula>AND(S$9&gt;=14/24,S$9&lt;20/24)</formula>
    </cfRule>
    <cfRule type="expression" dxfId="7690" priority="192">
      <formula>AND(S$9&gt;=8/24,S$9&lt;14/24)</formula>
    </cfRule>
    <cfRule type="expression" dxfId="7689" priority="193">
      <formula>S$9&lt;8/24</formula>
    </cfRule>
  </conditionalFormatting>
  <conditionalFormatting sqref="S42:T43 U43:AA43 S45:AE48">
    <cfRule type="expression" dxfId="7688" priority="186">
      <formula>S$9&gt;=20/24</formula>
    </cfRule>
    <cfRule type="expression" dxfId="7687" priority="187">
      <formula>AND(S$9&gt;=14/24,S$9&lt;20/24)</formula>
    </cfRule>
    <cfRule type="expression" dxfId="7686" priority="188">
      <formula>AND(S$9&gt;=8/24,S$9&lt;14/24)</formula>
    </cfRule>
    <cfRule type="expression" dxfId="7685" priority="189">
      <formula>S$9&lt;8/24</formula>
    </cfRule>
  </conditionalFormatting>
  <conditionalFormatting sqref="S49:AE49">
    <cfRule type="expression" dxfId="7684" priority="182">
      <formula>S$9&gt;=20/24</formula>
    </cfRule>
    <cfRule type="expression" dxfId="7683" priority="183">
      <formula>AND(S$9&gt;=14/24,S$9&lt;20/24)</formula>
    </cfRule>
    <cfRule type="expression" dxfId="7682" priority="184">
      <formula>AND(S$9&gt;=8/24,S$9&lt;14/24)</formula>
    </cfRule>
    <cfRule type="expression" dxfId="7681" priority="185">
      <formula>S$9&lt;8/24</formula>
    </cfRule>
  </conditionalFormatting>
  <conditionalFormatting sqref="S50:AE50">
    <cfRule type="expression" dxfId="7680" priority="178">
      <formula>S$9&gt;=20/24</formula>
    </cfRule>
    <cfRule type="expression" dxfId="7679" priority="179">
      <formula>AND(S$9&gt;=14/24,S$9&lt;20/24)</formula>
    </cfRule>
    <cfRule type="expression" dxfId="7678" priority="180">
      <formula>AND(S$9&gt;=8/24,S$9&lt;14/24)</formula>
    </cfRule>
    <cfRule type="expression" dxfId="7677" priority="181">
      <formula>S$9&lt;8/24</formula>
    </cfRule>
  </conditionalFormatting>
  <conditionalFormatting sqref="S60:T60 S62:T67 S61:V61 X60:AE67">
    <cfRule type="expression" dxfId="7676" priority="174">
      <formula>S$9&gt;=20/24</formula>
    </cfRule>
    <cfRule type="expression" dxfId="7675" priority="175">
      <formula>AND(S$9&gt;=14/24,S$9&lt;20/24)</formula>
    </cfRule>
    <cfRule type="expression" dxfId="7674" priority="176">
      <formula>AND(S$9&gt;=8/24,S$9&lt;14/24)</formula>
    </cfRule>
    <cfRule type="expression" dxfId="7673" priority="177">
      <formula>S$9&lt;8/24</formula>
    </cfRule>
  </conditionalFormatting>
  <conditionalFormatting sqref="D62:R62">
    <cfRule type="expression" dxfId="7672" priority="170">
      <formula>D$9&gt;=20/24</formula>
    </cfRule>
    <cfRule type="expression" dxfId="7671" priority="171">
      <formula>AND(D$9&gt;=14/24,D$9&lt;20/24)</formula>
    </cfRule>
    <cfRule type="expression" dxfId="7670" priority="172">
      <formula>AND(D$9&gt;=8/24,D$9&lt;14/24)</formula>
    </cfRule>
    <cfRule type="expression" dxfId="7669" priority="173">
      <formula>D$9&lt;8/24</formula>
    </cfRule>
  </conditionalFormatting>
  <conditionalFormatting sqref="U94:AA97">
    <cfRule type="expression" dxfId="7668" priority="166">
      <formula>U$9&gt;=20/24</formula>
    </cfRule>
    <cfRule type="expression" dxfId="7667" priority="167">
      <formula>AND(U$9&gt;=14/24,U$9&lt;20/24)</formula>
    </cfRule>
    <cfRule type="expression" dxfId="7666" priority="168">
      <formula>AND(U$9&gt;=8/24,U$9&lt;14/24)</formula>
    </cfRule>
    <cfRule type="expression" dxfId="7665" priority="169">
      <formula>U$9&lt;8/24</formula>
    </cfRule>
  </conditionalFormatting>
  <conditionalFormatting sqref="AG51 Q13:Q14 B11:AF11 B13:P32 B12:Q12 S18:S33 Q16:R32 R12:R14 B34:S37 T18:AA37 AE34:AF37 AE12:AF32 AE33 AB12:AD37 B38:AF56">
    <cfRule type="expression" dxfId="7664" priority="165">
      <formula>B11&gt;$AG11</formula>
    </cfRule>
  </conditionalFormatting>
  <conditionalFormatting sqref="A100:A156 A84:A97 A11:A14 A16:A32 A45:A72 A80:A82 A74:A78 A35:A43 A169:A199">
    <cfRule type="expression" dxfId="7663" priority="164">
      <formula>$AH11=0</formula>
    </cfRule>
  </conditionalFormatting>
  <conditionalFormatting sqref="U98:AA98">
    <cfRule type="expression" dxfId="7662" priority="160">
      <formula>U$9&gt;=20/24</formula>
    </cfRule>
    <cfRule type="expression" dxfId="7661" priority="161">
      <formula>AND(U$9&gt;=14/24,U$9&lt;20/24)</formula>
    </cfRule>
    <cfRule type="expression" dxfId="7660" priority="162">
      <formula>AND(U$9&gt;=8/24,U$9&lt;14/24)</formula>
    </cfRule>
    <cfRule type="expression" dxfId="7659" priority="163">
      <formula>U$9&lt;8/24</formula>
    </cfRule>
  </conditionalFormatting>
  <conditionalFormatting sqref="A98">
    <cfRule type="expression" dxfId="7658" priority="159">
      <formula>$AH98=0</formula>
    </cfRule>
  </conditionalFormatting>
  <conditionalFormatting sqref="AL32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B34:AE34">
    <cfRule type="expression" dxfId="7657" priority="142">
      <formula>AB$9&gt;=20/24</formula>
    </cfRule>
    <cfRule type="expression" dxfId="7656" priority="143">
      <formula>AND(AB$9&gt;=14/24,AB$9&lt;20/24)</formula>
    </cfRule>
    <cfRule type="expression" dxfId="7655" priority="144">
      <formula>AND(AB$9&gt;=8/24,AB$9&lt;14/24)</formula>
    </cfRule>
    <cfRule type="expression" dxfId="7654" priority="145">
      <formula>AB$9&lt;8/24</formula>
    </cfRule>
  </conditionalFormatting>
  <conditionalFormatting sqref="Q34:R34">
    <cfRule type="expression" dxfId="7653" priority="138">
      <formula>Q$9&gt;=20/24</formula>
    </cfRule>
    <cfRule type="expression" dxfId="7652" priority="139">
      <formula>AND(Q$9&gt;=14/24,Q$9&lt;20/24)</formula>
    </cfRule>
    <cfRule type="expression" dxfId="7651" priority="140">
      <formula>AND(Q$9&gt;=8/24,Q$9&lt;14/24)</formula>
    </cfRule>
    <cfRule type="expression" dxfId="7650" priority="141">
      <formula>Q$9&lt;8/24</formula>
    </cfRule>
  </conditionalFormatting>
  <conditionalFormatting sqref="S34:AA34">
    <cfRule type="expression" dxfId="7649" priority="134">
      <formula>S$9&gt;=20/24</formula>
    </cfRule>
    <cfRule type="expression" dxfId="7648" priority="135">
      <formula>AND(S$9&gt;=14/24,S$9&lt;20/24)</formula>
    </cfRule>
    <cfRule type="expression" dxfId="7647" priority="136">
      <formula>AND(S$9&gt;=8/24,S$9&lt;14/24)</formula>
    </cfRule>
    <cfRule type="expression" dxfId="7646" priority="137">
      <formula>S$9&lt;8/24</formula>
    </cfRule>
  </conditionalFormatting>
  <conditionalFormatting sqref="A34">
    <cfRule type="expression" dxfId="7645" priority="133">
      <formula>$AH34=0</formula>
    </cfRule>
  </conditionalFormatting>
  <conditionalFormatting sqref="A83">
    <cfRule type="expression" dxfId="7644" priority="132">
      <formula>$AH83=0</formula>
    </cfRule>
  </conditionalFormatting>
  <conditionalFormatting sqref="AB15:AE15">
    <cfRule type="expression" dxfId="7643" priority="128">
      <formula>AB$9&gt;=20/24</formula>
    </cfRule>
    <cfRule type="expression" dxfId="7642" priority="129">
      <formula>AND(AB$9&gt;=14/24,AB$9&lt;20/24)</formula>
    </cfRule>
    <cfRule type="expression" dxfId="7641" priority="130">
      <formula>AND(AB$9&gt;=8/24,AB$9&lt;14/24)</formula>
    </cfRule>
    <cfRule type="expression" dxfId="7640" priority="131">
      <formula>AB$9&lt;8/24</formula>
    </cfRule>
  </conditionalFormatting>
  <conditionalFormatting sqref="Q15:R15">
    <cfRule type="expression" dxfId="7639" priority="124">
      <formula>Q$9&gt;=20/24</formula>
    </cfRule>
    <cfRule type="expression" dxfId="7638" priority="125">
      <formula>AND(Q$9&gt;=14/24,Q$9&lt;20/24)</formula>
    </cfRule>
    <cfRule type="expression" dxfId="7637" priority="126">
      <formula>AND(Q$9&gt;=8/24,Q$9&lt;14/24)</formula>
    </cfRule>
    <cfRule type="expression" dxfId="7636" priority="127">
      <formula>Q$9&lt;8/24</formula>
    </cfRule>
  </conditionalFormatting>
  <conditionalFormatting sqref="Q15:R15">
    <cfRule type="expression" dxfId="7635" priority="123">
      <formula>Q15&gt;$AG15</formula>
    </cfRule>
  </conditionalFormatting>
  <conditionalFormatting sqref="A15">
    <cfRule type="expression" dxfId="7634" priority="122">
      <formula>$AH15=0</formula>
    </cfRule>
  </conditionalFormatting>
  <conditionalFormatting sqref="A163:A168">
    <cfRule type="expression" dxfId="7633" priority="121">
      <formula>$AH163=0</formula>
    </cfRule>
  </conditionalFormatting>
  <conditionalFormatting sqref="A157:A162">
    <cfRule type="expression" dxfId="7632" priority="120">
      <formula>$AH157=0</formula>
    </cfRule>
  </conditionalFormatting>
  <conditionalFormatting sqref="Z44:AE44">
    <cfRule type="expression" dxfId="7631" priority="116">
      <formula>Z$9&gt;=20/24</formula>
    </cfRule>
    <cfRule type="expression" dxfId="7630" priority="117">
      <formula>AND(Z$9&gt;=14/24,Z$9&lt;20/24)</formula>
    </cfRule>
    <cfRule type="expression" dxfId="7629" priority="118">
      <formula>AND(Z$9&gt;=8/24,Z$9&lt;14/24)</formula>
    </cfRule>
    <cfRule type="expression" dxfId="7628" priority="119">
      <formula>Z$9&lt;8/24</formula>
    </cfRule>
  </conditionalFormatting>
  <conditionalFormatting sqref="M44:R44">
    <cfRule type="expression" dxfId="7627" priority="112">
      <formula>M$9&gt;=20/24</formula>
    </cfRule>
    <cfRule type="expression" dxfId="7626" priority="113">
      <formula>AND(M$9&gt;=14/24,M$9&lt;20/24)</formula>
    </cfRule>
    <cfRule type="expression" dxfId="7625" priority="114">
      <formula>AND(M$9&gt;=8/24,M$9&lt;14/24)</formula>
    </cfRule>
    <cfRule type="expression" dxfId="7624" priority="115">
      <formula>M$9&lt;8/24</formula>
    </cfRule>
  </conditionalFormatting>
  <conditionalFormatting sqref="S44:AA44">
    <cfRule type="expression" dxfId="7623" priority="108">
      <formula>S$9&gt;=20/24</formula>
    </cfRule>
    <cfRule type="expression" dxfId="7622" priority="109">
      <formula>AND(S$9&gt;=14/24,S$9&lt;20/24)</formula>
    </cfRule>
    <cfRule type="expression" dxfId="7621" priority="110">
      <formula>AND(S$9&gt;=8/24,S$9&lt;14/24)</formula>
    </cfRule>
    <cfRule type="expression" dxfId="7620" priority="111">
      <formula>S$9&lt;8/24</formula>
    </cfRule>
  </conditionalFormatting>
  <conditionalFormatting sqref="A44">
    <cfRule type="expression" dxfId="7619" priority="107">
      <formula>$AH44=0</formula>
    </cfRule>
  </conditionalFormatting>
  <conditionalFormatting sqref="A79">
    <cfRule type="expression" dxfId="7618" priority="106">
      <formula>$AH79=0</formula>
    </cfRule>
  </conditionalFormatting>
  <conditionalFormatting sqref="A73">
    <cfRule type="expression" dxfId="7617" priority="105">
      <formula>$AH73=0</formula>
    </cfRule>
  </conditionalFormatting>
  <conditionalFormatting sqref="AL34:AL35 AL7:AL31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U60:W60 U62:W67 W61">
    <cfRule type="expression" dxfId="7616" priority="101">
      <formula>U$9&gt;=20/24</formula>
    </cfRule>
    <cfRule type="expression" dxfId="7615" priority="102">
      <formula>AND(U$9&gt;=14/24,U$9&lt;20/24)</formula>
    </cfRule>
    <cfRule type="expression" dxfId="7614" priority="103">
      <formula>AND(U$9&gt;=8/24,U$9&lt;14/24)</formula>
    </cfRule>
    <cfRule type="expression" dxfId="7613" priority="104">
      <formula>U$9&lt;8/24</formula>
    </cfRule>
  </conditionalFormatting>
  <conditionalFormatting sqref="U85:AA91">
    <cfRule type="expression" dxfId="7612" priority="97">
      <formula>U$9&gt;=20/24</formula>
    </cfRule>
    <cfRule type="expression" dxfId="7611" priority="98">
      <formula>AND(U$9&gt;=14/24,U$9&lt;20/24)</formula>
    </cfRule>
    <cfRule type="expression" dxfId="7610" priority="99">
      <formula>AND(U$9&gt;=8/24,U$9&lt;14/24)</formula>
    </cfRule>
    <cfRule type="expression" dxfId="7609" priority="100">
      <formula>U$9&lt;8/24</formula>
    </cfRule>
  </conditionalFormatting>
  <conditionalFormatting sqref="S85:T91 C84:R91">
    <cfRule type="expression" dxfId="7608" priority="93">
      <formula>C$9&gt;=20/24</formula>
    </cfRule>
    <cfRule type="expression" dxfId="7607" priority="94">
      <formula>AND(C$9&gt;=14/24,C$9&lt;20/24)</formula>
    </cfRule>
    <cfRule type="expression" dxfId="7606" priority="95">
      <formula>AND(C$9&gt;=8/24,C$9&lt;14/24)</formula>
    </cfRule>
    <cfRule type="expression" dxfId="7605" priority="96">
      <formula>C$9&lt;8/24</formula>
    </cfRule>
  </conditionalFormatting>
  <conditionalFormatting sqref="S84:T84">
    <cfRule type="expression" dxfId="7604" priority="89">
      <formula>S$9&gt;=20/24</formula>
    </cfRule>
    <cfRule type="expression" dxfId="7603" priority="90">
      <formula>AND(S$9&gt;=14/24,S$9&lt;20/24)</formula>
    </cfRule>
    <cfRule type="expression" dxfId="7602" priority="91">
      <formula>AND(S$9&gt;=8/24,S$9&lt;14/24)</formula>
    </cfRule>
    <cfRule type="expression" dxfId="7601" priority="92">
      <formula>S$9&lt;8/24</formula>
    </cfRule>
  </conditionalFormatting>
  <conditionalFormatting sqref="C94:F94 C95:N97">
    <cfRule type="expression" dxfId="7600" priority="85">
      <formula>C$9&gt;=20/24</formula>
    </cfRule>
    <cfRule type="expression" dxfId="7599" priority="86">
      <formula>AND(C$9&gt;=14/24,C$9&lt;20/24)</formula>
    </cfRule>
    <cfRule type="expression" dxfId="7598" priority="87">
      <formula>AND(C$9&gt;=8/24,C$9&lt;14/24)</formula>
    </cfRule>
    <cfRule type="expression" dxfId="7597" priority="88">
      <formula>C$9&lt;8/24</formula>
    </cfRule>
  </conditionalFormatting>
  <conditionalFormatting sqref="O94:R97">
    <cfRule type="expression" dxfId="7596" priority="81">
      <formula>O$9&gt;=20/24</formula>
    </cfRule>
    <cfRule type="expression" dxfId="7595" priority="82">
      <formula>AND(O$9&gt;=14/24,O$9&lt;20/24)</formula>
    </cfRule>
    <cfRule type="expression" dxfId="7594" priority="83">
      <formula>AND(O$9&gt;=8/24,O$9&lt;14/24)</formula>
    </cfRule>
    <cfRule type="expression" dxfId="7593" priority="84">
      <formula>O$9&lt;8/24</formula>
    </cfRule>
  </conditionalFormatting>
  <conditionalFormatting sqref="S94:T97">
    <cfRule type="expression" dxfId="7592" priority="77">
      <formula>S$9&gt;=20/24</formula>
    </cfRule>
    <cfRule type="expression" dxfId="7591" priority="78">
      <formula>AND(S$9&gt;=14/24,S$9&lt;20/24)</formula>
    </cfRule>
    <cfRule type="expression" dxfId="7590" priority="79">
      <formula>AND(S$9&gt;=8/24,S$9&lt;14/24)</formula>
    </cfRule>
    <cfRule type="expression" dxfId="7589" priority="80">
      <formula>S$9&lt;8/24</formula>
    </cfRule>
  </conditionalFormatting>
  <conditionalFormatting sqref="C98:N98">
    <cfRule type="expression" dxfId="7588" priority="73">
      <formula>C$9&gt;=20/24</formula>
    </cfRule>
    <cfRule type="expression" dxfId="7587" priority="74">
      <formula>AND(C$9&gt;=14/24,C$9&lt;20/24)</formula>
    </cfRule>
    <cfRule type="expression" dxfId="7586" priority="75">
      <formula>AND(C$9&gt;=8/24,C$9&lt;14/24)</formula>
    </cfRule>
    <cfRule type="expression" dxfId="7585" priority="76">
      <formula>C$9&lt;8/24</formula>
    </cfRule>
  </conditionalFormatting>
  <conditionalFormatting sqref="O98:R98">
    <cfRule type="expression" dxfId="7584" priority="69">
      <formula>O$9&gt;=20/24</formula>
    </cfRule>
    <cfRule type="expression" dxfId="7583" priority="70">
      <formula>AND(O$9&gt;=14/24,O$9&lt;20/24)</formula>
    </cfRule>
    <cfRule type="expression" dxfId="7582" priority="71">
      <formula>AND(O$9&gt;=8/24,O$9&lt;14/24)</formula>
    </cfRule>
    <cfRule type="expression" dxfId="7581" priority="72">
      <formula>O$9&lt;8/24</formula>
    </cfRule>
  </conditionalFormatting>
  <conditionalFormatting sqref="S98:T98">
    <cfRule type="expression" dxfId="7580" priority="65">
      <formula>S$9&gt;=20/24</formula>
    </cfRule>
    <cfRule type="expression" dxfId="7579" priority="66">
      <formula>AND(S$9&gt;=14/24,S$9&lt;20/24)</formula>
    </cfRule>
    <cfRule type="expression" dxfId="7578" priority="67">
      <formula>AND(S$9&gt;=8/24,S$9&lt;14/24)</formula>
    </cfRule>
    <cfRule type="expression" dxfId="7577" priority="68">
      <formula>S$9&lt;8/24</formula>
    </cfRule>
  </conditionalFormatting>
  <conditionalFormatting sqref="M94:N94">
    <cfRule type="expression" dxfId="7576" priority="61">
      <formula>M$9&gt;=20/24</formula>
    </cfRule>
    <cfRule type="expression" dxfId="7575" priority="62">
      <formula>AND(M$9&gt;=14/24,M$9&lt;20/24)</formula>
    </cfRule>
    <cfRule type="expression" dxfId="7574" priority="63">
      <formula>AND(M$9&gt;=8/24,M$9&lt;14/24)</formula>
    </cfRule>
    <cfRule type="expression" dxfId="7573" priority="64">
      <formula>M$9&lt;8/24</formula>
    </cfRule>
  </conditionalFormatting>
  <conditionalFormatting sqref="G94:L94">
    <cfRule type="expression" dxfId="7572" priority="57">
      <formula>G$9&gt;=20/24</formula>
    </cfRule>
    <cfRule type="expression" dxfId="7571" priority="58">
      <formula>AND(G$9&gt;=14/24,G$9&lt;20/24)</formula>
    </cfRule>
    <cfRule type="expression" dxfId="7570" priority="59">
      <formula>AND(G$9&gt;=8/24,G$9&lt;14/24)</formula>
    </cfRule>
    <cfRule type="expression" dxfId="7569" priority="60">
      <formula>G$9&lt;8/24</formula>
    </cfRule>
  </conditionalFormatting>
  <conditionalFormatting sqref="U94:AA94">
    <cfRule type="expression" dxfId="7568" priority="53">
      <formula>U$9&gt;=20/24</formula>
    </cfRule>
    <cfRule type="expression" dxfId="7567" priority="54">
      <formula>AND(U$9&gt;=14/24,U$9&lt;20/24)</formula>
    </cfRule>
    <cfRule type="expression" dxfId="7566" priority="55">
      <formula>AND(U$9&gt;=8/24,U$9&lt;14/24)</formula>
    </cfRule>
    <cfRule type="expression" dxfId="7565" priority="56">
      <formula>U$9&lt;8/24</formula>
    </cfRule>
  </conditionalFormatting>
  <conditionalFormatting sqref="O94:T94">
    <cfRule type="expression" dxfId="7564" priority="49">
      <formula>O$9&gt;=20/24</formula>
    </cfRule>
    <cfRule type="expression" dxfId="7563" priority="50">
      <formula>AND(O$9&gt;=14/24,O$9&lt;20/24)</formula>
    </cfRule>
    <cfRule type="expression" dxfId="7562" priority="51">
      <formula>AND(O$9&gt;=8/24,O$9&lt;14/24)</formula>
    </cfRule>
    <cfRule type="expression" dxfId="7561" priority="52">
      <formula>O$9&lt;8/24</formula>
    </cfRule>
  </conditionalFormatting>
  <conditionalFormatting sqref="U99:AA99">
    <cfRule type="expression" dxfId="7560" priority="45">
      <formula>U$9&gt;=20/24</formula>
    </cfRule>
    <cfRule type="expression" dxfId="7559" priority="46">
      <formula>AND(U$9&gt;=14/24,U$9&lt;20/24)</formula>
    </cfRule>
    <cfRule type="expression" dxfId="7558" priority="47">
      <formula>AND(U$9&gt;=8/24,U$9&lt;14/24)</formula>
    </cfRule>
    <cfRule type="expression" dxfId="7557" priority="48">
      <formula>U$9&lt;8/24</formula>
    </cfRule>
  </conditionalFormatting>
  <conditionalFormatting sqref="C99:N99">
    <cfRule type="expression" dxfId="7556" priority="41">
      <formula>C$9&gt;=20/24</formula>
    </cfRule>
    <cfRule type="expression" dxfId="7555" priority="42">
      <formula>AND(C$9&gt;=14/24,C$9&lt;20/24)</formula>
    </cfRule>
    <cfRule type="expression" dxfId="7554" priority="43">
      <formula>AND(C$9&gt;=8/24,C$9&lt;14/24)</formula>
    </cfRule>
    <cfRule type="expression" dxfId="7553" priority="44">
      <formula>C$9&lt;8/24</formula>
    </cfRule>
  </conditionalFormatting>
  <conditionalFormatting sqref="O99:R99">
    <cfRule type="expression" dxfId="7552" priority="37">
      <formula>O$9&gt;=20/24</formula>
    </cfRule>
    <cfRule type="expression" dxfId="7551" priority="38">
      <formula>AND(O$9&gt;=14/24,O$9&lt;20/24)</formula>
    </cfRule>
    <cfRule type="expression" dxfId="7550" priority="39">
      <formula>AND(O$9&gt;=8/24,O$9&lt;14/24)</formula>
    </cfRule>
    <cfRule type="expression" dxfId="7549" priority="40">
      <formula>O$9&lt;8/24</formula>
    </cfRule>
  </conditionalFormatting>
  <conditionalFormatting sqref="S99:T99">
    <cfRule type="expression" dxfId="7548" priority="33">
      <formula>S$9&gt;=20/24</formula>
    </cfRule>
    <cfRule type="expression" dxfId="7547" priority="34">
      <formula>AND(S$9&gt;=14/24,S$9&lt;20/24)</formula>
    </cfRule>
    <cfRule type="expression" dxfId="7546" priority="35">
      <formula>AND(S$9&gt;=8/24,S$9&lt;14/24)</formula>
    </cfRule>
    <cfRule type="expression" dxfId="7545" priority="36">
      <formula>S$9&lt;8/24</formula>
    </cfRule>
  </conditionalFormatting>
  <conditionalFormatting sqref="S12:AA16">
    <cfRule type="expression" dxfId="7544" priority="29">
      <formula>S$9&gt;=20/24</formula>
    </cfRule>
    <cfRule type="expression" dxfId="7543" priority="30">
      <formula>AND(S$9&gt;=14/24,S$9&lt;20/24)</formula>
    </cfRule>
    <cfRule type="expression" dxfId="7542" priority="31">
      <formula>AND(S$9&gt;=8/24,S$9&lt;14/24)</formula>
    </cfRule>
    <cfRule type="expression" dxfId="7541" priority="32">
      <formula>S$9&lt;8/24</formula>
    </cfRule>
  </conditionalFormatting>
  <conditionalFormatting sqref="S17:AA17">
    <cfRule type="expression" dxfId="7540" priority="25">
      <formula>S$9&gt;=20/24</formula>
    </cfRule>
    <cfRule type="expression" dxfId="7539" priority="26">
      <formula>AND(S$9&gt;=14/24,S$9&lt;20/24)</formula>
    </cfRule>
    <cfRule type="expression" dxfId="7538" priority="27">
      <formula>AND(S$9&gt;=8/24,S$9&lt;14/24)</formula>
    </cfRule>
    <cfRule type="expression" dxfId="7537" priority="28">
      <formula>S$9&lt;8/24</formula>
    </cfRule>
  </conditionalFormatting>
  <conditionalFormatting sqref="V38 S12:AA13">
    <cfRule type="expression" dxfId="7536" priority="21">
      <formula>S$9&gt;=20/24</formula>
    </cfRule>
    <cfRule type="expression" dxfId="7535" priority="22">
      <formula>AND(S$9&gt;=14/24,S$9&lt;20/24)</formula>
    </cfRule>
    <cfRule type="expression" dxfId="7534" priority="23">
      <formula>AND(S$9&gt;=8/24,S$9&lt;14/24)</formula>
    </cfRule>
    <cfRule type="expression" dxfId="7533" priority="24">
      <formula>S$9&lt;8/24</formula>
    </cfRule>
  </conditionalFormatting>
  <conditionalFormatting sqref="AB58:AE59">
    <cfRule type="expression" dxfId="7532" priority="17">
      <formula>AB$9&gt;=20/24</formula>
    </cfRule>
    <cfRule type="expression" dxfId="7531" priority="18">
      <formula>AND(AB$9&gt;=14/24,AB$9&lt;20/24)</formula>
    </cfRule>
    <cfRule type="expression" dxfId="7530" priority="19">
      <formula>AND(AB$9&gt;=8/24,AB$9&lt;14/24)</formula>
    </cfRule>
    <cfRule type="expression" dxfId="7529" priority="20">
      <formula>AB$9&lt;8/24</formula>
    </cfRule>
  </conditionalFormatting>
  <conditionalFormatting sqref="AL33">
    <cfRule type="iconSet" priority="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528" priority="250">
      <formula>C$9&gt;=20/24</formula>
    </cfRule>
    <cfRule type="expression" dxfId="7527" priority="251">
      <formula>AND(C$9&gt;=14/24,C$9&lt;20/24)</formula>
    </cfRule>
    <cfRule type="expression" dxfId="7526" priority="252">
      <formula>AND(C$9&gt;=8/24,C$9&lt;14/24)</formula>
    </cfRule>
    <cfRule type="expression" dxfId="7525" priority="253">
      <formula>C$9&lt;8/24</formula>
    </cfRule>
  </conditionalFormatting>
  <conditionalFormatting sqref="A200">
    <cfRule type="expression" dxfId="7524" priority="254">
      <formula>$AH200=0</formula>
    </cfRule>
  </conditionalFormatting>
  <conditionalFormatting sqref="AG212">
    <cfRule type="expression" dxfId="7523" priority="256">
      <formula>B$9&gt;=20/24</formula>
    </cfRule>
    <cfRule type="expression" dxfId="7522" priority="257">
      <formula>AND(B$9&gt;=14/24,B$9&lt;20/24)</formula>
    </cfRule>
    <cfRule type="expression" dxfId="7521" priority="258">
      <formula>AND(B$9&gt;=8/24,B$9&lt;14/24)</formula>
    </cfRule>
    <cfRule type="expression" dxfId="7520" priority="259">
      <formula>B$9&lt;8/24</formula>
    </cfRule>
  </conditionalFormatting>
  <conditionalFormatting sqref="S8">
    <cfRule type="expression" dxfId="7519" priority="6">
      <formula>U$9&gt;=20/24</formula>
    </cfRule>
    <cfRule type="expression" dxfId="7518" priority="7">
      <formula>AND(U$9&gt;=14/24,U$9&lt;20/24)</formula>
    </cfRule>
    <cfRule type="expression" dxfId="7517" priority="8">
      <formula>AND(U$9&gt;=8/24,U$9&lt;14/24)</formula>
    </cfRule>
    <cfRule type="expression" dxfId="7516" priority="9">
      <formula>U$9&lt;8/24</formula>
    </cfRule>
  </conditionalFormatting>
  <conditionalFormatting sqref="AB8">
    <cfRule type="expression" dxfId="7515" priority="2">
      <formula>AD$9&gt;=20/24</formula>
    </cfRule>
    <cfRule type="expression" dxfId="7514" priority="3">
      <formula>AND(AD$9&gt;=14/24,AD$9&lt;20/24)</formula>
    </cfRule>
    <cfRule type="expression" dxfId="7513" priority="4">
      <formula>AND(AD$9&gt;=8/24,AD$9&lt;14/24)</formula>
    </cfRule>
    <cfRule type="expression" dxfId="7512" priority="5">
      <formula>AD$9&lt;8/24</formula>
    </cfRule>
  </conditionalFormatting>
  <conditionalFormatting sqref="AH212:AX212">
    <cfRule type="expression" dxfId="7511" priority="260">
      <formula>AG$9&gt;=20/24</formula>
    </cfRule>
    <cfRule type="expression" dxfId="7510" priority="261">
      <formula>AND(AG$9&gt;=14/24,AG$9&lt;20/24)</formula>
    </cfRule>
    <cfRule type="expression" dxfId="7509" priority="262">
      <formula>AND(AG$9&gt;=8/24,AG$9&lt;14/24)</formula>
    </cfRule>
    <cfRule type="expression" dxfId="7508" priority="263">
      <formula>AG$9&lt;8/24</formula>
    </cfRule>
  </conditionalFormatting>
  <conditionalFormatting sqref="T212">
    <cfRule type="expression" dxfId="7507" priority="264">
      <formula>AX$9&gt;=20/24</formula>
    </cfRule>
    <cfRule type="expression" dxfId="7506" priority="265">
      <formula>AND(AX$9&gt;=14/24,AX$9&lt;20/24)</formula>
    </cfRule>
    <cfRule type="expression" dxfId="7505" priority="266">
      <formula>AND(AX$9&gt;=8/24,AX$9&lt;14/24)</formula>
    </cfRule>
    <cfRule type="expression" dxfId="7504" priority="267">
      <formula>AX$9&lt;8/24</formula>
    </cfRule>
  </conditionalFormatting>
  <conditionalFormatting sqref="A99">
    <cfRule type="expression" dxfId="7503" priority="1">
      <formula>$AH99=0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41E36AD-8AC2-459B-86E4-9DABD0C380C0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7BB16E43-E436-44E2-9C1C-09CA747BF6A1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0517903E-04E6-44EE-BD68-4E6107431D34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BA72317A-F7E9-415B-B259-BED6BCE73B6B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Q33:R33</xm:sqref>
        </x14:conditionalFormatting>
        <x14:conditionalFormatting xmlns:xm="http://schemas.microsoft.com/office/excel/2006/main">
          <x14:cfRule type="expression" priority="12" id="{18BD9EF0-A207-4BBF-92CF-B7D384FB6F85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AF33 Q33:R33</xm:sqref>
        </x14:conditionalFormatting>
        <x14:conditionalFormatting xmlns:xm="http://schemas.microsoft.com/office/excel/2006/main">
          <x14:cfRule type="expression" priority="11" id="{6317CB87-D6F5-410B-932C-2287D641961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55" id="{586D6429-8315-4403-9D14-8E4CA3BB6175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B33:P33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B57" sqref="B5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2078/08/7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164</v>
      </c>
      <c r="C5" s="32">
        <f t="shared" si="0"/>
        <v>143.19999999999999</v>
      </c>
      <c r="D5" s="32">
        <f t="shared" si="0"/>
        <v>140</v>
      </c>
      <c r="E5" s="32">
        <f t="shared" si="0"/>
        <v>118</v>
      </c>
      <c r="F5" s="32">
        <f t="shared" si="0"/>
        <v>114</v>
      </c>
      <c r="G5" s="32">
        <f t="shared" si="0"/>
        <v>134</v>
      </c>
      <c r="H5" s="32">
        <f t="shared" si="0"/>
        <v>124</v>
      </c>
      <c r="I5" s="32">
        <f t="shared" si="0"/>
        <v>184</v>
      </c>
      <c r="J5" s="32">
        <f t="shared" si="0"/>
        <v>269</v>
      </c>
      <c r="K5" s="32">
        <f t="shared" si="0"/>
        <v>202</v>
      </c>
      <c r="L5" s="32">
        <f t="shared" si="0"/>
        <v>148.1</v>
      </c>
      <c r="M5" s="32">
        <f t="shared" si="0"/>
        <v>138.69999999999999</v>
      </c>
      <c r="N5" s="32">
        <f t="shared" si="0"/>
        <v>155.30000000000001</v>
      </c>
      <c r="O5" s="32">
        <f t="shared" si="0"/>
        <v>394</v>
      </c>
      <c r="P5" s="32">
        <f t="shared" si="0"/>
        <v>375</v>
      </c>
      <c r="Q5" s="32">
        <f t="shared" si="0"/>
        <v>340</v>
      </c>
      <c r="R5" s="32">
        <f t="shared" si="0"/>
        <v>384</v>
      </c>
      <c r="S5" s="32">
        <f t="shared" si="0"/>
        <v>306</v>
      </c>
      <c r="T5" s="32">
        <f t="shared" si="0"/>
        <v>646</v>
      </c>
      <c r="U5" s="32">
        <f t="shared" si="0"/>
        <v>561</v>
      </c>
      <c r="V5" s="32">
        <f t="shared" si="0"/>
        <v>139</v>
      </c>
      <c r="W5" s="32">
        <f t="shared" si="0"/>
        <v>106.8</v>
      </c>
      <c r="X5" s="32">
        <f t="shared" si="0"/>
        <v>105</v>
      </c>
      <c r="Y5" s="32">
        <f t="shared" si="0"/>
        <v>129.4</v>
      </c>
      <c r="Z5" s="32">
        <f t="shared" si="0"/>
        <v>137.60000000000002</v>
      </c>
      <c r="AA5" s="32">
        <f t="shared" si="0"/>
        <v>305.89999999999998</v>
      </c>
      <c r="AB5" s="32">
        <f t="shared" si="0"/>
        <v>329.7</v>
      </c>
      <c r="AC5" s="32">
        <f t="shared" si="0"/>
        <v>286.2</v>
      </c>
      <c r="AD5" s="32">
        <f t="shared" si="0"/>
        <v>301.7</v>
      </c>
      <c r="AE5" s="32">
        <f t="shared" si="0"/>
        <v>225.3</v>
      </c>
      <c r="AF5" s="32">
        <f>B68</f>
        <v>175.7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1503MW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Load=867</v>
      </c>
      <c r="B7" s="37">
        <f>B75</f>
        <v>941.64</v>
      </c>
      <c r="C7" s="37">
        <f t="shared" ref="C7:AF7" si="1">C75</f>
        <v>906.33999999999992</v>
      </c>
      <c r="D7" s="37">
        <f t="shared" si="1"/>
        <v>888.43999999999994</v>
      </c>
      <c r="E7" s="37">
        <f t="shared" si="1"/>
        <v>866.54</v>
      </c>
      <c r="F7" s="37">
        <f t="shared" si="1"/>
        <v>903.24</v>
      </c>
      <c r="G7" s="37">
        <f t="shared" si="1"/>
        <v>917.63999999999987</v>
      </c>
      <c r="H7" s="37">
        <f t="shared" si="1"/>
        <v>1039.1399999999999</v>
      </c>
      <c r="I7" s="37">
        <f t="shared" si="1"/>
        <v>1120.1399999999999</v>
      </c>
      <c r="J7" s="37">
        <f t="shared" si="1"/>
        <v>1246.1399999999999</v>
      </c>
      <c r="K7" s="37">
        <f t="shared" si="1"/>
        <v>1363.6399999999999</v>
      </c>
      <c r="L7" s="37">
        <f t="shared" si="1"/>
        <v>1467.44</v>
      </c>
      <c r="M7" s="37">
        <f t="shared" si="1"/>
        <v>1503.24</v>
      </c>
      <c r="N7" s="37">
        <f t="shared" si="1"/>
        <v>1415.4399999999998</v>
      </c>
      <c r="O7" s="37">
        <f t="shared" si="1"/>
        <v>1338.1399999999999</v>
      </c>
      <c r="P7" s="37">
        <f t="shared" si="1"/>
        <v>1292.9399999999998</v>
      </c>
      <c r="Q7" s="37">
        <f t="shared" si="1"/>
        <v>1248.54</v>
      </c>
      <c r="R7" s="37">
        <f t="shared" si="1"/>
        <v>1205.54</v>
      </c>
      <c r="S7" s="37">
        <f t="shared" si="1"/>
        <v>1227.6400000000001</v>
      </c>
      <c r="T7" s="37">
        <f t="shared" si="1"/>
        <v>1176.44</v>
      </c>
      <c r="U7" s="37">
        <f t="shared" si="1"/>
        <v>1518.3400000000001</v>
      </c>
      <c r="V7" s="37">
        <f t="shared" si="1"/>
        <v>1607.04</v>
      </c>
      <c r="W7" s="37">
        <f t="shared" si="1"/>
        <v>1348.6399999999999</v>
      </c>
      <c r="X7" s="37">
        <f t="shared" si="1"/>
        <v>1536.2400000000002</v>
      </c>
      <c r="Y7" s="37">
        <f t="shared" si="1"/>
        <v>1320.3400000000001</v>
      </c>
      <c r="Z7" s="37">
        <f t="shared" si="1"/>
        <v>1465.04</v>
      </c>
      <c r="AA7" s="37">
        <f t="shared" si="1"/>
        <v>1466.54</v>
      </c>
      <c r="AB7" s="37">
        <f t="shared" si="1"/>
        <v>1403.04</v>
      </c>
      <c r="AC7" s="37">
        <f t="shared" si="1"/>
        <v>1362.94</v>
      </c>
      <c r="AD7" s="37">
        <f t="shared" si="1"/>
        <v>1271.54</v>
      </c>
      <c r="AE7" s="37">
        <f t="shared" si="1"/>
        <v>1089.6400000000001</v>
      </c>
      <c r="AF7" s="37">
        <f t="shared" si="1"/>
        <v>988.1400000000001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20</v>
      </c>
      <c r="D11" s="49">
        <v>30</v>
      </c>
      <c r="E11" s="49">
        <v>30</v>
      </c>
      <c r="F11" s="49">
        <v>30</v>
      </c>
      <c r="G11" s="49">
        <v>50</v>
      </c>
      <c r="H11" s="49">
        <v>110</v>
      </c>
      <c r="I11" s="49">
        <v>210</v>
      </c>
      <c r="J11" s="49">
        <v>220</v>
      </c>
      <c r="K11" s="49">
        <v>210</v>
      </c>
      <c r="L11" s="49">
        <v>270</v>
      </c>
      <c r="M11" s="50">
        <v>360</v>
      </c>
      <c r="N11" s="50">
        <v>300</v>
      </c>
      <c r="O11" s="50">
        <v>280</v>
      </c>
      <c r="P11" s="50">
        <v>25</v>
      </c>
      <c r="Q11" s="50">
        <v>30</v>
      </c>
      <c r="R11" s="51">
        <v>30</v>
      </c>
      <c r="S11" s="51">
        <v>30</v>
      </c>
      <c r="T11" s="51">
        <v>40</v>
      </c>
      <c r="U11" s="51">
        <v>40</v>
      </c>
      <c r="V11" s="51">
        <v>80</v>
      </c>
      <c r="W11" s="51">
        <v>243</v>
      </c>
      <c r="X11" s="50">
        <v>456</v>
      </c>
      <c r="Y11" s="51">
        <v>243</v>
      </c>
      <c r="Z11" s="51">
        <v>406</v>
      </c>
      <c r="AA11" s="51">
        <v>406</v>
      </c>
      <c r="AB11" s="50">
        <v>155.5</v>
      </c>
      <c r="AC11" s="50">
        <v>126.3</v>
      </c>
      <c r="AD11" s="50">
        <v>126.3</v>
      </c>
      <c r="AE11" s="50">
        <v>30</v>
      </c>
      <c r="AF11" s="49">
        <v>30</v>
      </c>
      <c r="AG11" s="53">
        <v>456</v>
      </c>
      <c r="AH11" s="54">
        <f>MAX(B11:AF11)</f>
        <v>456</v>
      </c>
      <c r="AI11" s="55">
        <f>MIN(B11:AF11)</f>
        <v>20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50</v>
      </c>
      <c r="J12" s="49">
        <v>50</v>
      </c>
      <c r="K12" s="49">
        <v>50</v>
      </c>
      <c r="L12" s="49">
        <v>50</v>
      </c>
      <c r="M12" s="49">
        <v>50</v>
      </c>
      <c r="N12" s="49">
        <v>47.5</v>
      </c>
      <c r="O12" s="49">
        <v>47.5</v>
      </c>
      <c r="P12" s="49">
        <v>47.5</v>
      </c>
      <c r="Q12" s="49">
        <v>47.5</v>
      </c>
      <c r="R12" s="49">
        <v>47.5</v>
      </c>
      <c r="S12" s="49">
        <v>47.5</v>
      </c>
      <c r="T12" s="49">
        <v>47.5</v>
      </c>
      <c r="U12" s="49">
        <v>47.5</v>
      </c>
      <c r="V12" s="49">
        <v>47.5</v>
      </c>
      <c r="W12" s="49">
        <v>47.5</v>
      </c>
      <c r="X12" s="58">
        <v>47.5</v>
      </c>
      <c r="Y12" s="49">
        <v>47.5</v>
      </c>
      <c r="Z12" s="49">
        <v>47.5</v>
      </c>
      <c r="AA12" s="49">
        <v>47.5</v>
      </c>
      <c r="AB12" s="49">
        <v>47.5</v>
      </c>
      <c r="AC12" s="49">
        <v>47.5</v>
      </c>
      <c r="AD12" s="49">
        <v>47.5</v>
      </c>
      <c r="AE12" s="49">
        <v>47.5</v>
      </c>
      <c r="AF12" s="49">
        <v>47.5</v>
      </c>
      <c r="AG12" s="59">
        <v>60</v>
      </c>
      <c r="AH12" s="54">
        <f t="shared" ref="AH12:AH75" si="2">MAX(B12:AF12)</f>
        <v>50</v>
      </c>
      <c r="AI12" s="55">
        <f t="shared" ref="AI12:AI75" si="3">MIN(B12:AF12)</f>
        <v>47.5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27.3</v>
      </c>
      <c r="C13" s="49">
        <v>27.3</v>
      </c>
      <c r="D13" s="49">
        <v>27.3</v>
      </c>
      <c r="E13" s="49">
        <v>27.3</v>
      </c>
      <c r="F13" s="49">
        <v>27.3</v>
      </c>
      <c r="G13" s="49">
        <v>27.3</v>
      </c>
      <c r="H13" s="49">
        <v>27.3</v>
      </c>
      <c r="I13" s="49">
        <v>27.3</v>
      </c>
      <c r="J13" s="49">
        <v>27.3</v>
      </c>
      <c r="K13" s="49">
        <v>27.3</v>
      </c>
      <c r="L13" s="49">
        <v>27.3</v>
      </c>
      <c r="M13" s="49">
        <v>27.1</v>
      </c>
      <c r="N13" s="49">
        <v>27.2</v>
      </c>
      <c r="O13" s="49">
        <v>27.2</v>
      </c>
      <c r="P13" s="49">
        <v>27.2</v>
      </c>
      <c r="Q13" s="49">
        <v>27.2</v>
      </c>
      <c r="R13" s="49">
        <v>27.2</v>
      </c>
      <c r="S13" s="49">
        <v>27.2</v>
      </c>
      <c r="T13" s="49">
        <v>27.2</v>
      </c>
      <c r="U13" s="49">
        <v>27.2</v>
      </c>
      <c r="V13" s="49">
        <v>27.2</v>
      </c>
      <c r="W13" s="49">
        <v>27.2</v>
      </c>
      <c r="X13" s="58">
        <v>27.2</v>
      </c>
      <c r="Y13" s="49">
        <v>27.2</v>
      </c>
      <c r="Z13" s="49">
        <v>27.2</v>
      </c>
      <c r="AA13" s="49">
        <v>27.2</v>
      </c>
      <c r="AB13" s="49">
        <v>27.2</v>
      </c>
      <c r="AC13" s="49">
        <v>27.2</v>
      </c>
      <c r="AD13" s="49">
        <v>27.2</v>
      </c>
      <c r="AE13" s="49">
        <v>27.2</v>
      </c>
      <c r="AF13" s="49">
        <v>27.2</v>
      </c>
      <c r="AG13" s="59">
        <v>52.4</v>
      </c>
      <c r="AH13" s="54">
        <f t="shared" si="2"/>
        <v>27.3</v>
      </c>
      <c r="AI13" s="55">
        <f t="shared" si="3"/>
        <v>27.1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50.9</v>
      </c>
      <c r="C14" s="49">
        <v>50.9</v>
      </c>
      <c r="D14" s="49">
        <v>50.9</v>
      </c>
      <c r="E14" s="49">
        <v>50.9</v>
      </c>
      <c r="F14" s="49">
        <v>50.9</v>
      </c>
      <c r="G14" s="49">
        <v>50.9</v>
      </c>
      <c r="H14" s="49">
        <v>50.9</v>
      </c>
      <c r="I14" s="49">
        <v>50.9</v>
      </c>
      <c r="J14" s="49">
        <v>50.9</v>
      </c>
      <c r="K14" s="49">
        <v>50.9</v>
      </c>
      <c r="L14" s="49">
        <v>50.9</v>
      </c>
      <c r="M14" s="50">
        <v>50.7</v>
      </c>
      <c r="N14" s="50">
        <v>50.8</v>
      </c>
      <c r="O14" s="50">
        <v>50.8</v>
      </c>
      <c r="P14" s="50">
        <v>50.8</v>
      </c>
      <c r="Q14" s="50">
        <v>50.6</v>
      </c>
      <c r="R14" s="50">
        <v>50.6</v>
      </c>
      <c r="S14" s="50">
        <v>50.6</v>
      </c>
      <c r="T14" s="50">
        <v>50.6</v>
      </c>
      <c r="U14" s="50">
        <v>50.6</v>
      </c>
      <c r="V14" s="50">
        <v>50.6</v>
      </c>
      <c r="W14" s="50">
        <v>50.6</v>
      </c>
      <c r="X14" s="60">
        <v>50.6</v>
      </c>
      <c r="Y14" s="50">
        <v>50.6</v>
      </c>
      <c r="Z14" s="50">
        <v>50.6</v>
      </c>
      <c r="AA14" s="50">
        <v>50.6</v>
      </c>
      <c r="AB14" s="50">
        <v>50.6</v>
      </c>
      <c r="AC14" s="50">
        <v>50.6</v>
      </c>
      <c r="AD14" s="50">
        <v>50.6</v>
      </c>
      <c r="AE14" s="50">
        <v>50.6</v>
      </c>
      <c r="AF14" s="50">
        <v>50.6</v>
      </c>
      <c r="AG14" s="59">
        <v>50</v>
      </c>
      <c r="AH14" s="54">
        <f t="shared" si="2"/>
        <v>50.9</v>
      </c>
      <c r="AI14" s="55">
        <f t="shared" si="3"/>
        <v>50.6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25.4</v>
      </c>
      <c r="C15" s="61">
        <v>25.5</v>
      </c>
      <c r="D15" s="61">
        <v>24.4</v>
      </c>
      <c r="E15" s="61">
        <v>24.4</v>
      </c>
      <c r="F15" s="61">
        <v>24.4</v>
      </c>
      <c r="G15" s="61">
        <v>24.4</v>
      </c>
      <c r="H15" s="61">
        <v>24.4</v>
      </c>
      <c r="I15" s="61">
        <v>24.4</v>
      </c>
      <c r="J15" s="61">
        <v>24.4</v>
      </c>
      <c r="K15" s="61">
        <v>24.4</v>
      </c>
      <c r="L15" s="61">
        <v>24.4</v>
      </c>
      <c r="M15" s="50">
        <v>25.3</v>
      </c>
      <c r="N15" s="50">
        <v>25</v>
      </c>
      <c r="O15" s="50">
        <v>25</v>
      </c>
      <c r="P15" s="50">
        <v>25</v>
      </c>
      <c r="Q15" s="50">
        <v>23.6</v>
      </c>
      <c r="R15" s="50">
        <v>23.6</v>
      </c>
      <c r="S15" s="50">
        <v>23.6</v>
      </c>
      <c r="T15" s="50">
        <v>23.6</v>
      </c>
      <c r="U15" s="50">
        <v>23.6</v>
      </c>
      <c r="V15" s="50">
        <v>23.6</v>
      </c>
      <c r="W15" s="50">
        <v>23.6</v>
      </c>
      <c r="X15" s="60">
        <v>23.6</v>
      </c>
      <c r="Y15" s="50">
        <v>23.6</v>
      </c>
      <c r="Z15" s="50">
        <v>23.6</v>
      </c>
      <c r="AA15" s="50">
        <v>23.6</v>
      </c>
      <c r="AB15" s="50">
        <v>23.6</v>
      </c>
      <c r="AC15" s="50">
        <v>23.6</v>
      </c>
      <c r="AD15" s="50">
        <v>23.6</v>
      </c>
      <c r="AE15" s="50">
        <v>23.6</v>
      </c>
      <c r="AF15" s="50">
        <v>23.6</v>
      </c>
      <c r="AG15" s="62">
        <v>45</v>
      </c>
      <c r="AH15" s="54">
        <f t="shared" si="2"/>
        <v>25.5</v>
      </c>
      <c r="AI15" s="55">
        <f t="shared" si="3"/>
        <v>23.6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14</v>
      </c>
      <c r="C16" s="49">
        <v>14</v>
      </c>
      <c r="D16" s="49">
        <v>14</v>
      </c>
      <c r="E16" s="49">
        <v>14</v>
      </c>
      <c r="F16" s="49">
        <v>14</v>
      </c>
      <c r="G16" s="49">
        <v>14</v>
      </c>
      <c r="H16" s="49">
        <v>14</v>
      </c>
      <c r="I16" s="49">
        <v>14</v>
      </c>
      <c r="J16" s="49">
        <v>14</v>
      </c>
      <c r="K16" s="49">
        <v>14</v>
      </c>
      <c r="L16" s="49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63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9">
        <v>45</v>
      </c>
      <c r="AH16" s="54">
        <f t="shared" si="2"/>
        <v>14</v>
      </c>
      <c r="AI16" s="55">
        <f t="shared" si="3"/>
        <v>14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50">
        <v>13</v>
      </c>
      <c r="Z17" s="50">
        <v>13</v>
      </c>
      <c r="AA17" s="50">
        <v>13</v>
      </c>
      <c r="AB17" s="50">
        <v>13</v>
      </c>
      <c r="AC17" s="50">
        <v>13</v>
      </c>
      <c r="AD17" s="50">
        <v>13</v>
      </c>
      <c r="AE17" s="50">
        <v>13</v>
      </c>
      <c r="AF17" s="5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12.2</v>
      </c>
      <c r="C19" s="49">
        <v>12.2</v>
      </c>
      <c r="D19" s="49">
        <v>12.2</v>
      </c>
      <c r="E19" s="49">
        <v>12.2</v>
      </c>
      <c r="F19" s="49">
        <v>12.2</v>
      </c>
      <c r="G19" s="49">
        <v>12.2</v>
      </c>
      <c r="H19" s="49">
        <v>12.2</v>
      </c>
      <c r="I19" s="49">
        <v>12.2</v>
      </c>
      <c r="J19" s="49">
        <v>12.2</v>
      </c>
      <c r="K19" s="49">
        <v>12.2</v>
      </c>
      <c r="L19" s="49">
        <v>12.2</v>
      </c>
      <c r="M19" s="50">
        <v>12.2</v>
      </c>
      <c r="N19" s="50">
        <v>12.2</v>
      </c>
      <c r="O19" s="50">
        <v>12.2</v>
      </c>
      <c r="P19" s="50">
        <v>12.2</v>
      </c>
      <c r="Q19" s="50">
        <v>12.2</v>
      </c>
      <c r="R19" s="50">
        <v>12.2</v>
      </c>
      <c r="S19" s="50">
        <v>12.2</v>
      </c>
      <c r="T19" s="50">
        <v>12.2</v>
      </c>
      <c r="U19" s="50">
        <v>12.2</v>
      </c>
      <c r="V19" s="50">
        <v>12.2</v>
      </c>
      <c r="W19" s="50">
        <v>12.2</v>
      </c>
      <c r="X19" s="50">
        <v>12.2</v>
      </c>
      <c r="Y19" s="50">
        <v>12.2</v>
      </c>
      <c r="Z19" s="50">
        <v>12.2</v>
      </c>
      <c r="AA19" s="50">
        <v>12.2</v>
      </c>
      <c r="AB19" s="50">
        <v>12.2</v>
      </c>
      <c r="AC19" s="50">
        <v>12.2</v>
      </c>
      <c r="AD19" s="50">
        <v>12.2</v>
      </c>
      <c r="AE19" s="50">
        <v>12.2</v>
      </c>
      <c r="AF19" s="50">
        <v>12.2</v>
      </c>
      <c r="AG19" s="59">
        <v>30</v>
      </c>
      <c r="AH19" s="54">
        <f t="shared" si="2"/>
        <v>12.2</v>
      </c>
      <c r="AI19" s="55">
        <f t="shared" si="3"/>
        <v>12.2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15.5</v>
      </c>
      <c r="C22" s="49">
        <v>15.8</v>
      </c>
      <c r="D22" s="49">
        <v>15.8</v>
      </c>
      <c r="E22" s="49">
        <v>15.8</v>
      </c>
      <c r="F22" s="49">
        <v>15.8</v>
      </c>
      <c r="G22" s="49">
        <v>15.8</v>
      </c>
      <c r="H22" s="49">
        <v>15.8</v>
      </c>
      <c r="I22" s="49">
        <v>15.8</v>
      </c>
      <c r="J22" s="49">
        <v>15.8</v>
      </c>
      <c r="K22" s="49">
        <v>15.8</v>
      </c>
      <c r="L22" s="49">
        <v>15.8</v>
      </c>
      <c r="M22" s="50">
        <v>14.4</v>
      </c>
      <c r="N22" s="50">
        <v>14.4</v>
      </c>
      <c r="O22" s="50">
        <v>14.4</v>
      </c>
      <c r="P22" s="50">
        <v>14.4</v>
      </c>
      <c r="Q22" s="50">
        <v>14.4</v>
      </c>
      <c r="R22" s="50">
        <v>14.4</v>
      </c>
      <c r="S22" s="50">
        <v>14.4</v>
      </c>
      <c r="T22" s="50">
        <v>14.4</v>
      </c>
      <c r="U22" s="50">
        <v>14.4</v>
      </c>
      <c r="V22" s="50">
        <v>14.4</v>
      </c>
      <c r="W22" s="50">
        <v>14.4</v>
      </c>
      <c r="X22" s="50">
        <v>14.4</v>
      </c>
      <c r="Y22" s="50">
        <v>14.4</v>
      </c>
      <c r="Z22" s="50">
        <v>14.4</v>
      </c>
      <c r="AA22" s="50">
        <v>14.4</v>
      </c>
      <c r="AB22" s="50">
        <v>14.4</v>
      </c>
      <c r="AC22" s="50">
        <v>14.4</v>
      </c>
      <c r="AD22" s="50">
        <v>14.4</v>
      </c>
      <c r="AE22" s="50">
        <v>14.4</v>
      </c>
      <c r="AF22" s="50">
        <v>14.4</v>
      </c>
      <c r="AG22" s="59">
        <v>25</v>
      </c>
      <c r="AH22" s="54">
        <f t="shared" si="2"/>
        <v>15.8</v>
      </c>
      <c r="AI22" s="55">
        <f t="shared" si="3"/>
        <v>14.4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f>28.7+39.1</f>
        <v>67.8</v>
      </c>
      <c r="C37" s="61">
        <f>28.3+39.9</f>
        <v>68.2</v>
      </c>
      <c r="D37" s="61">
        <f>28.4+38.7</f>
        <v>67.099999999999994</v>
      </c>
      <c r="E37" s="61">
        <f>28.4+38.7</f>
        <v>67.099999999999994</v>
      </c>
      <c r="F37" s="61">
        <v>68</v>
      </c>
      <c r="G37" s="61">
        <v>69.400000000000006</v>
      </c>
      <c r="H37" s="61">
        <v>69.400000000000006</v>
      </c>
      <c r="I37" s="61">
        <v>66.7</v>
      </c>
      <c r="J37" s="61">
        <v>65</v>
      </c>
      <c r="K37" s="61">
        <v>65</v>
      </c>
      <c r="L37" s="61">
        <v>65</v>
      </c>
      <c r="M37" s="70">
        <f>27.8+37.5</f>
        <v>65.3</v>
      </c>
      <c r="N37" s="70">
        <f>28.1+38.5</f>
        <v>66.599999999999994</v>
      </c>
      <c r="O37" s="70">
        <f>28.6+38.8</f>
        <v>67.400000000000006</v>
      </c>
      <c r="P37" s="70">
        <f>28.6+38.8</f>
        <v>67.400000000000006</v>
      </c>
      <c r="Q37" s="70">
        <v>68</v>
      </c>
      <c r="R37" s="70">
        <f>28.6+38.9</f>
        <v>67.5</v>
      </c>
      <c r="S37" s="70">
        <f>28.8+39.2</f>
        <v>68</v>
      </c>
      <c r="T37" s="70">
        <f>29.3+39</f>
        <v>68.3</v>
      </c>
      <c r="U37" s="70">
        <f>28.4+37.9</f>
        <v>66.3</v>
      </c>
      <c r="V37" s="70">
        <f>28.4+37.9</f>
        <v>66.3</v>
      </c>
      <c r="W37" s="70">
        <f>28.4+37.9</f>
        <v>66.3</v>
      </c>
      <c r="X37" s="70">
        <v>66.3</v>
      </c>
      <c r="Y37" s="70">
        <f>28.4+37.9</f>
        <v>66.3</v>
      </c>
      <c r="Z37" s="70">
        <f>28.4+37.9</f>
        <v>66.3</v>
      </c>
      <c r="AA37" s="70">
        <f>28.4+37.9</f>
        <v>66.3</v>
      </c>
      <c r="AB37" s="70">
        <v>63.7</v>
      </c>
      <c r="AC37" s="70">
        <v>63.7</v>
      </c>
      <c r="AD37" s="70">
        <v>63.8</v>
      </c>
      <c r="AE37" s="70">
        <v>64.099999999999994</v>
      </c>
      <c r="AF37" s="61">
        <v>65.099999999999994</v>
      </c>
      <c r="AG37" s="67">
        <v>240</v>
      </c>
      <c r="AH37" s="54">
        <f t="shared" si="2"/>
        <v>69.400000000000006</v>
      </c>
      <c r="AI37" s="55">
        <f t="shared" si="3"/>
        <v>63.7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491</v>
      </c>
      <c r="C38" s="72">
        <f t="shared" ref="C38:AF38" si="5">SUM(C11:C36)</f>
        <v>491.4</v>
      </c>
      <c r="D38" s="72">
        <f t="shared" si="5"/>
        <v>500.29999999999995</v>
      </c>
      <c r="E38" s="72">
        <f t="shared" si="5"/>
        <v>500.29999999999995</v>
      </c>
      <c r="F38" s="72">
        <f t="shared" si="5"/>
        <v>500.29999999999995</v>
      </c>
      <c r="G38" s="72">
        <f t="shared" si="5"/>
        <v>520.29999999999995</v>
      </c>
      <c r="H38" s="72">
        <f t="shared" si="5"/>
        <v>580.29999999999995</v>
      </c>
      <c r="I38" s="72">
        <f t="shared" si="5"/>
        <v>680.3</v>
      </c>
      <c r="J38" s="72">
        <f t="shared" si="5"/>
        <v>690.3</v>
      </c>
      <c r="K38" s="72">
        <f t="shared" si="5"/>
        <v>680.3</v>
      </c>
      <c r="L38" s="72">
        <f t="shared" si="5"/>
        <v>740.3</v>
      </c>
      <c r="M38" s="72">
        <f t="shared" si="5"/>
        <v>829.40000000000009</v>
      </c>
      <c r="N38" s="72">
        <f t="shared" si="5"/>
        <v>766.8</v>
      </c>
      <c r="O38" s="72">
        <f t="shared" si="5"/>
        <v>746.8</v>
      </c>
      <c r="P38" s="72">
        <f t="shared" si="5"/>
        <v>491.79999999999995</v>
      </c>
      <c r="Q38" s="72">
        <f t="shared" si="5"/>
        <v>495.2</v>
      </c>
      <c r="R38" s="72">
        <f t="shared" si="5"/>
        <v>495.2</v>
      </c>
      <c r="S38" s="72">
        <f t="shared" si="5"/>
        <v>495.2</v>
      </c>
      <c r="T38" s="72">
        <f t="shared" si="5"/>
        <v>505.2</v>
      </c>
      <c r="U38" s="72">
        <f t="shared" si="5"/>
        <v>505.2</v>
      </c>
      <c r="V38" s="72">
        <f t="shared" si="5"/>
        <v>545.19999999999993</v>
      </c>
      <c r="W38" s="72">
        <f t="shared" si="5"/>
        <v>708.2</v>
      </c>
      <c r="X38" s="72">
        <f t="shared" si="5"/>
        <v>921.20000000000016</v>
      </c>
      <c r="Y38" s="72">
        <f t="shared" si="5"/>
        <v>708.2</v>
      </c>
      <c r="Z38" s="72">
        <f t="shared" si="5"/>
        <v>871.2</v>
      </c>
      <c r="AA38" s="72">
        <f t="shared" si="5"/>
        <v>871.2</v>
      </c>
      <c r="AB38" s="72">
        <f t="shared" si="5"/>
        <v>620.70000000000005</v>
      </c>
      <c r="AC38" s="72">
        <f t="shared" si="5"/>
        <v>591.5</v>
      </c>
      <c r="AD38" s="72">
        <f t="shared" si="5"/>
        <v>591.5</v>
      </c>
      <c r="AE38" s="72">
        <f t="shared" si="5"/>
        <v>495.2</v>
      </c>
      <c r="AF38" s="72">
        <f t="shared" si="5"/>
        <v>495.2</v>
      </c>
      <c r="AG38" s="67">
        <f>SUM(AG11:AG37)</f>
        <v>1492.8299999999997</v>
      </c>
      <c r="AH38" s="54">
        <f t="shared" si="2"/>
        <v>921.20000000000016</v>
      </c>
      <c r="AI38" s="55">
        <f t="shared" si="3"/>
        <v>491</v>
      </c>
      <c r="AK38" s="56"/>
    </row>
    <row r="39" spans="1:88" x14ac:dyDescent="0.25">
      <c r="A39" s="57" t="s">
        <v>47</v>
      </c>
      <c r="B39" s="49">
        <v>61.3</v>
      </c>
      <c r="C39" s="61">
        <v>47.7</v>
      </c>
      <c r="D39" s="61">
        <v>47.5</v>
      </c>
      <c r="E39" s="61">
        <v>47.5</v>
      </c>
      <c r="F39" s="61">
        <v>47.5</v>
      </c>
      <c r="G39" s="61">
        <v>47.5</v>
      </c>
      <c r="H39" s="61">
        <v>66</v>
      </c>
      <c r="I39" s="61">
        <v>66</v>
      </c>
      <c r="J39" s="61">
        <v>146</v>
      </c>
      <c r="K39" s="61">
        <v>146</v>
      </c>
      <c r="L39" s="61">
        <v>146</v>
      </c>
      <c r="M39" s="50">
        <v>145.9</v>
      </c>
      <c r="N39" s="50">
        <v>145.4</v>
      </c>
      <c r="O39" s="50">
        <v>127</v>
      </c>
      <c r="P39" s="50">
        <v>113</v>
      </c>
      <c r="Q39" s="50">
        <v>112</v>
      </c>
      <c r="R39" s="50">
        <v>111.8</v>
      </c>
      <c r="S39" s="50">
        <v>113.4</v>
      </c>
      <c r="T39" s="50">
        <v>141.9</v>
      </c>
      <c r="U39" s="50">
        <v>101</v>
      </c>
      <c r="V39" s="50">
        <v>146</v>
      </c>
      <c r="W39" s="50">
        <v>146</v>
      </c>
      <c r="X39" s="50">
        <v>144.9</v>
      </c>
      <c r="Y39" s="50">
        <v>144.69999999999999</v>
      </c>
      <c r="Z39" s="50">
        <v>144.69999999999999</v>
      </c>
      <c r="AA39" s="50">
        <v>144.69999999999999</v>
      </c>
      <c r="AB39" s="50">
        <v>144.69999999999999</v>
      </c>
      <c r="AC39" s="50">
        <v>110</v>
      </c>
      <c r="AD39" s="50">
        <v>81.3</v>
      </c>
      <c r="AE39" s="50">
        <v>61</v>
      </c>
      <c r="AF39" s="49">
        <v>45</v>
      </c>
      <c r="AG39" s="62">
        <v>144</v>
      </c>
      <c r="AH39" s="54">
        <f t="shared" si="2"/>
        <v>146</v>
      </c>
      <c r="AI39" s="55">
        <f t="shared" si="3"/>
        <v>45</v>
      </c>
      <c r="AK39" s="56"/>
    </row>
    <row r="40" spans="1:88" x14ac:dyDescent="0.25">
      <c r="A40" s="66" t="s">
        <v>48</v>
      </c>
      <c r="B40" s="61">
        <v>24</v>
      </c>
      <c r="C40" s="61">
        <v>35.1</v>
      </c>
      <c r="D40" s="61">
        <v>34.299999999999997</v>
      </c>
      <c r="E40" s="61">
        <v>34.299999999999997</v>
      </c>
      <c r="F40" s="61">
        <v>34.6</v>
      </c>
      <c r="G40" s="61">
        <v>35</v>
      </c>
      <c r="H40" s="61">
        <v>35</v>
      </c>
      <c r="I40" s="61">
        <v>35</v>
      </c>
      <c r="J40" s="61">
        <v>35</v>
      </c>
      <c r="K40" s="61">
        <v>72.5</v>
      </c>
      <c r="L40" s="61">
        <v>72.5</v>
      </c>
      <c r="M40" s="73">
        <v>69.2</v>
      </c>
      <c r="N40" s="73">
        <v>69.099999999999994</v>
      </c>
      <c r="O40" s="73">
        <v>69.5</v>
      </c>
      <c r="P40" s="73">
        <v>69.599999999999994</v>
      </c>
      <c r="Q40" s="73">
        <v>59.8</v>
      </c>
      <c r="R40" s="73">
        <v>36.1</v>
      </c>
      <c r="S40" s="73">
        <v>35.5</v>
      </c>
      <c r="T40" s="73">
        <v>25</v>
      </c>
      <c r="U40" s="73">
        <v>46.5</v>
      </c>
      <c r="V40" s="73">
        <v>66.8</v>
      </c>
      <c r="W40" s="73">
        <v>66.8</v>
      </c>
      <c r="X40" s="73">
        <v>71.7</v>
      </c>
      <c r="Y40" s="73">
        <v>71.599999999999994</v>
      </c>
      <c r="Z40" s="73">
        <v>71.599999999999994</v>
      </c>
      <c r="AA40" s="73">
        <v>69.2</v>
      </c>
      <c r="AB40" s="73">
        <v>69.2</v>
      </c>
      <c r="AC40" s="73">
        <v>69.2</v>
      </c>
      <c r="AD40" s="73">
        <v>70.400000000000006</v>
      </c>
      <c r="AE40" s="73">
        <v>24.1</v>
      </c>
      <c r="AF40" s="61">
        <v>33</v>
      </c>
      <c r="AG40" s="67">
        <v>70</v>
      </c>
      <c r="AH40" s="54">
        <f t="shared" si="2"/>
        <v>72.5</v>
      </c>
      <c r="AI40" s="55">
        <f t="shared" si="3"/>
        <v>24</v>
      </c>
      <c r="AK40" s="56"/>
    </row>
    <row r="41" spans="1:88" x14ac:dyDescent="0.25">
      <c r="A41" s="66" t="s">
        <v>49</v>
      </c>
      <c r="B41" s="61">
        <v>49.4</v>
      </c>
      <c r="C41" s="61">
        <v>55</v>
      </c>
      <c r="D41" s="61">
        <v>50</v>
      </c>
      <c r="E41" s="61">
        <v>50</v>
      </c>
      <c r="F41" s="61">
        <v>63</v>
      </c>
      <c r="G41" s="61">
        <v>63</v>
      </c>
      <c r="H41" s="61">
        <v>55</v>
      </c>
      <c r="I41" s="61">
        <v>55</v>
      </c>
      <c r="J41" s="61">
        <v>55</v>
      </c>
      <c r="K41" s="61">
        <v>55</v>
      </c>
      <c r="L41" s="61">
        <v>67.5</v>
      </c>
      <c r="M41" s="73">
        <v>67.400000000000006</v>
      </c>
      <c r="N41" s="73">
        <v>67.099999999999994</v>
      </c>
      <c r="O41" s="73">
        <v>59.6</v>
      </c>
      <c r="P41" s="73">
        <v>60.2</v>
      </c>
      <c r="Q41" s="73">
        <v>46.5</v>
      </c>
      <c r="R41" s="73">
        <v>46.9</v>
      </c>
      <c r="S41" s="73">
        <v>34.200000000000003</v>
      </c>
      <c r="T41" s="73">
        <v>33.1</v>
      </c>
      <c r="U41" s="73">
        <v>32</v>
      </c>
      <c r="V41" s="73">
        <v>65.099999999999994</v>
      </c>
      <c r="W41" s="73">
        <v>65.099999999999994</v>
      </c>
      <c r="X41" s="73">
        <v>67.400000000000006</v>
      </c>
      <c r="Y41" s="73">
        <v>67.900000000000006</v>
      </c>
      <c r="Z41" s="73">
        <v>67.900000000000006</v>
      </c>
      <c r="AA41" s="73">
        <v>67.900000000000006</v>
      </c>
      <c r="AB41" s="73">
        <v>67.900000000000006</v>
      </c>
      <c r="AC41" s="73">
        <v>67.900000000000006</v>
      </c>
      <c r="AD41" s="73">
        <v>67.3</v>
      </c>
      <c r="AE41" s="73">
        <v>49.7</v>
      </c>
      <c r="AF41" s="61">
        <v>63.3</v>
      </c>
      <c r="AG41" s="67">
        <v>69</v>
      </c>
      <c r="AH41" s="54">
        <f t="shared" si="2"/>
        <v>67.900000000000006</v>
      </c>
      <c r="AI41" s="55">
        <f t="shared" si="3"/>
        <v>32</v>
      </c>
      <c r="AK41" s="56"/>
    </row>
    <row r="42" spans="1:88" x14ac:dyDescent="0.25">
      <c r="A42" s="66" t="s">
        <v>50</v>
      </c>
      <c r="B42" s="61">
        <v>61.4</v>
      </c>
      <c r="C42" s="61">
        <v>60.7</v>
      </c>
      <c r="D42" s="61">
        <v>60.7</v>
      </c>
      <c r="E42" s="61">
        <v>32</v>
      </c>
      <c r="F42" s="61">
        <v>60.4</v>
      </c>
      <c r="G42" s="61">
        <v>60.4</v>
      </c>
      <c r="H42" s="61">
        <v>60.4</v>
      </c>
      <c r="I42" s="61">
        <v>60.4</v>
      </c>
      <c r="J42" s="61">
        <v>60.4</v>
      </c>
      <c r="K42" s="61">
        <v>60.4</v>
      </c>
      <c r="L42" s="61">
        <v>60.4</v>
      </c>
      <c r="M42" s="73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60.9</v>
      </c>
      <c r="AE42" s="73">
        <v>60.9</v>
      </c>
      <c r="AF42" s="61">
        <v>60.9</v>
      </c>
      <c r="AG42" s="67">
        <v>60</v>
      </c>
      <c r="AH42" s="54">
        <f t="shared" si="2"/>
        <v>61.4</v>
      </c>
      <c r="AI42" s="55">
        <f t="shared" si="3"/>
        <v>32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10</v>
      </c>
      <c r="G43" s="61">
        <v>10</v>
      </c>
      <c r="H43" s="61">
        <v>23</v>
      </c>
      <c r="I43" s="61">
        <v>23</v>
      </c>
      <c r="J43" s="61">
        <v>23</v>
      </c>
      <c r="K43" s="61">
        <v>28</v>
      </c>
      <c r="L43" s="61">
        <v>28</v>
      </c>
      <c r="M43" s="50">
        <v>28</v>
      </c>
      <c r="N43" s="50">
        <v>26.9</v>
      </c>
      <c r="O43" s="50">
        <v>15.1</v>
      </c>
      <c r="P43" s="50">
        <v>15.2</v>
      </c>
      <c r="Q43" s="50">
        <v>10</v>
      </c>
      <c r="R43" s="50">
        <v>10.1</v>
      </c>
      <c r="S43" s="50">
        <v>0</v>
      </c>
      <c r="T43" s="50">
        <v>0</v>
      </c>
      <c r="U43" s="50">
        <v>10.1</v>
      </c>
      <c r="V43" s="50">
        <v>10.1</v>
      </c>
      <c r="W43" s="50">
        <v>10.1</v>
      </c>
      <c r="X43" s="50">
        <v>10.1</v>
      </c>
      <c r="Y43" s="50">
        <v>10.1</v>
      </c>
      <c r="Z43" s="50">
        <v>10.1</v>
      </c>
      <c r="AA43" s="50">
        <v>10.1</v>
      </c>
      <c r="AB43" s="50">
        <v>29</v>
      </c>
      <c r="AC43" s="50">
        <v>29</v>
      </c>
      <c r="AD43" s="73">
        <v>10</v>
      </c>
      <c r="AE43" s="73">
        <v>10.8</v>
      </c>
      <c r="AF43" s="61">
        <v>11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50">
        <v>2.5</v>
      </c>
      <c r="N46" s="50">
        <v>2.5</v>
      </c>
      <c r="O46" s="50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50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12</v>
      </c>
      <c r="C47" s="61">
        <v>12</v>
      </c>
      <c r="D47" s="61">
        <v>12</v>
      </c>
      <c r="E47" s="61">
        <v>12</v>
      </c>
      <c r="F47" s="61">
        <v>12</v>
      </c>
      <c r="G47" s="61">
        <v>12</v>
      </c>
      <c r="H47" s="61">
        <v>12</v>
      </c>
      <c r="I47" s="61">
        <v>12</v>
      </c>
      <c r="J47" s="61">
        <v>12</v>
      </c>
      <c r="K47" s="61">
        <v>12</v>
      </c>
      <c r="L47" s="61">
        <v>12</v>
      </c>
      <c r="M47" s="50">
        <v>13.9</v>
      </c>
      <c r="N47" s="50">
        <v>13.9</v>
      </c>
      <c r="O47" s="50">
        <v>13.9</v>
      </c>
      <c r="P47" s="50">
        <v>13.9</v>
      </c>
      <c r="Q47" s="50">
        <v>13.9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7">
        <v>14.1</v>
      </c>
      <c r="AH47" s="54">
        <f t="shared" si="2"/>
        <v>13.9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4</v>
      </c>
      <c r="C48" s="74">
        <v>4</v>
      </c>
      <c r="D48" s="74">
        <v>4</v>
      </c>
      <c r="E48" s="74">
        <v>4</v>
      </c>
      <c r="F48" s="74">
        <v>4</v>
      </c>
      <c r="G48" s="74">
        <v>4</v>
      </c>
      <c r="H48" s="74">
        <v>4</v>
      </c>
      <c r="I48" s="74">
        <v>4</v>
      </c>
      <c r="J48" s="74">
        <v>4</v>
      </c>
      <c r="K48" s="74">
        <v>4</v>
      </c>
      <c r="L48" s="74">
        <v>4</v>
      </c>
      <c r="M48" s="50">
        <v>4</v>
      </c>
      <c r="N48" s="50">
        <v>4</v>
      </c>
      <c r="O48" s="50">
        <v>4</v>
      </c>
      <c r="P48" s="50">
        <v>4</v>
      </c>
      <c r="Q48" s="50">
        <v>7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7</v>
      </c>
      <c r="AI48" s="55">
        <f t="shared" si="3"/>
        <v>4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50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248.54</v>
      </c>
      <c r="C52" s="72">
        <f t="shared" ref="C52:AF52" si="9">SUM(C39:C51)</f>
        <v>250.94</v>
      </c>
      <c r="D52" s="72">
        <f t="shared" si="9"/>
        <v>244.94</v>
      </c>
      <c r="E52" s="72">
        <f t="shared" si="9"/>
        <v>226.24</v>
      </c>
      <c r="F52" s="72">
        <f t="shared" si="9"/>
        <v>267.94</v>
      </c>
      <c r="G52" s="72">
        <f t="shared" si="9"/>
        <v>268.33999999999997</v>
      </c>
      <c r="H52" s="72">
        <f t="shared" si="9"/>
        <v>291.83999999999997</v>
      </c>
      <c r="I52" s="72">
        <f t="shared" si="9"/>
        <v>291.83999999999997</v>
      </c>
      <c r="J52" s="72">
        <f t="shared" si="9"/>
        <v>371.84</v>
      </c>
      <c r="K52" s="72">
        <f t="shared" si="9"/>
        <v>414.34</v>
      </c>
      <c r="L52" s="72">
        <f t="shared" si="9"/>
        <v>426.84</v>
      </c>
      <c r="M52" s="72">
        <f t="shared" si="9"/>
        <v>425.23999999999995</v>
      </c>
      <c r="N52" s="72">
        <f t="shared" si="9"/>
        <v>423.23999999999995</v>
      </c>
      <c r="O52" s="72">
        <f t="shared" si="9"/>
        <v>385.94</v>
      </c>
      <c r="P52" s="72">
        <f t="shared" si="9"/>
        <v>372.73999999999995</v>
      </c>
      <c r="Q52" s="72">
        <f t="shared" si="9"/>
        <v>346.03999999999996</v>
      </c>
      <c r="R52" s="72">
        <f t="shared" si="9"/>
        <v>319.74</v>
      </c>
      <c r="S52" s="72">
        <f t="shared" si="9"/>
        <v>297.94</v>
      </c>
      <c r="T52" s="72">
        <f t="shared" si="9"/>
        <v>314.83999999999997</v>
      </c>
      <c r="U52" s="72">
        <f t="shared" si="9"/>
        <v>304.44</v>
      </c>
      <c r="V52" s="72">
        <f t="shared" si="9"/>
        <v>402.84</v>
      </c>
      <c r="W52" s="72">
        <f t="shared" si="9"/>
        <v>402.84</v>
      </c>
      <c r="X52" s="72">
        <f t="shared" si="9"/>
        <v>408.94</v>
      </c>
      <c r="Y52" s="72">
        <f t="shared" si="9"/>
        <v>409.14</v>
      </c>
      <c r="Z52" s="72">
        <f t="shared" si="9"/>
        <v>409.14</v>
      </c>
      <c r="AA52" s="72">
        <f t="shared" si="9"/>
        <v>406.73999999999995</v>
      </c>
      <c r="AB52" s="72">
        <f t="shared" si="9"/>
        <v>425.63999999999993</v>
      </c>
      <c r="AC52" s="72">
        <f t="shared" si="9"/>
        <v>390.94</v>
      </c>
      <c r="AD52" s="72">
        <f t="shared" si="9"/>
        <v>344.34</v>
      </c>
      <c r="AE52" s="72">
        <f t="shared" si="9"/>
        <v>260.94000000000005</v>
      </c>
      <c r="AF52" s="72">
        <f t="shared" si="9"/>
        <v>267.64000000000004</v>
      </c>
      <c r="AG52" s="78">
        <f>SUM(AG39:AG51)</f>
        <v>489.91</v>
      </c>
      <c r="AH52" s="54">
        <f t="shared" si="2"/>
        <v>426.84</v>
      </c>
      <c r="AI52" s="55">
        <f t="shared" si="3"/>
        <v>226.24</v>
      </c>
      <c r="AK52" s="56"/>
    </row>
    <row r="53" spans="1:37" x14ac:dyDescent="0.25">
      <c r="A53" s="57" t="s">
        <v>61</v>
      </c>
      <c r="B53" s="50">
        <v>10</v>
      </c>
      <c r="C53" s="61">
        <v>0</v>
      </c>
      <c r="D53" s="61">
        <v>0</v>
      </c>
      <c r="E53" s="61">
        <v>0</v>
      </c>
      <c r="F53" s="61">
        <v>10</v>
      </c>
      <c r="G53" s="61">
        <v>9.4</v>
      </c>
      <c r="H53" s="61">
        <v>20</v>
      </c>
      <c r="I53" s="61">
        <v>10</v>
      </c>
      <c r="J53" s="61">
        <v>0</v>
      </c>
      <c r="K53" s="61">
        <v>0</v>
      </c>
      <c r="L53" s="61">
        <v>60</v>
      </c>
      <c r="M53" s="79">
        <v>60.2</v>
      </c>
      <c r="N53" s="79">
        <v>50.1</v>
      </c>
      <c r="O53" s="79">
        <v>29.5</v>
      </c>
      <c r="P53" s="79">
        <v>14.2</v>
      </c>
      <c r="Q53" s="50">
        <v>20.2</v>
      </c>
      <c r="R53" s="50">
        <v>29.5</v>
      </c>
      <c r="S53" s="50">
        <v>29.5</v>
      </c>
      <c r="T53" s="50">
        <v>29.5</v>
      </c>
      <c r="U53" s="50">
        <v>39.5</v>
      </c>
      <c r="V53" s="50">
        <v>59.1</v>
      </c>
      <c r="W53" s="50">
        <v>59.4</v>
      </c>
      <c r="X53" s="50">
        <v>59.7</v>
      </c>
      <c r="Y53" s="50">
        <v>59.5</v>
      </c>
      <c r="Z53" s="50">
        <v>29.6</v>
      </c>
      <c r="AA53" s="50">
        <v>29.4</v>
      </c>
      <c r="AB53" s="50">
        <v>29.9</v>
      </c>
      <c r="AC53" s="50">
        <v>29.9</v>
      </c>
      <c r="AD53" s="50">
        <v>29.3</v>
      </c>
      <c r="AE53" s="50">
        <v>10.9</v>
      </c>
      <c r="AF53" s="50">
        <v>0</v>
      </c>
      <c r="AG53" s="62">
        <v>60</v>
      </c>
      <c r="AH53" s="54">
        <f t="shared" si="2"/>
        <v>60.2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12</v>
      </c>
      <c r="C54" s="61">
        <v>0</v>
      </c>
      <c r="D54" s="61">
        <v>0</v>
      </c>
      <c r="E54" s="61">
        <v>0</v>
      </c>
      <c r="F54" s="61">
        <v>5</v>
      </c>
      <c r="G54" s="61">
        <v>4.0999999999999996</v>
      </c>
      <c r="H54" s="61">
        <v>9</v>
      </c>
      <c r="I54" s="61">
        <v>10</v>
      </c>
      <c r="J54" s="61">
        <v>0</v>
      </c>
      <c r="K54" s="61">
        <v>0</v>
      </c>
      <c r="L54" s="61">
        <v>28</v>
      </c>
      <c r="M54" s="79">
        <v>29.5</v>
      </c>
      <c r="N54" s="79">
        <v>26.8</v>
      </c>
      <c r="O54" s="79">
        <v>15.1</v>
      </c>
      <c r="P54" s="79">
        <v>14.8</v>
      </c>
      <c r="Q54" s="73">
        <v>8.9</v>
      </c>
      <c r="R54" s="73">
        <v>15.5</v>
      </c>
      <c r="S54" s="50">
        <v>15.4</v>
      </c>
      <c r="T54" s="50">
        <v>15.3</v>
      </c>
      <c r="U54" s="50">
        <v>17</v>
      </c>
      <c r="V54" s="73">
        <v>28.5</v>
      </c>
      <c r="W54" s="73">
        <v>28.7</v>
      </c>
      <c r="X54" s="73">
        <v>29</v>
      </c>
      <c r="Y54" s="73">
        <v>28.2</v>
      </c>
      <c r="Z54" s="73">
        <v>18.8</v>
      </c>
      <c r="AA54" s="73">
        <v>15.8</v>
      </c>
      <c r="AB54" s="73">
        <v>15.3</v>
      </c>
      <c r="AC54" s="73">
        <v>15.3</v>
      </c>
      <c r="AD54" s="73">
        <v>14.8</v>
      </c>
      <c r="AE54" s="73">
        <v>15.3</v>
      </c>
      <c r="AF54" s="73">
        <v>0</v>
      </c>
      <c r="AG54" s="67">
        <v>32</v>
      </c>
      <c r="AH54" s="54">
        <f t="shared" si="2"/>
        <v>29.5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4.4000000000000004</v>
      </c>
      <c r="C55" s="74">
        <v>0</v>
      </c>
      <c r="D55" s="74">
        <v>0</v>
      </c>
      <c r="E55" s="74">
        <v>0</v>
      </c>
      <c r="F55" s="74">
        <v>2</v>
      </c>
      <c r="G55" s="74">
        <v>1.5</v>
      </c>
      <c r="H55" s="74">
        <v>4</v>
      </c>
      <c r="I55" s="74">
        <v>4</v>
      </c>
      <c r="J55" s="74">
        <v>0</v>
      </c>
      <c r="K55" s="74">
        <v>0</v>
      </c>
      <c r="L55" s="74">
        <v>10.3</v>
      </c>
      <c r="M55" s="81">
        <v>10.8</v>
      </c>
      <c r="N55" s="81">
        <v>9.8000000000000007</v>
      </c>
      <c r="O55" s="81">
        <v>5.5</v>
      </c>
      <c r="P55" s="81">
        <v>5.4</v>
      </c>
      <c r="Q55" s="80">
        <v>3.2</v>
      </c>
      <c r="R55" s="80">
        <v>5.6</v>
      </c>
      <c r="S55" s="50">
        <v>5.6</v>
      </c>
      <c r="T55" s="50">
        <v>5.6</v>
      </c>
      <c r="U55" s="50">
        <v>6.2</v>
      </c>
      <c r="V55" s="80">
        <v>10.4</v>
      </c>
      <c r="W55" s="80">
        <v>10.5</v>
      </c>
      <c r="X55" s="80">
        <v>10.6</v>
      </c>
      <c r="Y55" s="80">
        <v>10.3</v>
      </c>
      <c r="Z55" s="80">
        <v>6.9</v>
      </c>
      <c r="AA55" s="80">
        <v>5.8</v>
      </c>
      <c r="AB55" s="80">
        <v>5.6</v>
      </c>
      <c r="AC55" s="80">
        <v>5.6</v>
      </c>
      <c r="AD55" s="80">
        <v>5.4</v>
      </c>
      <c r="AE55" s="80">
        <v>5.6</v>
      </c>
      <c r="AF55" s="80">
        <v>0</v>
      </c>
      <c r="AG55" s="82">
        <v>14</v>
      </c>
      <c r="AH55" s="54">
        <f t="shared" si="2"/>
        <v>10.8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26.4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17</v>
      </c>
      <c r="G56" s="72">
        <f t="shared" si="11"/>
        <v>15</v>
      </c>
      <c r="H56" s="72">
        <f t="shared" si="11"/>
        <v>33</v>
      </c>
      <c r="I56" s="72">
        <f t="shared" si="11"/>
        <v>24</v>
      </c>
      <c r="J56" s="72">
        <f t="shared" si="11"/>
        <v>0</v>
      </c>
      <c r="K56" s="72">
        <f t="shared" si="11"/>
        <v>0</v>
      </c>
      <c r="L56" s="72">
        <f t="shared" si="11"/>
        <v>98.3</v>
      </c>
      <c r="M56" s="72">
        <f t="shared" si="11"/>
        <v>100.5</v>
      </c>
      <c r="N56" s="72">
        <f t="shared" si="11"/>
        <v>86.7</v>
      </c>
      <c r="O56" s="72">
        <f t="shared" si="11"/>
        <v>50.1</v>
      </c>
      <c r="P56" s="72">
        <f t="shared" si="11"/>
        <v>34.4</v>
      </c>
      <c r="Q56" s="72">
        <f t="shared" si="11"/>
        <v>32.300000000000004</v>
      </c>
      <c r="R56" s="72">
        <f t="shared" si="11"/>
        <v>50.6</v>
      </c>
      <c r="S56" s="72">
        <f t="shared" si="11"/>
        <v>50.5</v>
      </c>
      <c r="T56" s="72">
        <f t="shared" si="11"/>
        <v>50.4</v>
      </c>
      <c r="U56" s="72">
        <f t="shared" si="11"/>
        <v>62.7</v>
      </c>
      <c r="V56" s="72">
        <f t="shared" si="11"/>
        <v>98</v>
      </c>
      <c r="W56" s="72">
        <f t="shared" si="11"/>
        <v>98.6</v>
      </c>
      <c r="X56" s="72">
        <f t="shared" si="11"/>
        <v>99.3</v>
      </c>
      <c r="Y56" s="72">
        <f t="shared" si="11"/>
        <v>98</v>
      </c>
      <c r="Z56" s="72">
        <f t="shared" si="11"/>
        <v>55.300000000000004</v>
      </c>
      <c r="AA56" s="72">
        <f t="shared" si="11"/>
        <v>51</v>
      </c>
      <c r="AB56" s="72">
        <f t="shared" si="11"/>
        <v>50.800000000000004</v>
      </c>
      <c r="AC56" s="72">
        <f t="shared" si="11"/>
        <v>50.800000000000004</v>
      </c>
      <c r="AD56" s="72">
        <f t="shared" si="11"/>
        <v>49.5</v>
      </c>
      <c r="AE56" s="72">
        <f t="shared" si="11"/>
        <v>31.800000000000004</v>
      </c>
      <c r="AF56" s="72">
        <f t="shared" si="11"/>
        <v>0</v>
      </c>
      <c r="AG56" s="78">
        <f>SUM(AG53:AG55)</f>
        <v>106</v>
      </c>
      <c r="AH56" s="54">
        <f t="shared" si="2"/>
        <v>100.5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42.7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65</v>
      </c>
      <c r="AG57" s="62"/>
      <c r="AH57" s="54">
        <f t="shared" si="2"/>
        <v>65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91</v>
      </c>
      <c r="C59" s="73">
        <v>122</v>
      </c>
      <c r="D59" s="73">
        <v>102</v>
      </c>
      <c r="E59" s="73">
        <v>100</v>
      </c>
      <c r="F59" s="73">
        <v>80</v>
      </c>
      <c r="G59" s="73">
        <v>75</v>
      </c>
      <c r="H59" s="73">
        <v>90</v>
      </c>
      <c r="I59" s="73">
        <v>80</v>
      </c>
      <c r="J59" s="73">
        <v>140</v>
      </c>
      <c r="K59" s="73">
        <v>130</v>
      </c>
      <c r="L59" s="73">
        <v>76</v>
      </c>
      <c r="M59" s="73">
        <v>17.5</v>
      </c>
      <c r="N59" s="73">
        <v>86.7</v>
      </c>
      <c r="O59" s="73">
        <v>100.3</v>
      </c>
      <c r="P59" s="73">
        <v>338</v>
      </c>
      <c r="Q59" s="73">
        <v>323</v>
      </c>
      <c r="R59" s="73">
        <v>286</v>
      </c>
      <c r="S59" s="73">
        <v>330</v>
      </c>
      <c r="T59" s="73">
        <v>306</v>
      </c>
      <c r="U59" s="73">
        <v>320</v>
      </c>
      <c r="V59" s="73">
        <v>235</v>
      </c>
      <c r="W59" s="73">
        <v>84</v>
      </c>
      <c r="X59" s="84">
        <v>11.7</v>
      </c>
      <c r="Y59" s="84">
        <v>8</v>
      </c>
      <c r="Z59" s="84">
        <v>36.4</v>
      </c>
      <c r="AA59" s="84">
        <v>17.399999999999999</v>
      </c>
      <c r="AB59" s="84">
        <v>193.2</v>
      </c>
      <c r="AC59" s="84">
        <v>217.5</v>
      </c>
      <c r="AD59" s="84">
        <v>172</v>
      </c>
      <c r="AE59" s="73">
        <v>190.7</v>
      </c>
      <c r="AF59" s="73">
        <v>77.3</v>
      </c>
      <c r="AG59" s="85"/>
      <c r="AH59" s="54">
        <f t="shared" si="2"/>
        <v>338</v>
      </c>
      <c r="AI59" s="55">
        <f t="shared" si="3"/>
        <v>8</v>
      </c>
      <c r="AK59" s="56"/>
    </row>
    <row r="60" spans="1:37" x14ac:dyDescent="0.25">
      <c r="A60" s="66" t="s">
        <v>68</v>
      </c>
      <c r="B60" s="58">
        <v>42</v>
      </c>
      <c r="C60" s="58">
        <v>42</v>
      </c>
      <c r="D60" s="58">
        <v>41.2</v>
      </c>
      <c r="E60" s="58">
        <v>40</v>
      </c>
      <c r="F60" s="58">
        <v>38</v>
      </c>
      <c r="G60" s="58">
        <v>39</v>
      </c>
      <c r="H60" s="58">
        <v>44</v>
      </c>
      <c r="I60" s="58">
        <v>44</v>
      </c>
      <c r="J60" s="58">
        <v>44</v>
      </c>
      <c r="K60" s="58">
        <v>50</v>
      </c>
      <c r="L60" s="58">
        <v>56</v>
      </c>
      <c r="M60" s="73">
        <v>56</v>
      </c>
      <c r="N60" s="73">
        <v>52</v>
      </c>
      <c r="O60" s="73">
        <v>55</v>
      </c>
      <c r="P60" s="73">
        <v>56</v>
      </c>
      <c r="Q60" s="73">
        <v>52</v>
      </c>
      <c r="R60" s="73">
        <v>54</v>
      </c>
      <c r="S60" s="73">
        <v>54</v>
      </c>
      <c r="T60" s="73">
        <v>0</v>
      </c>
      <c r="U60" s="73">
        <v>326</v>
      </c>
      <c r="V60" s="73">
        <v>326</v>
      </c>
      <c r="W60" s="73">
        <v>55</v>
      </c>
      <c r="X60" s="73">
        <v>52.1</v>
      </c>
      <c r="Y60" s="73">
        <v>55</v>
      </c>
      <c r="Z60" s="73">
        <v>51</v>
      </c>
      <c r="AA60" s="73">
        <v>52</v>
      </c>
      <c r="AB60" s="73">
        <v>48</v>
      </c>
      <c r="AC60" s="73">
        <v>45</v>
      </c>
      <c r="AD60" s="73">
        <v>45</v>
      </c>
      <c r="AE60" s="73">
        <v>42</v>
      </c>
      <c r="AF60" s="58">
        <v>15</v>
      </c>
      <c r="AG60" s="85"/>
      <c r="AH60" s="54">
        <f t="shared" si="2"/>
        <v>326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89</v>
      </c>
      <c r="L61" s="58">
        <v>70</v>
      </c>
      <c r="M61" s="50">
        <v>74.599999999999994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43</v>
      </c>
      <c r="Y61" s="50">
        <v>42</v>
      </c>
      <c r="Z61" s="50">
        <v>42</v>
      </c>
      <c r="AA61" s="50">
        <v>68.2</v>
      </c>
      <c r="AB61" s="50">
        <v>64.7</v>
      </c>
      <c r="AC61" s="50">
        <v>67.2</v>
      </c>
      <c r="AD61" s="50">
        <v>69.2</v>
      </c>
      <c r="AE61" s="50">
        <v>69</v>
      </c>
      <c r="AF61" s="50">
        <v>68</v>
      </c>
      <c r="AG61" s="85"/>
      <c r="AH61" s="54">
        <f t="shared" si="2"/>
        <v>89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60">
        <v>0</v>
      </c>
      <c r="V64" s="60">
        <v>0</v>
      </c>
      <c r="W64" s="60">
        <v>0</v>
      </c>
      <c r="X64" s="60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60">
        <v>0</v>
      </c>
      <c r="V65" s="60">
        <v>0</v>
      </c>
      <c r="W65" s="60">
        <v>0</v>
      </c>
      <c r="X65" s="60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0">
        <v>0</v>
      </c>
      <c r="V66" s="60">
        <v>0</v>
      </c>
      <c r="W66" s="60">
        <v>0</v>
      </c>
      <c r="X66" s="60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0">
        <v>0</v>
      </c>
      <c r="V67" s="60">
        <v>0</v>
      </c>
      <c r="W67" s="60">
        <v>0</v>
      </c>
      <c r="X67" s="60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175.7</v>
      </c>
      <c r="C68" s="72">
        <f>SUM(C57:C67)</f>
        <v>164</v>
      </c>
      <c r="D68" s="72">
        <f t="shared" ref="D68:AF68" si="13">SUM(D57:D67)</f>
        <v>143.19999999999999</v>
      </c>
      <c r="E68" s="72">
        <f t="shared" si="13"/>
        <v>140</v>
      </c>
      <c r="F68" s="72">
        <f t="shared" si="13"/>
        <v>118</v>
      </c>
      <c r="G68" s="72">
        <f t="shared" si="13"/>
        <v>114</v>
      </c>
      <c r="H68" s="72">
        <f t="shared" si="13"/>
        <v>134</v>
      </c>
      <c r="I68" s="72">
        <f t="shared" si="13"/>
        <v>124</v>
      </c>
      <c r="J68" s="72">
        <f t="shared" si="13"/>
        <v>184</v>
      </c>
      <c r="K68" s="72">
        <f t="shared" si="13"/>
        <v>269</v>
      </c>
      <c r="L68" s="72">
        <f t="shared" si="13"/>
        <v>202</v>
      </c>
      <c r="M68" s="72">
        <f t="shared" si="13"/>
        <v>148.1</v>
      </c>
      <c r="N68" s="72">
        <f t="shared" si="13"/>
        <v>138.69999999999999</v>
      </c>
      <c r="O68" s="72">
        <f t="shared" si="13"/>
        <v>155.30000000000001</v>
      </c>
      <c r="P68" s="72">
        <f t="shared" si="13"/>
        <v>394</v>
      </c>
      <c r="Q68" s="72">
        <f t="shared" si="13"/>
        <v>375</v>
      </c>
      <c r="R68" s="72">
        <f t="shared" si="13"/>
        <v>340</v>
      </c>
      <c r="S68" s="72">
        <f t="shared" si="13"/>
        <v>384</v>
      </c>
      <c r="T68" s="72">
        <f t="shared" si="13"/>
        <v>306</v>
      </c>
      <c r="U68" s="72">
        <f t="shared" si="13"/>
        <v>646</v>
      </c>
      <c r="V68" s="72">
        <f t="shared" si="13"/>
        <v>561</v>
      </c>
      <c r="W68" s="72">
        <f t="shared" si="13"/>
        <v>139</v>
      </c>
      <c r="X68" s="72">
        <f t="shared" si="13"/>
        <v>106.8</v>
      </c>
      <c r="Y68" s="72">
        <f t="shared" si="13"/>
        <v>105</v>
      </c>
      <c r="Z68" s="72">
        <f t="shared" si="13"/>
        <v>129.4</v>
      </c>
      <c r="AA68" s="72">
        <f t="shared" si="13"/>
        <v>137.60000000000002</v>
      </c>
      <c r="AB68" s="72">
        <f t="shared" si="13"/>
        <v>305.89999999999998</v>
      </c>
      <c r="AC68" s="72">
        <f t="shared" si="13"/>
        <v>329.7</v>
      </c>
      <c r="AD68" s="72">
        <f t="shared" si="13"/>
        <v>286.2</v>
      </c>
      <c r="AE68" s="72">
        <f t="shared" si="13"/>
        <v>301.7</v>
      </c>
      <c r="AF68" s="72">
        <f t="shared" si="13"/>
        <v>225.3</v>
      </c>
      <c r="AG68" s="78">
        <f>SUM(AG57:AG67)</f>
        <v>0</v>
      </c>
      <c r="AH68" s="54">
        <f t="shared" si="2"/>
        <v>646</v>
      </c>
      <c r="AI68" s="55">
        <f t="shared" si="3"/>
        <v>105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941.64</v>
      </c>
      <c r="C73" s="89">
        <f>C68+C56+C52+C38+C72</f>
        <v>906.33999999999992</v>
      </c>
      <c r="D73" s="89">
        <f t="shared" ref="D73:AG73" si="17">D68+D56+D52+D38+D72</f>
        <v>888.43999999999994</v>
      </c>
      <c r="E73" s="89">
        <f t="shared" si="17"/>
        <v>866.54</v>
      </c>
      <c r="F73" s="89">
        <f t="shared" si="17"/>
        <v>903.24</v>
      </c>
      <c r="G73" s="89">
        <f t="shared" si="17"/>
        <v>917.63999999999987</v>
      </c>
      <c r="H73" s="89">
        <f t="shared" si="17"/>
        <v>1039.1399999999999</v>
      </c>
      <c r="I73" s="89">
        <f t="shared" si="17"/>
        <v>1120.1399999999999</v>
      </c>
      <c r="J73" s="89">
        <f t="shared" si="17"/>
        <v>1246.1399999999999</v>
      </c>
      <c r="K73" s="89">
        <f t="shared" si="17"/>
        <v>1363.6399999999999</v>
      </c>
      <c r="L73" s="89">
        <f t="shared" si="17"/>
        <v>1467.44</v>
      </c>
      <c r="M73" s="89">
        <f t="shared" si="17"/>
        <v>1503.24</v>
      </c>
      <c r="N73" s="89">
        <f t="shared" si="17"/>
        <v>1415.4399999999998</v>
      </c>
      <c r="O73" s="89">
        <f t="shared" si="17"/>
        <v>1338.1399999999999</v>
      </c>
      <c r="P73" s="89">
        <f t="shared" si="17"/>
        <v>1292.9399999999998</v>
      </c>
      <c r="Q73" s="89">
        <f t="shared" si="17"/>
        <v>1248.54</v>
      </c>
      <c r="R73" s="89">
        <f t="shared" si="17"/>
        <v>1205.54</v>
      </c>
      <c r="S73" s="89">
        <f t="shared" si="17"/>
        <v>1227.6400000000001</v>
      </c>
      <c r="T73" s="89">
        <f t="shared" si="17"/>
        <v>1176.44</v>
      </c>
      <c r="U73" s="89">
        <f t="shared" si="17"/>
        <v>1518.3400000000001</v>
      </c>
      <c r="V73" s="89">
        <f t="shared" si="17"/>
        <v>1607.04</v>
      </c>
      <c r="W73" s="89">
        <f t="shared" si="17"/>
        <v>1348.6399999999999</v>
      </c>
      <c r="X73" s="89">
        <f t="shared" si="17"/>
        <v>1536.2400000000002</v>
      </c>
      <c r="Y73" s="89">
        <f t="shared" si="17"/>
        <v>1320.3400000000001</v>
      </c>
      <c r="Z73" s="89">
        <f t="shared" si="17"/>
        <v>1465.04</v>
      </c>
      <c r="AA73" s="89">
        <f t="shared" si="17"/>
        <v>1466.54</v>
      </c>
      <c r="AB73" s="89">
        <f t="shared" si="17"/>
        <v>1403.04</v>
      </c>
      <c r="AC73" s="89">
        <f t="shared" si="17"/>
        <v>1362.94</v>
      </c>
      <c r="AD73" s="89">
        <f t="shared" si="17"/>
        <v>1271.54</v>
      </c>
      <c r="AE73" s="89">
        <f t="shared" si="17"/>
        <v>1089.6400000000001</v>
      </c>
      <c r="AF73" s="89">
        <f t="shared" si="17"/>
        <v>988.1400000000001</v>
      </c>
      <c r="AG73" s="89">
        <f t="shared" si="17"/>
        <v>2144.14</v>
      </c>
      <c r="AH73" s="54">
        <f t="shared" si="2"/>
        <v>1607.04</v>
      </c>
      <c r="AI73" s="55">
        <f t="shared" si="3"/>
        <v>866.54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941.64</v>
      </c>
      <c r="C75" s="89">
        <f>C73+C74</f>
        <v>906.33999999999992</v>
      </c>
      <c r="D75" s="89">
        <f t="shared" ref="D75:AF75" si="19">D72+D68+D56+D52+D38+D74</f>
        <v>888.43999999999994</v>
      </c>
      <c r="E75" s="89">
        <f t="shared" si="19"/>
        <v>866.54</v>
      </c>
      <c r="F75" s="89">
        <f t="shared" si="19"/>
        <v>903.24</v>
      </c>
      <c r="G75" s="89">
        <f t="shared" si="19"/>
        <v>917.63999999999987</v>
      </c>
      <c r="H75" s="89">
        <f t="shared" si="19"/>
        <v>1039.1399999999999</v>
      </c>
      <c r="I75" s="89">
        <f t="shared" si="19"/>
        <v>1120.1399999999999</v>
      </c>
      <c r="J75" s="89">
        <f t="shared" si="19"/>
        <v>1246.1399999999999</v>
      </c>
      <c r="K75" s="89">
        <f t="shared" si="19"/>
        <v>1363.6399999999999</v>
      </c>
      <c r="L75" s="89">
        <f t="shared" si="19"/>
        <v>1467.44</v>
      </c>
      <c r="M75" s="89">
        <f t="shared" si="19"/>
        <v>1503.24</v>
      </c>
      <c r="N75" s="89">
        <f t="shared" si="19"/>
        <v>1415.4399999999998</v>
      </c>
      <c r="O75" s="89">
        <f t="shared" si="19"/>
        <v>1338.1399999999999</v>
      </c>
      <c r="P75" s="89">
        <f t="shared" si="19"/>
        <v>1292.9399999999998</v>
      </c>
      <c r="Q75" s="89">
        <f t="shared" si="19"/>
        <v>1248.54</v>
      </c>
      <c r="R75" s="89">
        <f t="shared" si="19"/>
        <v>1205.54</v>
      </c>
      <c r="S75" s="89">
        <f t="shared" si="19"/>
        <v>1227.6400000000001</v>
      </c>
      <c r="T75" s="89">
        <f t="shared" si="19"/>
        <v>1176.44</v>
      </c>
      <c r="U75" s="89">
        <f t="shared" si="19"/>
        <v>1518.3400000000001</v>
      </c>
      <c r="V75" s="89">
        <f t="shared" si="19"/>
        <v>1607.04</v>
      </c>
      <c r="W75" s="89">
        <f t="shared" si="19"/>
        <v>1348.6399999999999</v>
      </c>
      <c r="X75" s="89">
        <f t="shared" si="19"/>
        <v>1536.2400000000002</v>
      </c>
      <c r="Y75" s="89">
        <f t="shared" si="19"/>
        <v>1320.3400000000001</v>
      </c>
      <c r="Z75" s="89">
        <f t="shared" si="19"/>
        <v>1465.04</v>
      </c>
      <c r="AA75" s="89">
        <f t="shared" si="19"/>
        <v>1466.54</v>
      </c>
      <c r="AB75" s="89">
        <f t="shared" si="19"/>
        <v>1403.04</v>
      </c>
      <c r="AC75" s="89">
        <f t="shared" si="19"/>
        <v>1362.94</v>
      </c>
      <c r="AD75" s="89">
        <f t="shared" si="19"/>
        <v>1271.54</v>
      </c>
      <c r="AE75" s="89">
        <f t="shared" si="19"/>
        <v>1089.6400000000001</v>
      </c>
      <c r="AF75" s="89">
        <f t="shared" si="19"/>
        <v>988.1400000000001</v>
      </c>
      <c r="AG75" s="78">
        <f>AG72+AG68+AG56+AG52+AG38+AG74</f>
        <v>2144.14</v>
      </c>
      <c r="AH75" s="54">
        <f t="shared" si="2"/>
        <v>1607.04</v>
      </c>
      <c r="AI75" s="55">
        <f t="shared" si="3"/>
        <v>866.54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1883.28</v>
      </c>
      <c r="C83" s="72">
        <f t="shared" ref="C83:AG83" si="35">SUM(C70:C82)</f>
        <v>1812.6799999999998</v>
      </c>
      <c r="D83" s="72">
        <f t="shared" si="35"/>
        <v>1776.8799999999999</v>
      </c>
      <c r="E83" s="72">
        <f t="shared" si="35"/>
        <v>1733.08</v>
      </c>
      <c r="F83" s="72">
        <f t="shared" si="35"/>
        <v>1806.48</v>
      </c>
      <c r="G83" s="72">
        <f t="shared" si="35"/>
        <v>1835.2799999999997</v>
      </c>
      <c r="H83" s="72">
        <f t="shared" si="35"/>
        <v>2078.2799999999997</v>
      </c>
      <c r="I83" s="72">
        <f t="shared" si="35"/>
        <v>2240.2799999999997</v>
      </c>
      <c r="J83" s="72">
        <f t="shared" si="35"/>
        <v>2492.2799999999997</v>
      </c>
      <c r="K83" s="72">
        <f t="shared" si="35"/>
        <v>2727.2799999999997</v>
      </c>
      <c r="L83" s="72">
        <f t="shared" si="35"/>
        <v>2934.88</v>
      </c>
      <c r="M83" s="72">
        <f t="shared" si="35"/>
        <v>3006.48</v>
      </c>
      <c r="N83" s="72">
        <f t="shared" si="35"/>
        <v>2830.8799999999997</v>
      </c>
      <c r="O83" s="72">
        <f t="shared" si="35"/>
        <v>2676.2799999999997</v>
      </c>
      <c r="P83" s="72">
        <f t="shared" si="35"/>
        <v>2585.8799999999997</v>
      </c>
      <c r="Q83" s="72">
        <f t="shared" si="35"/>
        <v>2497.08</v>
      </c>
      <c r="R83" s="72">
        <f t="shared" si="35"/>
        <v>2411.08</v>
      </c>
      <c r="S83" s="72">
        <f t="shared" si="35"/>
        <v>2455.2800000000002</v>
      </c>
      <c r="T83" s="72">
        <f t="shared" si="35"/>
        <v>2352.88</v>
      </c>
      <c r="U83" s="72">
        <f t="shared" si="35"/>
        <v>3036.6800000000003</v>
      </c>
      <c r="V83" s="72">
        <f t="shared" si="35"/>
        <v>3214.08</v>
      </c>
      <c r="W83" s="72">
        <f t="shared" si="35"/>
        <v>2697.2799999999997</v>
      </c>
      <c r="X83" s="72">
        <f t="shared" si="35"/>
        <v>3072.4800000000005</v>
      </c>
      <c r="Y83" s="72">
        <f t="shared" si="35"/>
        <v>2640.6800000000003</v>
      </c>
      <c r="Z83" s="72">
        <f t="shared" si="35"/>
        <v>2930.08</v>
      </c>
      <c r="AA83" s="72">
        <f t="shared" si="35"/>
        <v>2933.08</v>
      </c>
      <c r="AB83" s="72">
        <f t="shared" si="35"/>
        <v>2806.08</v>
      </c>
      <c r="AC83" s="72">
        <f t="shared" si="35"/>
        <v>2725.88</v>
      </c>
      <c r="AD83" s="72">
        <f t="shared" si="35"/>
        <v>2543.08</v>
      </c>
      <c r="AE83" s="72">
        <f t="shared" si="35"/>
        <v>2179.2800000000002</v>
      </c>
      <c r="AF83" s="72">
        <f t="shared" si="35"/>
        <v>1976.2800000000002</v>
      </c>
      <c r="AG83" s="78">
        <f t="shared" si="35"/>
        <v>4360.08</v>
      </c>
      <c r="AH83" s="54">
        <f t="shared" si="22"/>
        <v>3214.08</v>
      </c>
      <c r="AI83" s="55">
        <f t="shared" si="23"/>
        <v>1733.08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</v>
      </c>
      <c r="C84" s="95">
        <v>49.97</v>
      </c>
      <c r="D84" s="95">
        <v>49.99</v>
      </c>
      <c r="E84" s="95">
        <v>49.981999999999999</v>
      </c>
      <c r="F84" s="95">
        <v>49.92</v>
      </c>
      <c r="G84" s="95">
        <v>50.006999999999998</v>
      </c>
      <c r="H84" s="95">
        <v>50.005000000000003</v>
      </c>
      <c r="I84" s="95">
        <v>50.01</v>
      </c>
      <c r="J84" s="95">
        <v>50.01</v>
      </c>
      <c r="K84" s="95">
        <v>49.798999999999999</v>
      </c>
      <c r="L84" s="95">
        <v>49.878999999999998</v>
      </c>
      <c r="M84" s="95">
        <v>50.045000000000002</v>
      </c>
      <c r="N84" s="95">
        <v>50.078000000000003</v>
      </c>
      <c r="O84" s="95">
        <v>50.003</v>
      </c>
      <c r="P84" s="95">
        <v>50.076000000000001</v>
      </c>
      <c r="Q84" s="95">
        <v>50.021000000000001</v>
      </c>
      <c r="R84" s="95">
        <v>49.933999999999997</v>
      </c>
      <c r="S84" s="95">
        <v>50.05</v>
      </c>
      <c r="T84" s="95">
        <v>50.08</v>
      </c>
      <c r="U84" s="95">
        <v>49.98</v>
      </c>
      <c r="V84" s="95">
        <v>49.96</v>
      </c>
      <c r="W84" s="95">
        <v>50</v>
      </c>
      <c r="X84" s="95">
        <v>50</v>
      </c>
      <c r="Y84" s="95">
        <v>49.99</v>
      </c>
      <c r="Z84" s="95">
        <v>50.06</v>
      </c>
      <c r="AA84" s="95">
        <v>49.88</v>
      </c>
      <c r="AB84" s="95">
        <v>50.052999999999997</v>
      </c>
      <c r="AC84" s="95">
        <v>49.970999999999997</v>
      </c>
      <c r="AD84" s="95">
        <v>50.052</v>
      </c>
      <c r="AE84" s="95">
        <v>50.06</v>
      </c>
      <c r="AF84" s="95">
        <v>50.040999999999997</v>
      </c>
      <c r="AG84" s="96"/>
      <c r="AH84" s="54">
        <f t="shared" si="22"/>
        <v>50.08</v>
      </c>
      <c r="AI84" s="55">
        <f t="shared" si="23"/>
        <v>49.798999999999999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128.19999999999999</v>
      </c>
      <c r="C85" s="73">
        <v>127.6</v>
      </c>
      <c r="D85" s="73">
        <v>127.7</v>
      </c>
      <c r="E85" s="73">
        <v>127.9</v>
      </c>
      <c r="F85" s="73">
        <v>128.9</v>
      </c>
      <c r="G85" s="73">
        <v>129.6</v>
      </c>
      <c r="H85" s="73">
        <v>128</v>
      </c>
      <c r="I85" s="73">
        <v>126.6</v>
      </c>
      <c r="J85" s="73">
        <v>125.9</v>
      </c>
      <c r="K85" s="73">
        <v>125.9</v>
      </c>
      <c r="L85" s="73">
        <v>126</v>
      </c>
      <c r="M85" s="73">
        <v>125.3</v>
      </c>
      <c r="N85" s="73">
        <v>123.6</v>
      </c>
      <c r="O85" s="73">
        <v>122.9</v>
      </c>
      <c r="P85" s="73">
        <v>123.7</v>
      </c>
      <c r="Q85" s="73">
        <v>123</v>
      </c>
      <c r="R85" s="73">
        <v>123.7</v>
      </c>
      <c r="S85" s="73">
        <v>122.4</v>
      </c>
      <c r="T85" s="73">
        <v>124.2</v>
      </c>
      <c r="U85" s="98">
        <v>123.4</v>
      </c>
      <c r="V85" s="98">
        <v>124.6</v>
      </c>
      <c r="W85" s="98">
        <v>124.7</v>
      </c>
      <c r="X85" s="98">
        <v>123.7</v>
      </c>
      <c r="Y85" s="98">
        <v>123.6</v>
      </c>
      <c r="Z85" s="98">
        <v>123.2</v>
      </c>
      <c r="AA85" s="98">
        <v>122.6</v>
      </c>
      <c r="AB85" s="73">
        <v>125.6</v>
      </c>
      <c r="AC85" s="73">
        <v>125.8</v>
      </c>
      <c r="AD85" s="73">
        <v>126.3</v>
      </c>
      <c r="AE85" s="73">
        <v>127.4</v>
      </c>
      <c r="AF85" s="73">
        <v>128.5</v>
      </c>
      <c r="AG85" s="99"/>
      <c r="AH85" s="54">
        <f t="shared" si="22"/>
        <v>129.6</v>
      </c>
      <c r="AI85" s="55">
        <f t="shared" si="23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131.6</v>
      </c>
      <c r="C86" s="73">
        <v>131.19999999999999</v>
      </c>
      <c r="D86" s="73">
        <v>131.19999999999999</v>
      </c>
      <c r="E86" s="73">
        <v>131.19999999999999</v>
      </c>
      <c r="F86" s="73">
        <v>132.30000000000001</v>
      </c>
      <c r="G86" s="73">
        <v>132.5</v>
      </c>
      <c r="H86" s="73">
        <v>131</v>
      </c>
      <c r="I86" s="73">
        <v>129.5</v>
      </c>
      <c r="J86" s="73">
        <v>127.3</v>
      </c>
      <c r="K86" s="73">
        <v>127.3</v>
      </c>
      <c r="L86" s="73">
        <v>126.7</v>
      </c>
      <c r="M86" s="73">
        <v>126.1</v>
      </c>
      <c r="N86" s="73">
        <v>125.4</v>
      </c>
      <c r="O86" s="73">
        <v>124.7</v>
      </c>
      <c r="P86" s="73">
        <v>125.9</v>
      </c>
      <c r="Q86" s="73">
        <v>125.9</v>
      </c>
      <c r="R86" s="73">
        <v>126.4</v>
      </c>
      <c r="S86" s="73">
        <v>125.1</v>
      </c>
      <c r="T86" s="73">
        <v>126.5</v>
      </c>
      <c r="U86" s="98">
        <v>125</v>
      </c>
      <c r="V86" s="98">
        <v>125</v>
      </c>
      <c r="W86" s="98">
        <v>125.4</v>
      </c>
      <c r="X86" s="98">
        <v>125.6</v>
      </c>
      <c r="Y86" s="98">
        <v>125.1</v>
      </c>
      <c r="Z86" s="98">
        <v>124.7</v>
      </c>
      <c r="AA86" s="98">
        <v>124.4</v>
      </c>
      <c r="AB86" s="73">
        <v>127.4</v>
      </c>
      <c r="AC86" s="73">
        <v>127.7</v>
      </c>
      <c r="AD86" s="73">
        <v>128</v>
      </c>
      <c r="AE86" s="73">
        <v>129.9</v>
      </c>
      <c r="AF86" s="73">
        <v>131.1</v>
      </c>
      <c r="AG86" s="99"/>
      <c r="AH86" s="54">
        <f t="shared" si="22"/>
        <v>132.5</v>
      </c>
      <c r="AI86" s="55">
        <f t="shared" si="23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127.1</v>
      </c>
      <c r="C87" s="73">
        <v>128.30000000000001</v>
      </c>
      <c r="D87" s="73">
        <v>128</v>
      </c>
      <c r="E87" s="73">
        <v>131.19999999999999</v>
      </c>
      <c r="F87" s="73">
        <v>130.69999999999999</v>
      </c>
      <c r="G87" s="73">
        <v>130.5</v>
      </c>
      <c r="H87" s="73">
        <v>129.9</v>
      </c>
      <c r="I87" s="73">
        <v>128.4</v>
      </c>
      <c r="J87" s="73">
        <v>128.19999999999999</v>
      </c>
      <c r="K87" s="73">
        <v>128.19999999999999</v>
      </c>
      <c r="L87" s="73">
        <v>125</v>
      </c>
      <c r="M87" s="73">
        <v>121.7</v>
      </c>
      <c r="N87" s="73">
        <v>124.8</v>
      </c>
      <c r="O87" s="73">
        <v>124.4</v>
      </c>
      <c r="P87" s="73">
        <v>127</v>
      </c>
      <c r="Q87" s="73">
        <v>130.4</v>
      </c>
      <c r="R87" s="73">
        <v>129.30000000000001</v>
      </c>
      <c r="S87" s="73">
        <v>126.8</v>
      </c>
      <c r="T87" s="73">
        <v>127.5</v>
      </c>
      <c r="U87" s="73">
        <v>127.3</v>
      </c>
      <c r="V87" s="73">
        <v>126</v>
      </c>
      <c r="W87" s="73">
        <v>125.6</v>
      </c>
      <c r="X87" s="98">
        <v>128.5</v>
      </c>
      <c r="Y87" s="98">
        <v>1275</v>
      </c>
      <c r="Z87" s="98">
        <v>127.5</v>
      </c>
      <c r="AA87" s="98">
        <v>128.1</v>
      </c>
      <c r="AB87" s="73">
        <v>132.30000000000001</v>
      </c>
      <c r="AC87" s="73">
        <v>132</v>
      </c>
      <c r="AD87" s="73">
        <v>130.9</v>
      </c>
      <c r="AE87" s="73">
        <v>127</v>
      </c>
      <c r="AF87" s="73">
        <v>129.1</v>
      </c>
      <c r="AG87" s="99"/>
      <c r="AH87" s="54">
        <f t="shared" si="22"/>
        <v>1275</v>
      </c>
      <c r="AI87" s="55">
        <f t="shared" si="23"/>
        <v>121.7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133.1</v>
      </c>
      <c r="C88" s="73">
        <v>134</v>
      </c>
      <c r="D88" s="73">
        <v>133.9</v>
      </c>
      <c r="E88" s="73">
        <v>134.5</v>
      </c>
      <c r="F88" s="73">
        <v>134.5</v>
      </c>
      <c r="G88" s="73">
        <v>133.80000000000001</v>
      </c>
      <c r="H88" s="73">
        <v>133</v>
      </c>
      <c r="I88" s="73">
        <v>131.6</v>
      </c>
      <c r="J88" s="73">
        <v>131.30000000000001</v>
      </c>
      <c r="K88" s="73">
        <v>131.30000000000001</v>
      </c>
      <c r="L88" s="73">
        <v>127.3</v>
      </c>
      <c r="M88" s="73">
        <v>127.8</v>
      </c>
      <c r="N88" s="73">
        <v>130.1</v>
      </c>
      <c r="O88" s="73">
        <v>130.30000000000001</v>
      </c>
      <c r="P88" s="73">
        <v>131.9</v>
      </c>
      <c r="Q88" s="73">
        <v>134.5</v>
      </c>
      <c r="R88" s="73">
        <v>133.5</v>
      </c>
      <c r="S88" s="73">
        <v>130.6</v>
      </c>
      <c r="T88" s="73">
        <v>133</v>
      </c>
      <c r="U88" s="73">
        <v>132.6</v>
      </c>
      <c r="V88" s="73">
        <v>132.30000000000001</v>
      </c>
      <c r="W88" s="73">
        <v>131.6</v>
      </c>
      <c r="X88" s="98">
        <v>135.69999999999999</v>
      </c>
      <c r="Y88" s="98">
        <v>134.6</v>
      </c>
      <c r="Z88" s="98">
        <v>133.4</v>
      </c>
      <c r="AA88" s="98">
        <v>134</v>
      </c>
      <c r="AB88" s="73">
        <v>134.69999999999999</v>
      </c>
      <c r="AC88" s="73">
        <v>134.6</v>
      </c>
      <c r="AD88" s="73">
        <v>134</v>
      </c>
      <c r="AE88" s="73">
        <v>133.30000000000001</v>
      </c>
      <c r="AF88" s="73">
        <v>132.6</v>
      </c>
      <c r="AG88" s="99"/>
      <c r="AH88" s="54">
        <f t="shared" si="22"/>
        <v>135.69999999999999</v>
      </c>
      <c r="AI88" s="55">
        <f t="shared" si="23"/>
        <v>127.3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132.69999999999999</v>
      </c>
      <c r="C89" s="101">
        <v>134</v>
      </c>
      <c r="D89" s="101">
        <v>131.30000000000001</v>
      </c>
      <c r="E89" s="101">
        <v>134.80000000000001</v>
      </c>
      <c r="F89" s="101">
        <v>134.5</v>
      </c>
      <c r="G89" s="101">
        <v>133.9</v>
      </c>
      <c r="H89" s="101">
        <v>134.6</v>
      </c>
      <c r="I89" s="101">
        <v>131.5</v>
      </c>
      <c r="J89" s="101">
        <v>134.30000000000001</v>
      </c>
      <c r="K89" s="101">
        <v>134.30000000000001</v>
      </c>
      <c r="L89" s="101">
        <v>131.69999999999999</v>
      </c>
      <c r="M89" s="101">
        <v>130</v>
      </c>
      <c r="N89" s="101">
        <v>132.9</v>
      </c>
      <c r="O89" s="101">
        <v>131.6</v>
      </c>
      <c r="P89" s="101">
        <v>131.69999999999999</v>
      </c>
      <c r="Q89" s="101">
        <v>133.69999999999999</v>
      </c>
      <c r="R89" s="101">
        <v>133.80000000000001</v>
      </c>
      <c r="S89" s="101">
        <v>128</v>
      </c>
      <c r="T89" s="101">
        <v>134.69999999999999</v>
      </c>
      <c r="U89" s="101">
        <v>133.80000000000001</v>
      </c>
      <c r="V89" s="101">
        <v>145.30000000000001</v>
      </c>
      <c r="W89" s="101">
        <v>136.1</v>
      </c>
      <c r="X89" s="98">
        <v>131.19999999999999</v>
      </c>
      <c r="Y89" s="98">
        <v>131</v>
      </c>
      <c r="Z89" s="98">
        <v>132.19999999999999</v>
      </c>
      <c r="AA89" s="98">
        <v>132.5</v>
      </c>
      <c r="AB89" s="101">
        <v>135.30000000000001</v>
      </c>
      <c r="AC89" s="101">
        <v>130.30000000000001</v>
      </c>
      <c r="AD89" s="101">
        <v>134</v>
      </c>
      <c r="AE89" s="101">
        <v>134.6</v>
      </c>
      <c r="AF89" s="101">
        <v>131.30000000000001</v>
      </c>
      <c r="AG89" s="102"/>
      <c r="AH89" s="54">
        <f t="shared" si="22"/>
        <v>145.30000000000001</v>
      </c>
      <c r="AI89" s="55">
        <f t="shared" si="23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135.80000000000001</v>
      </c>
      <c r="C90" s="73">
        <v>132.80000000000001</v>
      </c>
      <c r="D90" s="73">
        <v>130.1</v>
      </c>
      <c r="E90" s="73">
        <v>134.1</v>
      </c>
      <c r="F90" s="73">
        <v>133.4</v>
      </c>
      <c r="G90" s="73">
        <v>133.6</v>
      </c>
      <c r="H90" s="73">
        <v>133</v>
      </c>
      <c r="I90" s="73">
        <v>129.69999999999999</v>
      </c>
      <c r="J90" s="73">
        <v>132.19999999999999</v>
      </c>
      <c r="K90" s="73">
        <v>132.19999999999999</v>
      </c>
      <c r="L90" s="73">
        <v>129.6</v>
      </c>
      <c r="M90" s="73">
        <v>126.7</v>
      </c>
      <c r="N90" s="73">
        <v>128.5</v>
      </c>
      <c r="O90" s="73">
        <v>126.8</v>
      </c>
      <c r="P90" s="73">
        <v>131.1</v>
      </c>
      <c r="Q90" s="73">
        <v>131.9</v>
      </c>
      <c r="R90" s="73">
        <v>130.9</v>
      </c>
      <c r="S90" s="73">
        <v>123.8</v>
      </c>
      <c r="T90" s="73">
        <v>132.6</v>
      </c>
      <c r="U90" s="73">
        <v>130.80000000000001</v>
      </c>
      <c r="V90" s="73">
        <v>132.30000000000001</v>
      </c>
      <c r="W90" s="73">
        <v>132.69999999999999</v>
      </c>
      <c r="X90" s="98">
        <v>131.19999999999999</v>
      </c>
      <c r="Y90" s="98">
        <v>130.6</v>
      </c>
      <c r="Z90" s="98">
        <v>132.19999999999999</v>
      </c>
      <c r="AA90" s="98">
        <v>133.30000000000001</v>
      </c>
      <c r="AB90" s="73">
        <v>131.9</v>
      </c>
      <c r="AC90" s="73">
        <v>129</v>
      </c>
      <c r="AD90" s="73">
        <v>132.80000000000001</v>
      </c>
      <c r="AE90" s="73">
        <v>135.1</v>
      </c>
      <c r="AF90" s="73">
        <v>137.4</v>
      </c>
      <c r="AG90" s="99"/>
      <c r="AH90" s="54">
        <f t="shared" si="22"/>
        <v>137.4</v>
      </c>
      <c r="AI90" s="55">
        <f t="shared" si="23"/>
        <v>123.8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67</v>
      </c>
      <c r="C91" s="103">
        <v>66.8</v>
      </c>
      <c r="D91" s="103">
        <v>66.900000000000006</v>
      </c>
      <c r="E91" s="103">
        <v>66.900000000000006</v>
      </c>
      <c r="F91" s="103">
        <v>67.900000000000006</v>
      </c>
      <c r="G91" s="103">
        <v>67.7</v>
      </c>
      <c r="H91" s="103">
        <v>66.7</v>
      </c>
      <c r="I91" s="103">
        <v>65.900000000000006</v>
      </c>
      <c r="J91" s="103">
        <v>64.7</v>
      </c>
      <c r="K91" s="103">
        <v>64.7</v>
      </c>
      <c r="L91" s="103">
        <v>64.400000000000006</v>
      </c>
      <c r="M91" s="103">
        <v>63.9</v>
      </c>
      <c r="N91" s="103">
        <v>63.6</v>
      </c>
      <c r="O91" s="103">
        <v>63.2</v>
      </c>
      <c r="P91" s="103">
        <v>62.9</v>
      </c>
      <c r="Q91" s="103">
        <v>62.9</v>
      </c>
      <c r="R91" s="103">
        <v>62.7</v>
      </c>
      <c r="S91" s="103">
        <v>62.3</v>
      </c>
      <c r="T91" s="103">
        <v>63.4</v>
      </c>
      <c r="U91" s="103">
        <v>62.6</v>
      </c>
      <c r="V91" s="103">
        <v>62.9</v>
      </c>
      <c r="W91" s="103">
        <v>62.6</v>
      </c>
      <c r="X91" s="103">
        <v>64</v>
      </c>
      <c r="Y91" s="103">
        <v>63.8</v>
      </c>
      <c r="Z91" s="103">
        <v>63.6</v>
      </c>
      <c r="AA91" s="103">
        <v>63.6</v>
      </c>
      <c r="AB91" s="103">
        <v>64.599999999999994</v>
      </c>
      <c r="AC91" s="103">
        <v>64.3</v>
      </c>
      <c r="AD91" s="103">
        <v>64.3</v>
      </c>
      <c r="AE91" s="103">
        <v>66</v>
      </c>
      <c r="AF91" s="103">
        <v>66.5</v>
      </c>
      <c r="AG91" s="104"/>
      <c r="AH91" s="54">
        <f t="shared" si="22"/>
        <v>67.900000000000006</v>
      </c>
      <c r="AI91" s="55">
        <f t="shared" si="23"/>
        <v>62.3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196.23999999999995</v>
      </c>
      <c r="C93" s="110">
        <f>SUM(C15,C18,C21:C22,C42,C44:C45,C47,C49,C94:C97,C102,C108,C114,C123,C125,C137,C144,C147:C148,C155,C157,C159,C163:C165,C167:C169,C174,C180:C181,C183:C185,C193,C198)</f>
        <v>182.33999999999997</v>
      </c>
      <c r="D93" s="110">
        <f t="shared" ref="D93:AF93" si="37">SUM(D15,D18,D21:D22,D42,D44:D45,D47,D49,D94:D97,D102,D108,D114,D123,D125,D137,D144,D147:D148,D155,D157,D159,D163:D165,D167:D169,D174,D180:D181,D183:D185,D193,D198)</f>
        <v>174.93999999999997</v>
      </c>
      <c r="E93" s="110">
        <f t="shared" si="37"/>
        <v>170.53999999999996</v>
      </c>
      <c r="F93" s="110">
        <f t="shared" si="37"/>
        <v>179.93999999999997</v>
      </c>
      <c r="G93" s="109">
        <f t="shared" si="37"/>
        <v>200.43999999999997</v>
      </c>
      <c r="H93" s="109">
        <f t="shared" si="37"/>
        <v>244.43999999999997</v>
      </c>
      <c r="I93" s="109">
        <f t="shared" si="37"/>
        <v>274.94</v>
      </c>
      <c r="J93" s="109">
        <f t="shared" si="37"/>
        <v>331.94000000000005</v>
      </c>
      <c r="K93" s="109">
        <f t="shared" si="37"/>
        <v>377.94000000000005</v>
      </c>
      <c r="L93" s="109">
        <f t="shared" si="37"/>
        <v>354.64000000000004</v>
      </c>
      <c r="M93" s="109">
        <f t="shared" si="37"/>
        <v>434.94000000000005</v>
      </c>
      <c r="N93" s="109">
        <f t="shared" si="37"/>
        <v>424.54000000000008</v>
      </c>
      <c r="O93" s="109">
        <f t="shared" si="37"/>
        <v>402.14000000000004</v>
      </c>
      <c r="P93" s="109">
        <f t="shared" si="37"/>
        <v>379.04000000000008</v>
      </c>
      <c r="Q93" s="109">
        <f t="shared" si="37"/>
        <v>385.44000000000005</v>
      </c>
      <c r="R93" s="109">
        <f t="shared" si="37"/>
        <v>345.94000000000005</v>
      </c>
      <c r="S93" s="109">
        <f t="shared" si="37"/>
        <v>334.94000000000005</v>
      </c>
      <c r="T93" s="109">
        <f t="shared" si="37"/>
        <v>342.14000000000004</v>
      </c>
      <c r="U93" s="109">
        <f t="shared" si="37"/>
        <v>379.34000000000003</v>
      </c>
      <c r="V93" s="109">
        <f t="shared" si="37"/>
        <v>410.44000000000005</v>
      </c>
      <c r="W93" s="109">
        <f t="shared" si="37"/>
        <v>435.84000000000003</v>
      </c>
      <c r="X93" s="109">
        <f t="shared" si="37"/>
        <v>491.04000000000008</v>
      </c>
      <c r="Y93" s="109">
        <f t="shared" si="37"/>
        <v>478.04000000000008</v>
      </c>
      <c r="Z93" s="109">
        <f t="shared" si="37"/>
        <v>467.94</v>
      </c>
      <c r="AA93" s="109">
        <f t="shared" si="37"/>
        <v>449.53999999999996</v>
      </c>
      <c r="AB93" s="109">
        <f t="shared" si="37"/>
        <v>433.74</v>
      </c>
      <c r="AC93" s="109">
        <f t="shared" si="37"/>
        <v>401.84000000000003</v>
      </c>
      <c r="AD93" s="109">
        <f t="shared" si="37"/>
        <v>375.24</v>
      </c>
      <c r="AE93" s="109">
        <f t="shared" si="37"/>
        <v>269.24</v>
      </c>
      <c r="AF93" s="109">
        <f t="shared" si="37"/>
        <v>191.23999999999998</v>
      </c>
      <c r="AG93" s="111"/>
      <c r="AH93" s="54">
        <f>MAX(C93:AF93)</f>
        <v>491.04000000000008</v>
      </c>
      <c r="AI93" s="55">
        <f>MIN(C93:AF93)</f>
        <v>170.53999999999996</v>
      </c>
    </row>
    <row r="94" spans="1:88" x14ac:dyDescent="0.25">
      <c r="A94" s="112" t="s">
        <v>98</v>
      </c>
      <c r="B94" s="113">
        <v>35.200000000000003</v>
      </c>
      <c r="C94" s="58">
        <v>24.8</v>
      </c>
      <c r="D94" s="58">
        <v>26.6</v>
      </c>
      <c r="E94" s="58">
        <v>38</v>
      </c>
      <c r="F94" s="58">
        <v>37</v>
      </c>
      <c r="G94" s="114">
        <v>29.5</v>
      </c>
      <c r="H94" s="114">
        <v>29</v>
      </c>
      <c r="I94" s="114">
        <v>20</v>
      </c>
      <c r="J94" s="114">
        <v>35</v>
      </c>
      <c r="K94" s="114">
        <v>51</v>
      </c>
      <c r="L94" s="114">
        <v>51.7</v>
      </c>
      <c r="M94" s="113">
        <v>45</v>
      </c>
      <c r="N94" s="113">
        <v>80.599999999999994</v>
      </c>
      <c r="O94" s="113">
        <v>57.4</v>
      </c>
      <c r="P94" s="113">
        <v>53.2</v>
      </c>
      <c r="Q94" s="113">
        <v>42.1</v>
      </c>
      <c r="R94" s="114">
        <v>34.9</v>
      </c>
      <c r="S94" s="114">
        <v>21.2</v>
      </c>
      <c r="T94" s="114">
        <v>2.2000000000000002</v>
      </c>
      <c r="U94" s="113">
        <v>13.5</v>
      </c>
      <c r="V94" s="113">
        <v>47.5</v>
      </c>
      <c r="W94" s="113">
        <v>51.2</v>
      </c>
      <c r="X94" s="114">
        <v>36.299999999999997</v>
      </c>
      <c r="Y94" s="114">
        <v>46.6</v>
      </c>
      <c r="Z94" s="114">
        <v>52.1</v>
      </c>
      <c r="AA94" s="114">
        <v>53.4</v>
      </c>
      <c r="AB94" s="113">
        <v>59.6</v>
      </c>
      <c r="AC94" s="113">
        <v>39.1</v>
      </c>
      <c r="AD94" s="113">
        <v>44</v>
      </c>
      <c r="AE94" s="113">
        <v>38</v>
      </c>
      <c r="AF94" s="113"/>
      <c r="AG94" s="115">
        <v>75</v>
      </c>
      <c r="AH94" s="54">
        <f t="shared" ref="AH94:AH99" si="38">IF(ABS(MAX(C94:AF94))&gt;ABS(MIN(C94:AF94)),MAX(C94:AF94),MIN(C94:AF94))</f>
        <v>80.599999999999994</v>
      </c>
      <c r="AI94" s="116">
        <f t="shared" ref="AI94:AI99" si="39">INDEX($C$9:$AF$9,1,MATCH(AH94,C94:AF94,0))</f>
        <v>0.375</v>
      </c>
    </row>
    <row r="95" spans="1:88" x14ac:dyDescent="0.25">
      <c r="A95" s="117" t="s">
        <v>99</v>
      </c>
      <c r="B95" s="73">
        <f>-23.1-31.2</f>
        <v>-54.3</v>
      </c>
      <c r="C95" s="60">
        <f>-28.6-33.9</f>
        <v>-62.5</v>
      </c>
      <c r="D95" s="60">
        <f>-30-35.2</f>
        <v>-65.2</v>
      </c>
      <c r="E95" s="60">
        <v>-54</v>
      </c>
      <c r="F95" s="60">
        <v>-64</v>
      </c>
      <c r="G95" s="60">
        <v>-51</v>
      </c>
      <c r="H95" s="60">
        <v>-39</v>
      </c>
      <c r="I95" s="60">
        <v>-28</v>
      </c>
      <c r="J95" s="60">
        <v>5</v>
      </c>
      <c r="K95" s="60">
        <v>21</v>
      </c>
      <c r="L95" s="60">
        <v>-42</v>
      </c>
      <c r="M95" s="60">
        <v>38.799999999999997</v>
      </c>
      <c r="N95" s="60">
        <v>11.4</v>
      </c>
      <c r="O95" s="60">
        <v>10</v>
      </c>
      <c r="P95" s="60">
        <v>4</v>
      </c>
      <c r="Q95" s="60">
        <v>10</v>
      </c>
      <c r="R95" s="60">
        <v>-2.8</v>
      </c>
      <c r="S95" s="60">
        <v>-4.9000000000000004</v>
      </c>
      <c r="T95" s="60">
        <f>8.6+6.1</f>
        <v>14.7</v>
      </c>
      <c r="U95" s="60">
        <f>15.2+13.5</f>
        <v>28.7</v>
      </c>
      <c r="V95" s="60">
        <f>22.9+19.1</f>
        <v>42</v>
      </c>
      <c r="W95" s="60">
        <f>26.2+21.9</f>
        <v>48.099999999999994</v>
      </c>
      <c r="X95" s="60">
        <v>80.900000000000006</v>
      </c>
      <c r="Y95" s="60">
        <f>33.6+31.5</f>
        <v>65.099999999999994</v>
      </c>
      <c r="Z95" s="60">
        <f>31.7+34</f>
        <v>65.7</v>
      </c>
      <c r="AA95" s="60">
        <f>30+30.9</f>
        <v>60.9</v>
      </c>
      <c r="AB95" s="73">
        <v>42.9</v>
      </c>
      <c r="AC95" s="73">
        <v>33.299999999999997</v>
      </c>
      <c r="AD95" s="73">
        <v>20.9</v>
      </c>
      <c r="AE95" s="73">
        <v>-40</v>
      </c>
      <c r="AF95" s="73"/>
      <c r="AG95" s="115">
        <v>240</v>
      </c>
      <c r="AH95" s="54">
        <f t="shared" si="38"/>
        <v>80.900000000000006</v>
      </c>
      <c r="AI95" s="116">
        <f t="shared" si="39"/>
        <v>0.75</v>
      </c>
    </row>
    <row r="96" spans="1:88" x14ac:dyDescent="0.25">
      <c r="A96" s="117" t="s">
        <v>100</v>
      </c>
      <c r="B96" s="73">
        <v>2</v>
      </c>
      <c r="C96" s="60">
        <v>-6.7</v>
      </c>
      <c r="D96" s="60">
        <v>-6.9</v>
      </c>
      <c r="E96" s="60">
        <v>-8</v>
      </c>
      <c r="F96" s="60">
        <v>-3</v>
      </c>
      <c r="G96" s="60">
        <v>4</v>
      </c>
      <c r="H96" s="60">
        <v>7.5</v>
      </c>
      <c r="I96" s="60">
        <v>10</v>
      </c>
      <c r="J96" s="60">
        <v>14</v>
      </c>
      <c r="K96" s="60">
        <v>19</v>
      </c>
      <c r="L96" s="60">
        <v>52</v>
      </c>
      <c r="M96" s="60">
        <v>53.8</v>
      </c>
      <c r="N96" s="60">
        <v>42.5</v>
      </c>
      <c r="O96" s="60">
        <v>32.4</v>
      </c>
      <c r="P96" s="60">
        <v>28.8</v>
      </c>
      <c r="Q96" s="60">
        <v>32.4</v>
      </c>
      <c r="R96" s="60">
        <v>30.4</v>
      </c>
      <c r="S96" s="60">
        <v>29</v>
      </c>
      <c r="T96" s="60">
        <v>34.700000000000003</v>
      </c>
      <c r="U96" s="60">
        <v>38.4</v>
      </c>
      <c r="V96" s="60">
        <v>54.2</v>
      </c>
      <c r="W96" s="60">
        <v>54.9</v>
      </c>
      <c r="X96" s="60">
        <v>62.8</v>
      </c>
      <c r="Y96" s="60">
        <v>57.7</v>
      </c>
      <c r="Z96" s="60">
        <v>43.4</v>
      </c>
      <c r="AA96" s="60">
        <v>39.4</v>
      </c>
      <c r="AB96" s="73">
        <v>37.299999999999997</v>
      </c>
      <c r="AC96" s="73">
        <v>34.200000000000003</v>
      </c>
      <c r="AD96" s="73">
        <v>32</v>
      </c>
      <c r="AE96" s="73">
        <v>20</v>
      </c>
      <c r="AF96" s="73"/>
      <c r="AG96" s="115">
        <v>60</v>
      </c>
      <c r="AH96" s="54">
        <f t="shared" si="38"/>
        <v>62.8</v>
      </c>
      <c r="AI96" s="116">
        <f t="shared" si="39"/>
        <v>0.75</v>
      </c>
    </row>
    <row r="97" spans="1:37" x14ac:dyDescent="0.25">
      <c r="A97" s="118" t="s">
        <v>101</v>
      </c>
      <c r="B97" s="119">
        <v>18.7</v>
      </c>
      <c r="C97" s="63">
        <v>32.4</v>
      </c>
      <c r="D97" s="63">
        <v>27.2</v>
      </c>
      <c r="E97" s="63">
        <v>30</v>
      </c>
      <c r="F97" s="63">
        <v>17</v>
      </c>
      <c r="G97" s="63">
        <v>25</v>
      </c>
      <c r="H97" s="63">
        <v>54</v>
      </c>
      <c r="I97" s="63">
        <v>80</v>
      </c>
      <c r="J97" s="63">
        <v>85</v>
      </c>
      <c r="K97" s="63">
        <v>94</v>
      </c>
      <c r="L97" s="63">
        <v>100</v>
      </c>
      <c r="M97" s="63">
        <v>103</v>
      </c>
      <c r="N97" s="63">
        <v>96</v>
      </c>
      <c r="O97" s="63">
        <v>108.3</v>
      </c>
      <c r="P97" s="63">
        <v>99</v>
      </c>
      <c r="Q97" s="63">
        <v>108.3</v>
      </c>
      <c r="R97" s="63">
        <v>92.7</v>
      </c>
      <c r="S97" s="63">
        <v>98.9</v>
      </c>
      <c r="T97" s="63">
        <v>99.8</v>
      </c>
      <c r="U97" s="63">
        <v>108</v>
      </c>
      <c r="V97" s="63">
        <v>76</v>
      </c>
      <c r="W97" s="63">
        <v>90.9</v>
      </c>
      <c r="X97" s="63">
        <v>120.3</v>
      </c>
      <c r="Y97" s="63">
        <v>117.9</v>
      </c>
      <c r="Z97" s="63">
        <v>116</v>
      </c>
      <c r="AA97" s="63">
        <v>105.1</v>
      </c>
      <c r="AB97" s="119">
        <v>103.2</v>
      </c>
      <c r="AC97" s="119">
        <v>104.5</v>
      </c>
      <c r="AD97" s="119">
        <v>87.1</v>
      </c>
      <c r="AE97" s="119">
        <v>60</v>
      </c>
      <c r="AF97" s="119"/>
      <c r="AG97" s="120">
        <v>120</v>
      </c>
      <c r="AH97" s="54">
        <f t="shared" si="38"/>
        <v>120.3</v>
      </c>
      <c r="AI97" s="116">
        <f t="shared" si="39"/>
        <v>0.75</v>
      </c>
    </row>
    <row r="98" spans="1:37" x14ac:dyDescent="0.25">
      <c r="A98" s="118" t="s">
        <v>102</v>
      </c>
      <c r="B98" s="119">
        <v>27.9</v>
      </c>
      <c r="C98" s="63">
        <v>44.1</v>
      </c>
      <c r="D98" s="63">
        <v>37.9</v>
      </c>
      <c r="E98" s="63">
        <v>40</v>
      </c>
      <c r="F98" s="63">
        <v>28</v>
      </c>
      <c r="G98" s="63">
        <v>29</v>
      </c>
      <c r="H98" s="63">
        <v>50</v>
      </c>
      <c r="I98" s="63">
        <v>70</v>
      </c>
      <c r="J98" s="63">
        <v>65</v>
      </c>
      <c r="K98" s="63">
        <v>57</v>
      </c>
      <c r="L98" s="63">
        <v>58</v>
      </c>
      <c r="M98" s="63">
        <v>59.7</v>
      </c>
      <c r="N98" s="63">
        <v>74.8</v>
      </c>
      <c r="O98" s="63">
        <v>81</v>
      </c>
      <c r="P98" s="63">
        <v>91</v>
      </c>
      <c r="Q98" s="63">
        <v>81</v>
      </c>
      <c r="R98" s="63">
        <v>87.6</v>
      </c>
      <c r="S98" s="63">
        <v>95.4</v>
      </c>
      <c r="T98" s="63">
        <v>84.2</v>
      </c>
      <c r="U98" s="63">
        <v>89.3</v>
      </c>
      <c r="V98" s="63">
        <v>61</v>
      </c>
      <c r="W98" s="63">
        <v>69.5</v>
      </c>
      <c r="X98" s="63">
        <v>96.6</v>
      </c>
      <c r="Y98" s="63">
        <v>89.4</v>
      </c>
      <c r="Z98" s="63">
        <v>101</v>
      </c>
      <c r="AA98" s="63">
        <v>93.8</v>
      </c>
      <c r="AB98" s="119">
        <v>70.8</v>
      </c>
      <c r="AC98" s="119">
        <v>75</v>
      </c>
      <c r="AD98" s="119">
        <v>61.9</v>
      </c>
      <c r="AE98" s="119">
        <v>50</v>
      </c>
      <c r="AF98" s="119"/>
      <c r="AG98" s="120"/>
      <c r="AH98" s="54">
        <f t="shared" si="38"/>
        <v>101</v>
      </c>
      <c r="AI98" s="116">
        <f t="shared" si="39"/>
        <v>0.79166666666666663</v>
      </c>
    </row>
    <row r="99" spans="1:37" ht="15.75" thickBot="1" x14ac:dyDescent="0.3">
      <c r="A99" s="118" t="s">
        <v>217</v>
      </c>
      <c r="B99" s="119">
        <v>42.1</v>
      </c>
      <c r="C99" s="63">
        <v>60.2</v>
      </c>
      <c r="D99" s="63">
        <v>64.3</v>
      </c>
      <c r="E99" s="63">
        <v>51</v>
      </c>
      <c r="F99" s="63">
        <v>54</v>
      </c>
      <c r="G99" s="63">
        <v>62</v>
      </c>
      <c r="H99" s="63">
        <v>52</v>
      </c>
      <c r="I99" s="63">
        <v>66</v>
      </c>
      <c r="J99" s="63">
        <v>55</v>
      </c>
      <c r="K99" s="63">
        <v>45</v>
      </c>
      <c r="L99" s="63">
        <v>50</v>
      </c>
      <c r="M99" s="63">
        <v>48</v>
      </c>
      <c r="N99" s="63">
        <v>33</v>
      </c>
      <c r="O99" s="63">
        <v>37.9</v>
      </c>
      <c r="P99" s="63">
        <v>49</v>
      </c>
      <c r="Q99" s="63">
        <v>37.9</v>
      </c>
      <c r="R99" s="63">
        <v>43.6</v>
      </c>
      <c r="S99" s="63">
        <v>55.6</v>
      </c>
      <c r="T99" s="63">
        <v>79.099999999999994</v>
      </c>
      <c r="U99" s="63">
        <v>66.2</v>
      </c>
      <c r="V99" s="63">
        <v>53.4</v>
      </c>
      <c r="W99" s="63">
        <v>45.7</v>
      </c>
      <c r="X99" s="63">
        <v>60.4</v>
      </c>
      <c r="Y99" s="63">
        <v>55.6</v>
      </c>
      <c r="Z99" s="63">
        <v>53.5</v>
      </c>
      <c r="AA99" s="63">
        <v>53</v>
      </c>
      <c r="AB99" s="119">
        <v>36.799999999999997</v>
      </c>
      <c r="AC99" s="119">
        <v>60.6</v>
      </c>
      <c r="AD99" s="119">
        <v>53.8</v>
      </c>
      <c r="AE99" s="119">
        <v>57</v>
      </c>
      <c r="AF99" s="119"/>
      <c r="AG99" s="121"/>
      <c r="AH99" s="54">
        <f t="shared" si="38"/>
        <v>79.099999999999994</v>
      </c>
      <c r="AI99" s="116">
        <f t="shared" si="39"/>
        <v>0.625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40">AF101</f>
        <v>9.9</v>
      </c>
      <c r="C101" s="53">
        <v>9.9</v>
      </c>
      <c r="D101" s="127">
        <f t="shared" ref="D101:S106" si="41">C101</f>
        <v>9.9</v>
      </c>
      <c r="E101" s="127">
        <f t="shared" si="41"/>
        <v>9.9</v>
      </c>
      <c r="F101" s="127">
        <f t="shared" si="41"/>
        <v>9.9</v>
      </c>
      <c r="G101" s="127">
        <f t="shared" si="41"/>
        <v>9.9</v>
      </c>
      <c r="H101" s="127">
        <f t="shared" si="41"/>
        <v>9.9</v>
      </c>
      <c r="I101" s="127">
        <f t="shared" si="41"/>
        <v>9.9</v>
      </c>
      <c r="J101" s="127">
        <f t="shared" si="41"/>
        <v>9.9</v>
      </c>
      <c r="K101" s="127">
        <f t="shared" si="41"/>
        <v>9.9</v>
      </c>
      <c r="L101" s="127">
        <f t="shared" si="41"/>
        <v>9.9</v>
      </c>
      <c r="M101" s="127">
        <f t="shared" si="41"/>
        <v>9.9</v>
      </c>
      <c r="N101" s="127">
        <f t="shared" si="41"/>
        <v>9.9</v>
      </c>
      <c r="O101" s="127">
        <f t="shared" si="41"/>
        <v>9.9</v>
      </c>
      <c r="P101" s="127">
        <f t="shared" si="41"/>
        <v>9.9</v>
      </c>
      <c r="Q101" s="127">
        <f t="shared" si="41"/>
        <v>9.9</v>
      </c>
      <c r="R101" s="127">
        <f t="shared" si="41"/>
        <v>9.9</v>
      </c>
      <c r="S101" s="127">
        <f t="shared" si="41"/>
        <v>9.9</v>
      </c>
      <c r="T101" s="127">
        <f t="shared" ref="T101:AF106" si="42">S101</f>
        <v>9.9</v>
      </c>
      <c r="U101" s="127">
        <f t="shared" si="42"/>
        <v>9.9</v>
      </c>
      <c r="V101" s="127">
        <f t="shared" si="42"/>
        <v>9.9</v>
      </c>
      <c r="W101" s="127">
        <f t="shared" si="42"/>
        <v>9.9</v>
      </c>
      <c r="X101" s="127">
        <f t="shared" si="42"/>
        <v>9.9</v>
      </c>
      <c r="Y101" s="127">
        <f t="shared" si="42"/>
        <v>9.9</v>
      </c>
      <c r="Z101" s="127">
        <f t="shared" si="42"/>
        <v>9.9</v>
      </c>
      <c r="AA101" s="127">
        <f t="shared" si="42"/>
        <v>9.9</v>
      </c>
      <c r="AB101" s="127">
        <f t="shared" si="42"/>
        <v>9.9</v>
      </c>
      <c r="AC101" s="127">
        <f t="shared" si="42"/>
        <v>9.9</v>
      </c>
      <c r="AD101" s="127">
        <f t="shared" si="42"/>
        <v>9.9</v>
      </c>
      <c r="AE101" s="127">
        <f t="shared" si="42"/>
        <v>9.9</v>
      </c>
      <c r="AF101" s="127">
        <f t="shared" si="42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40"/>
        <v>9.6</v>
      </c>
      <c r="C102" s="130">
        <v>9.6</v>
      </c>
      <c r="D102" s="129">
        <f t="shared" si="41"/>
        <v>9.6</v>
      </c>
      <c r="E102" s="129">
        <f t="shared" si="41"/>
        <v>9.6</v>
      </c>
      <c r="F102" s="129">
        <f t="shared" si="41"/>
        <v>9.6</v>
      </c>
      <c r="G102" s="129">
        <f t="shared" si="41"/>
        <v>9.6</v>
      </c>
      <c r="H102" s="129">
        <f t="shared" si="41"/>
        <v>9.6</v>
      </c>
      <c r="I102" s="129">
        <f t="shared" si="41"/>
        <v>9.6</v>
      </c>
      <c r="J102" s="129">
        <f t="shared" si="41"/>
        <v>9.6</v>
      </c>
      <c r="K102" s="129">
        <f t="shared" si="41"/>
        <v>9.6</v>
      </c>
      <c r="L102" s="129">
        <f t="shared" si="41"/>
        <v>9.6</v>
      </c>
      <c r="M102" s="129">
        <f t="shared" si="41"/>
        <v>9.6</v>
      </c>
      <c r="N102" s="129">
        <f t="shared" si="41"/>
        <v>9.6</v>
      </c>
      <c r="O102" s="129">
        <f t="shared" si="41"/>
        <v>9.6</v>
      </c>
      <c r="P102" s="129">
        <f t="shared" si="41"/>
        <v>9.6</v>
      </c>
      <c r="Q102" s="129">
        <f t="shared" si="41"/>
        <v>9.6</v>
      </c>
      <c r="R102" s="129">
        <f t="shared" si="41"/>
        <v>9.6</v>
      </c>
      <c r="S102" s="129">
        <f t="shared" si="41"/>
        <v>9.6</v>
      </c>
      <c r="T102" s="129">
        <f t="shared" si="42"/>
        <v>9.6</v>
      </c>
      <c r="U102" s="129">
        <f t="shared" si="42"/>
        <v>9.6</v>
      </c>
      <c r="V102" s="129">
        <f t="shared" si="42"/>
        <v>9.6</v>
      </c>
      <c r="W102" s="129">
        <f t="shared" si="42"/>
        <v>9.6</v>
      </c>
      <c r="X102" s="129">
        <f t="shared" si="42"/>
        <v>9.6</v>
      </c>
      <c r="Y102" s="129">
        <f t="shared" si="42"/>
        <v>9.6</v>
      </c>
      <c r="Z102" s="129">
        <f t="shared" si="42"/>
        <v>9.6</v>
      </c>
      <c r="AA102" s="129">
        <f t="shared" si="42"/>
        <v>9.6</v>
      </c>
      <c r="AB102" s="129">
        <f t="shared" si="42"/>
        <v>9.6</v>
      </c>
      <c r="AC102" s="129">
        <f t="shared" si="42"/>
        <v>9.6</v>
      </c>
      <c r="AD102" s="129">
        <f t="shared" si="42"/>
        <v>9.6</v>
      </c>
      <c r="AE102" s="129">
        <f t="shared" si="42"/>
        <v>9.6</v>
      </c>
      <c r="AF102" s="129">
        <f t="shared" si="42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0"/>
        <v>9.98</v>
      </c>
      <c r="C103" s="130">
        <v>9.98</v>
      </c>
      <c r="D103" s="129">
        <f t="shared" si="41"/>
        <v>9.98</v>
      </c>
      <c r="E103" s="129">
        <f t="shared" si="41"/>
        <v>9.98</v>
      </c>
      <c r="F103" s="129">
        <f t="shared" si="41"/>
        <v>9.98</v>
      </c>
      <c r="G103" s="129">
        <f t="shared" si="41"/>
        <v>9.98</v>
      </c>
      <c r="H103" s="129">
        <f t="shared" si="41"/>
        <v>9.98</v>
      </c>
      <c r="I103" s="129">
        <f t="shared" si="41"/>
        <v>9.98</v>
      </c>
      <c r="J103" s="129">
        <f t="shared" si="41"/>
        <v>9.98</v>
      </c>
      <c r="K103" s="129">
        <f t="shared" si="41"/>
        <v>9.98</v>
      </c>
      <c r="L103" s="129">
        <f t="shared" si="41"/>
        <v>9.98</v>
      </c>
      <c r="M103" s="129">
        <f t="shared" si="41"/>
        <v>9.98</v>
      </c>
      <c r="N103" s="129">
        <f t="shared" si="41"/>
        <v>9.98</v>
      </c>
      <c r="O103" s="129">
        <f t="shared" si="41"/>
        <v>9.98</v>
      </c>
      <c r="P103" s="129">
        <f t="shared" si="41"/>
        <v>9.98</v>
      </c>
      <c r="Q103" s="129">
        <f t="shared" si="41"/>
        <v>9.98</v>
      </c>
      <c r="R103" s="129">
        <f t="shared" si="41"/>
        <v>9.98</v>
      </c>
      <c r="S103" s="129">
        <f t="shared" si="41"/>
        <v>9.98</v>
      </c>
      <c r="T103" s="129">
        <f t="shared" si="42"/>
        <v>9.98</v>
      </c>
      <c r="U103" s="129">
        <f t="shared" si="42"/>
        <v>9.98</v>
      </c>
      <c r="V103" s="129">
        <f t="shared" si="42"/>
        <v>9.98</v>
      </c>
      <c r="W103" s="129">
        <f t="shared" si="42"/>
        <v>9.98</v>
      </c>
      <c r="X103" s="129">
        <f t="shared" si="42"/>
        <v>9.98</v>
      </c>
      <c r="Y103" s="129">
        <f t="shared" si="42"/>
        <v>9.98</v>
      </c>
      <c r="Z103" s="129">
        <f t="shared" si="42"/>
        <v>9.98</v>
      </c>
      <c r="AA103" s="129">
        <f t="shared" si="42"/>
        <v>9.98</v>
      </c>
      <c r="AB103" s="129">
        <f t="shared" si="42"/>
        <v>9.98</v>
      </c>
      <c r="AC103" s="129">
        <f t="shared" si="42"/>
        <v>9.98</v>
      </c>
      <c r="AD103" s="129">
        <f t="shared" si="42"/>
        <v>9.98</v>
      </c>
      <c r="AE103" s="129">
        <f t="shared" si="42"/>
        <v>9.98</v>
      </c>
      <c r="AF103" s="129">
        <f t="shared" si="42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0"/>
        <v>9.1</v>
      </c>
      <c r="C104" s="130">
        <v>9.1</v>
      </c>
      <c r="D104" s="129">
        <f t="shared" si="41"/>
        <v>9.1</v>
      </c>
      <c r="E104" s="129">
        <f t="shared" si="41"/>
        <v>9.1</v>
      </c>
      <c r="F104" s="129">
        <f t="shared" si="41"/>
        <v>9.1</v>
      </c>
      <c r="G104" s="129">
        <f t="shared" si="41"/>
        <v>9.1</v>
      </c>
      <c r="H104" s="129">
        <f t="shared" si="41"/>
        <v>9.1</v>
      </c>
      <c r="I104" s="129">
        <f t="shared" si="41"/>
        <v>9.1</v>
      </c>
      <c r="J104" s="129">
        <f t="shared" si="41"/>
        <v>9.1</v>
      </c>
      <c r="K104" s="129">
        <f t="shared" si="41"/>
        <v>9.1</v>
      </c>
      <c r="L104" s="129">
        <f t="shared" si="41"/>
        <v>9.1</v>
      </c>
      <c r="M104" s="129">
        <f t="shared" si="41"/>
        <v>9.1</v>
      </c>
      <c r="N104" s="129">
        <f t="shared" si="41"/>
        <v>9.1</v>
      </c>
      <c r="O104" s="129">
        <f t="shared" si="41"/>
        <v>9.1</v>
      </c>
      <c r="P104" s="129">
        <f t="shared" si="41"/>
        <v>9.1</v>
      </c>
      <c r="Q104" s="129">
        <f t="shared" si="41"/>
        <v>9.1</v>
      </c>
      <c r="R104" s="129">
        <f t="shared" si="41"/>
        <v>9.1</v>
      </c>
      <c r="S104" s="129">
        <f t="shared" si="41"/>
        <v>9.1</v>
      </c>
      <c r="T104" s="129">
        <f t="shared" si="42"/>
        <v>9.1</v>
      </c>
      <c r="U104" s="129">
        <f t="shared" si="42"/>
        <v>9.1</v>
      </c>
      <c r="V104" s="129">
        <f t="shared" si="42"/>
        <v>9.1</v>
      </c>
      <c r="W104" s="129">
        <f t="shared" si="42"/>
        <v>9.1</v>
      </c>
      <c r="X104" s="129">
        <f t="shared" si="42"/>
        <v>9.1</v>
      </c>
      <c r="Y104" s="129">
        <f t="shared" si="42"/>
        <v>9.1</v>
      </c>
      <c r="Z104" s="129">
        <f t="shared" si="42"/>
        <v>9.1</v>
      </c>
      <c r="AA104" s="129">
        <f t="shared" si="42"/>
        <v>9.1</v>
      </c>
      <c r="AB104" s="129">
        <f t="shared" si="42"/>
        <v>9.1</v>
      </c>
      <c r="AC104" s="129">
        <f t="shared" si="42"/>
        <v>9.1</v>
      </c>
      <c r="AD104" s="129">
        <f t="shared" si="42"/>
        <v>9.1</v>
      </c>
      <c r="AE104" s="129">
        <f t="shared" si="42"/>
        <v>9.1</v>
      </c>
      <c r="AF104" s="129">
        <f t="shared" si="42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0"/>
        <v>9.18</v>
      </c>
      <c r="C105" s="130">
        <v>9.18</v>
      </c>
      <c r="D105" s="129">
        <f t="shared" si="41"/>
        <v>9.18</v>
      </c>
      <c r="E105" s="129">
        <f t="shared" si="41"/>
        <v>9.18</v>
      </c>
      <c r="F105" s="129">
        <f t="shared" si="41"/>
        <v>9.18</v>
      </c>
      <c r="G105" s="129">
        <f t="shared" si="41"/>
        <v>9.18</v>
      </c>
      <c r="H105" s="129">
        <f t="shared" si="41"/>
        <v>9.18</v>
      </c>
      <c r="I105" s="129">
        <f t="shared" si="41"/>
        <v>9.18</v>
      </c>
      <c r="J105" s="129">
        <f t="shared" si="41"/>
        <v>9.18</v>
      </c>
      <c r="K105" s="129">
        <f t="shared" si="41"/>
        <v>9.18</v>
      </c>
      <c r="L105" s="129">
        <f t="shared" si="41"/>
        <v>9.18</v>
      </c>
      <c r="M105" s="129">
        <f t="shared" si="41"/>
        <v>9.18</v>
      </c>
      <c r="N105" s="129">
        <f t="shared" si="41"/>
        <v>9.18</v>
      </c>
      <c r="O105" s="129">
        <f t="shared" si="41"/>
        <v>9.18</v>
      </c>
      <c r="P105" s="129">
        <f t="shared" si="41"/>
        <v>9.18</v>
      </c>
      <c r="Q105" s="129">
        <f t="shared" si="41"/>
        <v>9.18</v>
      </c>
      <c r="R105" s="129">
        <f t="shared" si="41"/>
        <v>9.18</v>
      </c>
      <c r="S105" s="129">
        <f t="shared" si="41"/>
        <v>9.18</v>
      </c>
      <c r="T105" s="129">
        <f t="shared" si="42"/>
        <v>9.18</v>
      </c>
      <c r="U105" s="129">
        <f t="shared" si="42"/>
        <v>9.18</v>
      </c>
      <c r="V105" s="129">
        <f t="shared" si="42"/>
        <v>9.18</v>
      </c>
      <c r="W105" s="129">
        <f t="shared" si="42"/>
        <v>9.18</v>
      </c>
      <c r="X105" s="129">
        <f t="shared" si="42"/>
        <v>9.18</v>
      </c>
      <c r="Y105" s="129">
        <f t="shared" si="42"/>
        <v>9.18</v>
      </c>
      <c r="Z105" s="129">
        <f t="shared" si="42"/>
        <v>9.18</v>
      </c>
      <c r="AA105" s="129">
        <f t="shared" si="42"/>
        <v>9.18</v>
      </c>
      <c r="AB105" s="129">
        <f t="shared" si="42"/>
        <v>9.18</v>
      </c>
      <c r="AC105" s="129">
        <f t="shared" si="42"/>
        <v>9.18</v>
      </c>
      <c r="AD105" s="129">
        <f t="shared" si="42"/>
        <v>9.18</v>
      </c>
      <c r="AE105" s="129">
        <f t="shared" si="42"/>
        <v>9.18</v>
      </c>
      <c r="AF105" s="129">
        <f t="shared" si="42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0"/>
        <v>7</v>
      </c>
      <c r="C106" s="130">
        <v>7</v>
      </c>
      <c r="D106" s="129">
        <f t="shared" si="41"/>
        <v>7</v>
      </c>
      <c r="E106" s="129">
        <f t="shared" si="41"/>
        <v>7</v>
      </c>
      <c r="F106" s="129">
        <f t="shared" si="41"/>
        <v>7</v>
      </c>
      <c r="G106" s="129">
        <f t="shared" si="41"/>
        <v>7</v>
      </c>
      <c r="H106" s="129">
        <f t="shared" si="41"/>
        <v>7</v>
      </c>
      <c r="I106" s="129">
        <f t="shared" si="41"/>
        <v>7</v>
      </c>
      <c r="J106" s="129">
        <f t="shared" si="41"/>
        <v>7</v>
      </c>
      <c r="K106" s="129">
        <f t="shared" si="41"/>
        <v>7</v>
      </c>
      <c r="L106" s="129">
        <f t="shared" si="41"/>
        <v>7</v>
      </c>
      <c r="M106" s="129">
        <f t="shared" si="41"/>
        <v>7</v>
      </c>
      <c r="N106" s="129">
        <f t="shared" si="41"/>
        <v>7</v>
      </c>
      <c r="O106" s="129">
        <f t="shared" si="41"/>
        <v>7</v>
      </c>
      <c r="P106" s="129">
        <f t="shared" si="41"/>
        <v>7</v>
      </c>
      <c r="Q106" s="129">
        <f t="shared" si="41"/>
        <v>7</v>
      </c>
      <c r="R106" s="129">
        <f t="shared" si="41"/>
        <v>7</v>
      </c>
      <c r="S106" s="129">
        <f t="shared" si="41"/>
        <v>7</v>
      </c>
      <c r="T106" s="129">
        <f t="shared" si="42"/>
        <v>7</v>
      </c>
      <c r="U106" s="129">
        <f t="shared" si="42"/>
        <v>7</v>
      </c>
      <c r="V106" s="129">
        <f t="shared" si="42"/>
        <v>7</v>
      </c>
      <c r="W106" s="129">
        <f t="shared" si="42"/>
        <v>7</v>
      </c>
      <c r="X106" s="129">
        <f t="shared" si="42"/>
        <v>7</v>
      </c>
      <c r="Y106" s="129">
        <f t="shared" si="42"/>
        <v>7</v>
      </c>
      <c r="Z106" s="129">
        <f t="shared" si="42"/>
        <v>7</v>
      </c>
      <c r="AA106" s="129">
        <f t="shared" si="42"/>
        <v>7</v>
      </c>
      <c r="AB106" s="129">
        <f t="shared" si="42"/>
        <v>7</v>
      </c>
      <c r="AC106" s="129">
        <f t="shared" si="42"/>
        <v>7</v>
      </c>
      <c r="AD106" s="129">
        <f t="shared" si="42"/>
        <v>7</v>
      </c>
      <c r="AE106" s="129">
        <f t="shared" si="42"/>
        <v>7</v>
      </c>
      <c r="AF106" s="129">
        <f t="shared" si="42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1503.24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2078/08/7)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941.64</v>
      </c>
      <c r="U213" s="167">
        <f t="shared" si="76"/>
        <v>906.33999999999992</v>
      </c>
      <c r="V213" s="167">
        <f t="shared" si="76"/>
        <v>888.43999999999994</v>
      </c>
      <c r="W213" s="167">
        <f t="shared" si="76"/>
        <v>866.54</v>
      </c>
      <c r="X213" s="167">
        <f t="shared" si="76"/>
        <v>903.24</v>
      </c>
      <c r="Y213" s="167">
        <f t="shared" si="76"/>
        <v>917.63999999999987</v>
      </c>
      <c r="Z213" s="167">
        <f t="shared" si="76"/>
        <v>1039.1399999999999</v>
      </c>
      <c r="AA213" s="167">
        <f t="shared" si="76"/>
        <v>1120.1399999999999</v>
      </c>
      <c r="AB213" s="167">
        <f t="shared" si="76"/>
        <v>1246.1399999999999</v>
      </c>
      <c r="AC213" s="167">
        <f t="shared" si="76"/>
        <v>1363.6399999999999</v>
      </c>
      <c r="AD213" s="167">
        <f t="shared" si="76"/>
        <v>1467.44</v>
      </c>
      <c r="AE213" s="167">
        <f t="shared" si="76"/>
        <v>1503.24</v>
      </c>
      <c r="AF213" s="167">
        <f t="shared" si="76"/>
        <v>1415.4399999999998</v>
      </c>
      <c r="AG213" s="167">
        <f t="shared" si="76"/>
        <v>1338.1399999999999</v>
      </c>
      <c r="AH213" s="167">
        <f t="shared" si="76"/>
        <v>1292.9399999999998</v>
      </c>
      <c r="AI213" s="167">
        <f t="shared" si="76"/>
        <v>1248.54</v>
      </c>
      <c r="AJ213" s="167">
        <f t="shared" si="76"/>
        <v>1205.54</v>
      </c>
      <c r="AK213" s="167">
        <f t="shared" si="76"/>
        <v>1227.6400000000001</v>
      </c>
      <c r="AL213" s="167">
        <f t="shared" si="76"/>
        <v>1176.44</v>
      </c>
      <c r="AM213" s="167">
        <f t="shared" si="76"/>
        <v>1518.3400000000001</v>
      </c>
      <c r="AN213" s="167">
        <f t="shared" si="76"/>
        <v>1607.04</v>
      </c>
      <c r="AO213" s="167">
        <f t="shared" si="76"/>
        <v>1348.6399999999999</v>
      </c>
      <c r="AP213" s="167">
        <f t="shared" si="76"/>
        <v>1536.2400000000002</v>
      </c>
      <c r="AQ213" s="167">
        <f t="shared" si="76"/>
        <v>1320.3400000000001</v>
      </c>
      <c r="AR213" s="167">
        <f t="shared" si="76"/>
        <v>1465.04</v>
      </c>
      <c r="AS213" s="167">
        <f t="shared" si="76"/>
        <v>1466.54</v>
      </c>
      <c r="AT213" s="167">
        <f t="shared" si="76"/>
        <v>1403.04</v>
      </c>
      <c r="AU213" s="167">
        <f t="shared" si="76"/>
        <v>1362.94</v>
      </c>
      <c r="AV213" s="167">
        <f t="shared" si="76"/>
        <v>1271.54</v>
      </c>
      <c r="AW213" s="167">
        <f t="shared" si="76"/>
        <v>1089.6400000000001</v>
      </c>
      <c r="AX213" s="167">
        <f t="shared" si="76"/>
        <v>988.1400000000001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N62:N67 P39:R39 O61:O67 P40:Q42 R42 R40:T41 M58:R59 X18:X30 U40:Y42 AB81:AF81 C81:R81 C56:AF56 C82:AF83 D193:AF199 B193:B199 AB84:AD91 C68:AF80 B9:AF10 B191:AF191 AF57:AF61 AG73 AB94:AD99 U212:AF212 M61:N61 M60:O60 C63:L67 C57:L61 M39:O42 M47:P47 P60:R66 X36 X11 S58:T66 P67:T67 M11:W14 M16:W16 M22:W22 M36:W37 S39:W42 N45:W48 U58:W59 X85:AA91 Z40:AE43 M53:AF55 AB11:AE11 AF84:AF91 AF94:AF99">
    <cfRule type="expression" dxfId="7495" priority="313">
      <formula>B$9&gt;=20/24</formula>
    </cfRule>
    <cfRule type="expression" dxfId="7494" priority="314">
      <formula>AND(B$9&gt;=14/24,B$9&lt;20/24)</formula>
    </cfRule>
    <cfRule type="expression" dxfId="7493" priority="315">
      <formula>AND(B$9&gt;=8/24,B$9&lt;14/24)</formula>
    </cfRule>
    <cfRule type="expression" dxfId="7492" priority="316">
      <formula>B$9&lt;8/24</formula>
    </cfRule>
  </conditionalFormatting>
  <conditionalFormatting sqref="AL4:AL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M57:T57">
    <cfRule type="expression" dxfId="7491" priority="308">
      <formula>M$9&gt;=20/24</formula>
    </cfRule>
    <cfRule type="expression" dxfId="7490" priority="309">
      <formula>AND(M$9&gt;=14/24,M$9&lt;20/24)</formula>
    </cfRule>
    <cfRule type="expression" dxfId="7489" priority="310">
      <formula>AND(M$9&gt;=8/24,M$9&lt;14/24)</formula>
    </cfRule>
    <cfRule type="expression" dxfId="7488" priority="311">
      <formula>M$9&lt;8/24</formula>
    </cfRule>
  </conditionalFormatting>
  <conditionalFormatting sqref="M43:W43">
    <cfRule type="expression" dxfId="7487" priority="304">
      <formula>M$9&gt;=20/24</formula>
    </cfRule>
    <cfRule type="expression" dxfId="7486" priority="305">
      <formula>AND(M$9&gt;=14/24,M$9&lt;20/24)</formula>
    </cfRule>
    <cfRule type="expression" dxfId="7485" priority="306">
      <formula>AND(M$9&gt;=8/24,M$9&lt;14/24)</formula>
    </cfRule>
    <cfRule type="expression" dxfId="7484" priority="307">
      <formula>M$9&lt;8/24</formula>
    </cfRule>
  </conditionalFormatting>
  <conditionalFormatting sqref="S39:AE39">
    <cfRule type="expression" dxfId="7483" priority="296">
      <formula>S$9&gt;=20/24</formula>
    </cfRule>
    <cfRule type="expression" dxfId="7482" priority="297">
      <formula>AND(S$9&gt;=14/24,S$9&lt;20/24)</formula>
    </cfRule>
    <cfRule type="expression" dxfId="7481" priority="298">
      <formula>AND(S$9&gt;=8/24,S$9&lt;14/24)</formula>
    </cfRule>
    <cfRule type="expression" dxfId="7480" priority="299">
      <formula>S$9&lt;8/24</formula>
    </cfRule>
  </conditionalFormatting>
  <conditionalFormatting sqref="U57:AE57">
    <cfRule type="expression" dxfId="7479" priority="292">
      <formula>U$9&gt;=20/24</formula>
    </cfRule>
    <cfRule type="expression" dxfId="7478" priority="293">
      <formula>AND(U$9&gt;=14/24,U$9&lt;20/24)</formula>
    </cfRule>
    <cfRule type="expression" dxfId="7477" priority="294">
      <formula>AND(U$9&gt;=8/24,U$9&lt;14/24)</formula>
    </cfRule>
    <cfRule type="expression" dxfId="7476" priority="295">
      <formula>U$9&lt;8/24</formula>
    </cfRule>
  </conditionalFormatting>
  <conditionalFormatting sqref="S81:AA81">
    <cfRule type="expression" dxfId="7475" priority="288">
      <formula>S$9&gt;=20/24</formula>
    </cfRule>
    <cfRule type="expression" dxfId="7474" priority="289">
      <formula>AND(S$9&gt;=14/24,S$9&lt;20/24)</formula>
    </cfRule>
    <cfRule type="expression" dxfId="7473" priority="290">
      <formula>AND(S$9&gt;=8/24,S$9&lt;14/24)</formula>
    </cfRule>
    <cfRule type="expression" dxfId="7472" priority="291">
      <formula>S$9&lt;8/24</formula>
    </cfRule>
  </conditionalFormatting>
  <conditionalFormatting sqref="U84:AA84">
    <cfRule type="expression" dxfId="7471" priority="284">
      <formula>U$9&gt;=20/24</formula>
    </cfRule>
    <cfRule type="expression" dxfId="7470" priority="285">
      <formula>AND(U$9&gt;=14/24,U$9&lt;20/24)</formula>
    </cfRule>
    <cfRule type="expression" dxfId="7469" priority="286">
      <formula>AND(U$9&gt;=8/24,U$9&lt;14/24)</formula>
    </cfRule>
    <cfRule type="expression" dxfId="7468" priority="287">
      <formula>U$9&lt;8/24</formula>
    </cfRule>
  </conditionalFormatting>
  <conditionalFormatting sqref="M49:W49">
    <cfRule type="expression" dxfId="7467" priority="276">
      <formula>M$9&gt;=20/24</formula>
    </cfRule>
    <cfRule type="expression" dxfId="7466" priority="277">
      <formula>AND(M$9&gt;=14/24,M$9&lt;20/24)</formula>
    </cfRule>
    <cfRule type="expression" dxfId="7465" priority="278">
      <formula>AND(M$9&gt;=8/24,M$9&lt;14/24)</formula>
    </cfRule>
    <cfRule type="expression" dxfId="7464" priority="279">
      <formula>M$9&lt;8/24</formula>
    </cfRule>
  </conditionalFormatting>
  <conditionalFormatting sqref="M50:W50">
    <cfRule type="expression" dxfId="7463" priority="272">
      <formula>M$9&gt;=20/24</formula>
    </cfRule>
    <cfRule type="expression" dxfId="7462" priority="273">
      <formula>AND(M$9&gt;=14/24,M$9&lt;20/24)</formula>
    </cfRule>
    <cfRule type="expression" dxfId="7461" priority="274">
      <formula>AND(M$9&gt;=8/24,M$9&lt;14/24)</formula>
    </cfRule>
    <cfRule type="expression" dxfId="7460" priority="275">
      <formula>M$9&lt;8/24</formula>
    </cfRule>
  </conditionalFormatting>
  <conditionalFormatting sqref="M45:W48">
    <cfRule type="expression" dxfId="7459" priority="268">
      <formula>M$9&gt;=20/24</formula>
    </cfRule>
    <cfRule type="expression" dxfId="7458" priority="269">
      <formula>AND(M$9&gt;=14/24,M$9&lt;20/24)</formula>
    </cfRule>
    <cfRule type="expression" dxfId="7457" priority="270">
      <formula>AND(M$9&gt;=8/24,M$9&lt;14/24)</formula>
    </cfRule>
    <cfRule type="expression" dxfId="7456" priority="271">
      <formula>M$9&lt;8/24</formula>
    </cfRule>
  </conditionalFormatting>
  <conditionalFormatting sqref="X37 AB37:AE37">
    <cfRule type="expression" dxfId="7455" priority="264">
      <formula>X$9&gt;=20/24</formula>
    </cfRule>
    <cfRule type="expression" dxfId="7454" priority="265">
      <formula>AND(X$9&gt;=14/24,X$9&lt;20/24)</formula>
    </cfRule>
    <cfRule type="expression" dxfId="7453" priority="266">
      <formula>AND(X$9&gt;=8/24,X$9&lt;14/24)</formula>
    </cfRule>
    <cfRule type="expression" dxfId="7452" priority="267">
      <formula>X$9&lt;8/24</formula>
    </cfRule>
  </conditionalFormatting>
  <conditionalFormatting sqref="X31:X32 X35">
    <cfRule type="expression" dxfId="7451" priority="260">
      <formula>X$9&gt;=20/24</formula>
    </cfRule>
    <cfRule type="expression" dxfId="7450" priority="261">
      <formula>AND(X$9&gt;=14/24,X$9&lt;20/24)</formula>
    </cfRule>
    <cfRule type="expression" dxfId="7449" priority="262">
      <formula>AND(X$9&gt;=8/24,X$9&lt;14/24)</formula>
    </cfRule>
    <cfRule type="expression" dxfId="7448" priority="263">
      <formula>X$9&lt;8/24</formula>
    </cfRule>
  </conditionalFormatting>
  <conditionalFormatting sqref="U43:Y43 S42:W43 Y42:AC43 S45:AF48">
    <cfRule type="expression" dxfId="7447" priority="256">
      <formula>S$9&gt;=20/24</formula>
    </cfRule>
    <cfRule type="expression" dxfId="7446" priority="257">
      <formula>AND(S$9&gt;=14/24,S$9&lt;20/24)</formula>
    </cfRule>
    <cfRule type="expression" dxfId="7445" priority="258">
      <formula>AND(S$9&gt;=8/24,S$9&lt;14/24)</formula>
    </cfRule>
    <cfRule type="expression" dxfId="7444" priority="259">
      <formula>S$9&lt;8/24</formula>
    </cfRule>
  </conditionalFormatting>
  <conditionalFormatting sqref="S49:AF49">
    <cfRule type="expression" dxfId="7443" priority="252">
      <formula>S$9&gt;=20/24</formula>
    </cfRule>
    <cfRule type="expression" dxfId="7442" priority="253">
      <formula>AND(S$9&gt;=14/24,S$9&lt;20/24)</formula>
    </cfRule>
    <cfRule type="expression" dxfId="7441" priority="254">
      <formula>AND(S$9&gt;=8/24,S$9&lt;14/24)</formula>
    </cfRule>
    <cfRule type="expression" dxfId="7440" priority="255">
      <formula>S$9&lt;8/24</formula>
    </cfRule>
  </conditionalFormatting>
  <conditionalFormatting sqref="S50:AF50">
    <cfRule type="expression" dxfId="7439" priority="248">
      <formula>S$9&gt;=20/24</formula>
    </cfRule>
    <cfRule type="expression" dxfId="7438" priority="249">
      <formula>AND(S$9&gt;=14/24,S$9&lt;20/24)</formula>
    </cfRule>
    <cfRule type="expression" dxfId="7437" priority="250">
      <formula>AND(S$9&gt;=8/24,S$9&lt;14/24)</formula>
    </cfRule>
    <cfRule type="expression" dxfId="7436" priority="251">
      <formula>S$9&lt;8/24</formula>
    </cfRule>
  </conditionalFormatting>
  <conditionalFormatting sqref="X60:Y61 Y62:Y67 Z60:AE67 AF62:AF67">
    <cfRule type="expression" dxfId="7435" priority="244">
      <formula>X$9&gt;=20/24</formula>
    </cfRule>
    <cfRule type="expression" dxfId="7434" priority="245">
      <formula>AND(X$9&gt;=14/24,X$9&lt;20/24)</formula>
    </cfRule>
    <cfRule type="expression" dxfId="7433" priority="246">
      <formula>AND(X$9&gt;=8/24,X$9&lt;14/24)</formula>
    </cfRule>
    <cfRule type="expression" dxfId="7432" priority="247">
      <formula>X$9&lt;8/24</formula>
    </cfRule>
  </conditionalFormatting>
  <conditionalFormatting sqref="C62:L62">
    <cfRule type="expression" dxfId="7431" priority="240">
      <formula>C$9&gt;=20/24</formula>
    </cfRule>
    <cfRule type="expression" dxfId="7430" priority="241">
      <formula>AND(C$9&gt;=14/24,C$9&lt;20/24)</formula>
    </cfRule>
    <cfRule type="expression" dxfId="7429" priority="242">
      <formula>AND(C$9&gt;=8/24,C$9&lt;14/24)</formula>
    </cfRule>
    <cfRule type="expression" dxfId="7428" priority="243">
      <formula>C$9&lt;8/24</formula>
    </cfRule>
  </conditionalFormatting>
  <conditionalFormatting sqref="U94:AA97">
    <cfRule type="expression" dxfId="7427" priority="236">
      <formula>U$9&gt;=20/24</formula>
    </cfRule>
    <cfRule type="expression" dxfId="7426" priority="237">
      <formula>AND(U$9&gt;=14/24,U$9&lt;20/24)</formula>
    </cfRule>
    <cfRule type="expression" dxfId="7425" priority="238">
      <formula>AND(U$9&gt;=8/24,U$9&lt;14/24)</formula>
    </cfRule>
    <cfRule type="expression" dxfId="7424" priority="239">
      <formula>U$9&lt;8/24</formula>
    </cfRule>
  </conditionalFormatting>
  <conditionalFormatting sqref="AG51 F11:R11 J37:N37 X18:X32 M36:N36 M12:R14 X34:X37 X11 S11:W14 M16:W16 M22:W22 O36:W37 AB37:AF37 AB11:AF11 C38:AF56">
    <cfRule type="expression" dxfId="7423" priority="235">
      <formula>C11&gt;$AG11</formula>
    </cfRule>
  </conditionalFormatting>
  <conditionalFormatting sqref="A100:A156 A84:A97 A11:A14 A16:A32 A45:A72 A80:A82 A74:A78 A35:A43 A169:A199">
    <cfRule type="expression" dxfId="7422" priority="234">
      <formula>$AH11=0</formula>
    </cfRule>
  </conditionalFormatting>
  <conditionalFormatting sqref="U98:AA98">
    <cfRule type="expression" dxfId="7421" priority="230">
      <formula>U$9&gt;=20/24</formula>
    </cfRule>
    <cfRule type="expression" dxfId="7420" priority="231">
      <formula>AND(U$9&gt;=14/24,U$9&lt;20/24)</formula>
    </cfRule>
    <cfRule type="expression" dxfId="7419" priority="232">
      <formula>AND(U$9&gt;=8/24,U$9&lt;14/24)</formula>
    </cfRule>
    <cfRule type="expression" dxfId="7418" priority="233">
      <formula>U$9&lt;8/24</formula>
    </cfRule>
  </conditionalFormatting>
  <conditionalFormatting sqref="A98">
    <cfRule type="expression" dxfId="7417" priority="229">
      <formula>$AH98=0</formula>
    </cfRule>
  </conditionalFormatting>
  <conditionalFormatting sqref="M62:M67">
    <cfRule type="expression" dxfId="7416" priority="217">
      <formula>M$9&gt;=20/24</formula>
    </cfRule>
    <cfRule type="expression" dxfId="7415" priority="218">
      <formula>AND(M$9&gt;=14/24,M$9&lt;20/24)</formula>
    </cfRule>
    <cfRule type="expression" dxfId="7414" priority="219">
      <formula>AND(M$9&gt;=8/24,M$9&lt;14/24)</formula>
    </cfRule>
    <cfRule type="expression" dxfId="7413" priority="220">
      <formula>M$9&lt;8/24</formula>
    </cfRule>
  </conditionalFormatting>
  <conditionalFormatting sqref="AL32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X34">
    <cfRule type="expression" dxfId="7412" priority="204">
      <formula>X$9&gt;=20/24</formula>
    </cfRule>
    <cfRule type="expression" dxfId="7411" priority="205">
      <formula>AND(X$9&gt;=14/24,X$9&lt;20/24)</formula>
    </cfRule>
    <cfRule type="expression" dxfId="7410" priority="206">
      <formula>AND(X$9&gt;=8/24,X$9&lt;14/24)</formula>
    </cfRule>
    <cfRule type="expression" dxfId="7409" priority="207">
      <formula>X$9&lt;8/24</formula>
    </cfRule>
  </conditionalFormatting>
  <conditionalFormatting sqref="A34">
    <cfRule type="expression" dxfId="7408" priority="203">
      <formula>$AH34=0</formula>
    </cfRule>
  </conditionalFormatting>
  <conditionalFormatting sqref="A83">
    <cfRule type="expression" dxfId="7407" priority="202">
      <formula>$AH83=0</formula>
    </cfRule>
  </conditionalFormatting>
  <conditionalFormatting sqref="M15:W15">
    <cfRule type="expression" dxfId="7406" priority="194">
      <formula>M$9&gt;=20/24</formula>
    </cfRule>
    <cfRule type="expression" dxfId="7405" priority="195">
      <formula>AND(M$9&gt;=14/24,M$9&lt;20/24)</formula>
    </cfRule>
    <cfRule type="expression" dxfId="7404" priority="196">
      <formula>AND(M$9&gt;=8/24,M$9&lt;14/24)</formula>
    </cfRule>
    <cfRule type="expression" dxfId="7403" priority="197">
      <formula>M$9&lt;8/24</formula>
    </cfRule>
  </conditionalFormatting>
  <conditionalFormatting sqref="M15:W15">
    <cfRule type="expression" dxfId="7402" priority="193">
      <formula>M15&gt;$AG15</formula>
    </cfRule>
  </conditionalFormatting>
  <conditionalFormatting sqref="A15">
    <cfRule type="expression" dxfId="7401" priority="192">
      <formula>$AH15=0</formula>
    </cfRule>
  </conditionalFormatting>
  <conditionalFormatting sqref="A163:A168">
    <cfRule type="expression" dxfId="7400" priority="191">
      <formula>$AH163=0</formula>
    </cfRule>
  </conditionalFormatting>
  <conditionalFormatting sqref="A157:A162">
    <cfRule type="expression" dxfId="7399" priority="190">
      <formula>$AH157=0</formula>
    </cfRule>
  </conditionalFormatting>
  <conditionalFormatting sqref="Z44:AF44">
    <cfRule type="expression" dxfId="7398" priority="186">
      <formula>Z$9&gt;=20/24</formula>
    </cfRule>
    <cfRule type="expression" dxfId="7397" priority="187">
      <formula>AND(Z$9&gt;=14/24,Z$9&lt;20/24)</formula>
    </cfRule>
    <cfRule type="expression" dxfId="7396" priority="188">
      <formula>AND(Z$9&gt;=8/24,Z$9&lt;14/24)</formula>
    </cfRule>
    <cfRule type="expression" dxfId="7395" priority="189">
      <formula>Z$9&lt;8/24</formula>
    </cfRule>
  </conditionalFormatting>
  <conditionalFormatting sqref="M44:W44">
    <cfRule type="expression" dxfId="7394" priority="182">
      <formula>M$9&gt;=20/24</formula>
    </cfRule>
    <cfRule type="expression" dxfId="7393" priority="183">
      <formula>AND(M$9&gt;=14/24,M$9&lt;20/24)</formula>
    </cfRule>
    <cfRule type="expression" dxfId="7392" priority="184">
      <formula>AND(M$9&gt;=8/24,M$9&lt;14/24)</formula>
    </cfRule>
    <cfRule type="expression" dxfId="7391" priority="185">
      <formula>M$9&lt;8/24</formula>
    </cfRule>
  </conditionalFormatting>
  <conditionalFormatting sqref="S44:AF44">
    <cfRule type="expression" dxfId="7390" priority="178">
      <formula>S$9&gt;=20/24</formula>
    </cfRule>
    <cfRule type="expression" dxfId="7389" priority="179">
      <formula>AND(S$9&gt;=14/24,S$9&lt;20/24)</formula>
    </cfRule>
    <cfRule type="expression" dxfId="7388" priority="180">
      <formula>AND(S$9&gt;=8/24,S$9&lt;14/24)</formula>
    </cfRule>
    <cfRule type="expression" dxfId="7387" priority="181">
      <formula>S$9&lt;8/24</formula>
    </cfRule>
  </conditionalFormatting>
  <conditionalFormatting sqref="A44">
    <cfRule type="expression" dxfId="7386" priority="177">
      <formula>$AH44=0</formula>
    </cfRule>
  </conditionalFormatting>
  <conditionalFormatting sqref="A79">
    <cfRule type="expression" dxfId="7385" priority="176">
      <formula>$AH79=0</formula>
    </cfRule>
  </conditionalFormatting>
  <conditionalFormatting sqref="A73">
    <cfRule type="expression" dxfId="7384" priority="175">
      <formula>$AH73=0</formula>
    </cfRule>
  </conditionalFormatting>
  <conditionalFormatting sqref="AL34:AL35 AL7:AL31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U60:W67 X62:X67">
    <cfRule type="expression" dxfId="7383" priority="171">
      <formula>U$9&gt;=20/24</formula>
    </cfRule>
    <cfRule type="expression" dxfId="7382" priority="172">
      <formula>AND(U$9&gt;=14/24,U$9&lt;20/24)</formula>
    </cfRule>
    <cfRule type="expression" dxfId="7381" priority="173">
      <formula>AND(U$9&gt;=8/24,U$9&lt;14/24)</formula>
    </cfRule>
    <cfRule type="expression" dxfId="7380" priority="174">
      <formula>U$9&lt;8/24</formula>
    </cfRule>
  </conditionalFormatting>
  <conditionalFormatting sqref="U85:W91">
    <cfRule type="expression" dxfId="7379" priority="167">
      <formula>U$9&gt;=20/24</formula>
    </cfRule>
    <cfRule type="expression" dxfId="7378" priority="168">
      <formula>AND(U$9&gt;=14/24,U$9&lt;20/24)</formula>
    </cfRule>
    <cfRule type="expression" dxfId="7377" priority="169">
      <formula>AND(U$9&gt;=8/24,U$9&lt;14/24)</formula>
    </cfRule>
    <cfRule type="expression" dxfId="7376" priority="170">
      <formula>U$9&lt;8/24</formula>
    </cfRule>
  </conditionalFormatting>
  <conditionalFormatting sqref="C84:T91">
    <cfRule type="expression" dxfId="7375" priority="163">
      <formula>C$9&gt;=20/24</formula>
    </cfRule>
    <cfRule type="expression" dxfId="7374" priority="164">
      <formula>AND(C$9&gt;=14/24,C$9&lt;20/24)</formula>
    </cfRule>
    <cfRule type="expression" dxfId="7373" priority="165">
      <formula>AND(C$9&gt;=8/24,C$9&lt;14/24)</formula>
    </cfRule>
    <cfRule type="expression" dxfId="7372" priority="166">
      <formula>C$9&lt;8/24</formula>
    </cfRule>
  </conditionalFormatting>
  <conditionalFormatting sqref="C94:F94 C95:Q97">
    <cfRule type="expression" dxfId="7371" priority="155">
      <formula>C$9&gt;=20/24</formula>
    </cfRule>
    <cfRule type="expression" dxfId="7370" priority="156">
      <formula>AND(C$9&gt;=14/24,C$9&lt;20/24)</formula>
    </cfRule>
    <cfRule type="expression" dxfId="7369" priority="157">
      <formula>AND(C$9&gt;=8/24,C$9&lt;14/24)</formula>
    </cfRule>
    <cfRule type="expression" dxfId="7368" priority="158">
      <formula>C$9&lt;8/24</formula>
    </cfRule>
  </conditionalFormatting>
  <conditionalFormatting sqref="R94:R97">
    <cfRule type="expression" dxfId="7367" priority="151">
      <formula>R$9&gt;=20/24</formula>
    </cfRule>
    <cfRule type="expression" dxfId="7366" priority="152">
      <formula>AND(R$9&gt;=14/24,R$9&lt;20/24)</formula>
    </cfRule>
    <cfRule type="expression" dxfId="7365" priority="153">
      <formula>AND(R$9&gt;=8/24,R$9&lt;14/24)</formula>
    </cfRule>
    <cfRule type="expression" dxfId="7364" priority="154">
      <formula>R$9&lt;8/24</formula>
    </cfRule>
  </conditionalFormatting>
  <conditionalFormatting sqref="S94:T97">
    <cfRule type="expression" dxfId="7363" priority="147">
      <formula>S$9&gt;=20/24</formula>
    </cfRule>
    <cfRule type="expression" dxfId="7362" priority="148">
      <formula>AND(S$9&gt;=14/24,S$9&lt;20/24)</formula>
    </cfRule>
    <cfRule type="expression" dxfId="7361" priority="149">
      <formula>AND(S$9&gt;=8/24,S$9&lt;14/24)</formula>
    </cfRule>
    <cfRule type="expression" dxfId="7360" priority="150">
      <formula>S$9&lt;8/24</formula>
    </cfRule>
  </conditionalFormatting>
  <conditionalFormatting sqref="C98:Q98">
    <cfRule type="expression" dxfId="7359" priority="143">
      <formula>C$9&gt;=20/24</formula>
    </cfRule>
    <cfRule type="expression" dxfId="7358" priority="144">
      <formula>AND(C$9&gt;=14/24,C$9&lt;20/24)</formula>
    </cfRule>
    <cfRule type="expression" dxfId="7357" priority="145">
      <formula>AND(C$9&gt;=8/24,C$9&lt;14/24)</formula>
    </cfRule>
    <cfRule type="expression" dxfId="7356" priority="146">
      <formula>C$9&lt;8/24</formula>
    </cfRule>
  </conditionalFormatting>
  <conditionalFormatting sqref="R98">
    <cfRule type="expression" dxfId="7355" priority="139">
      <formula>R$9&gt;=20/24</formula>
    </cfRule>
    <cfRule type="expression" dxfId="7354" priority="140">
      <formula>AND(R$9&gt;=14/24,R$9&lt;20/24)</formula>
    </cfRule>
    <cfRule type="expression" dxfId="7353" priority="141">
      <formula>AND(R$9&gt;=8/24,R$9&lt;14/24)</formula>
    </cfRule>
    <cfRule type="expression" dxfId="7352" priority="142">
      <formula>R$9&lt;8/24</formula>
    </cfRule>
  </conditionalFormatting>
  <conditionalFormatting sqref="S98:T98">
    <cfRule type="expression" dxfId="7351" priority="135">
      <formula>S$9&gt;=20/24</formula>
    </cfRule>
    <cfRule type="expression" dxfId="7350" priority="136">
      <formula>AND(S$9&gt;=14/24,S$9&lt;20/24)</formula>
    </cfRule>
    <cfRule type="expression" dxfId="7349" priority="137">
      <formula>AND(S$9&gt;=8/24,S$9&lt;14/24)</formula>
    </cfRule>
    <cfRule type="expression" dxfId="7348" priority="138">
      <formula>S$9&lt;8/24</formula>
    </cfRule>
  </conditionalFormatting>
  <conditionalFormatting sqref="M94:Q94">
    <cfRule type="expression" dxfId="7347" priority="131">
      <formula>M$9&gt;=20/24</formula>
    </cfRule>
    <cfRule type="expression" dxfId="7346" priority="132">
      <formula>AND(M$9&gt;=14/24,M$9&lt;20/24)</formula>
    </cfRule>
    <cfRule type="expression" dxfId="7345" priority="133">
      <formula>AND(M$9&gt;=8/24,M$9&lt;14/24)</formula>
    </cfRule>
    <cfRule type="expression" dxfId="7344" priority="134">
      <formula>M$9&lt;8/24</formula>
    </cfRule>
  </conditionalFormatting>
  <conditionalFormatting sqref="G94:L94">
    <cfRule type="expression" dxfId="7343" priority="127">
      <formula>G$9&gt;=20/24</formula>
    </cfRule>
    <cfRule type="expression" dxfId="7342" priority="128">
      <formula>AND(G$9&gt;=14/24,G$9&lt;20/24)</formula>
    </cfRule>
    <cfRule type="expression" dxfId="7341" priority="129">
      <formula>AND(G$9&gt;=8/24,G$9&lt;14/24)</formula>
    </cfRule>
    <cfRule type="expression" dxfId="7340" priority="130">
      <formula>G$9&lt;8/24</formula>
    </cfRule>
  </conditionalFormatting>
  <conditionalFormatting sqref="U94:W94">
    <cfRule type="expression" dxfId="7339" priority="123">
      <formula>U$9&gt;=20/24</formula>
    </cfRule>
    <cfRule type="expression" dxfId="7338" priority="124">
      <formula>AND(U$9&gt;=14/24,U$9&lt;20/24)</formula>
    </cfRule>
    <cfRule type="expression" dxfId="7337" priority="125">
      <formula>AND(U$9&gt;=8/24,U$9&lt;14/24)</formula>
    </cfRule>
    <cfRule type="expression" dxfId="7336" priority="126">
      <formula>U$9&lt;8/24</formula>
    </cfRule>
  </conditionalFormatting>
  <conditionalFormatting sqref="R94:T94">
    <cfRule type="expression" dxfId="7335" priority="119">
      <formula>R$9&gt;=20/24</formula>
    </cfRule>
    <cfRule type="expression" dxfId="7334" priority="120">
      <formula>AND(R$9&gt;=14/24,R$9&lt;20/24)</formula>
    </cfRule>
    <cfRule type="expression" dxfId="7333" priority="121">
      <formula>AND(R$9&gt;=8/24,R$9&lt;14/24)</formula>
    </cfRule>
    <cfRule type="expression" dxfId="7332" priority="122">
      <formula>R$9&lt;8/24</formula>
    </cfRule>
  </conditionalFormatting>
  <conditionalFormatting sqref="U99:AA99">
    <cfRule type="expression" dxfId="7331" priority="115">
      <formula>U$9&gt;=20/24</formula>
    </cfRule>
    <cfRule type="expression" dxfId="7330" priority="116">
      <formula>AND(U$9&gt;=14/24,U$9&lt;20/24)</formula>
    </cfRule>
    <cfRule type="expression" dxfId="7329" priority="117">
      <formula>AND(U$9&gt;=8/24,U$9&lt;14/24)</formula>
    </cfRule>
    <cfRule type="expression" dxfId="7328" priority="118">
      <formula>U$9&lt;8/24</formula>
    </cfRule>
  </conditionalFormatting>
  <conditionalFormatting sqref="C99:Q99">
    <cfRule type="expression" dxfId="7327" priority="111">
      <formula>C$9&gt;=20/24</formula>
    </cfRule>
    <cfRule type="expression" dxfId="7326" priority="112">
      <formula>AND(C$9&gt;=14/24,C$9&lt;20/24)</formula>
    </cfRule>
    <cfRule type="expression" dxfId="7325" priority="113">
      <formula>AND(C$9&gt;=8/24,C$9&lt;14/24)</formula>
    </cfRule>
    <cfRule type="expression" dxfId="7324" priority="114">
      <formula>C$9&lt;8/24</formula>
    </cfRule>
  </conditionalFormatting>
  <conditionalFormatting sqref="R99">
    <cfRule type="expression" dxfId="7323" priority="107">
      <formula>R$9&gt;=20/24</formula>
    </cfRule>
    <cfRule type="expression" dxfId="7322" priority="108">
      <formula>AND(R$9&gt;=14/24,R$9&lt;20/24)</formula>
    </cfRule>
    <cfRule type="expression" dxfId="7321" priority="109">
      <formula>AND(R$9&gt;=8/24,R$9&lt;14/24)</formula>
    </cfRule>
    <cfRule type="expression" dxfId="7320" priority="110">
      <formula>R$9&lt;8/24</formula>
    </cfRule>
  </conditionalFormatting>
  <conditionalFormatting sqref="S99:T99">
    <cfRule type="expression" dxfId="7319" priority="103">
      <formula>S$9&gt;=20/24</formula>
    </cfRule>
    <cfRule type="expression" dxfId="7318" priority="104">
      <formula>AND(S$9&gt;=14/24,S$9&lt;20/24)</formula>
    </cfRule>
    <cfRule type="expression" dxfId="7317" priority="105">
      <formula>AND(S$9&gt;=8/24,S$9&lt;14/24)</formula>
    </cfRule>
    <cfRule type="expression" dxfId="7316" priority="106">
      <formula>S$9&lt;8/24</formula>
    </cfRule>
  </conditionalFormatting>
  <conditionalFormatting sqref="X12:X16">
    <cfRule type="expression" dxfId="7315" priority="99">
      <formula>X$9&gt;=20/24</formula>
    </cfRule>
    <cfRule type="expression" dxfId="7314" priority="100">
      <formula>AND(X$9&gt;=14/24,X$9&lt;20/24)</formula>
    </cfRule>
    <cfRule type="expression" dxfId="7313" priority="101">
      <formula>AND(X$9&gt;=8/24,X$9&lt;14/24)</formula>
    </cfRule>
    <cfRule type="expression" dxfId="7312" priority="102">
      <formula>X$9&lt;8/24</formula>
    </cfRule>
  </conditionalFormatting>
  <conditionalFormatting sqref="X17">
    <cfRule type="expression" dxfId="7311" priority="95">
      <formula>X$9&gt;=20/24</formula>
    </cfRule>
    <cfRule type="expression" dxfId="7310" priority="96">
      <formula>AND(X$9&gt;=14/24,X$9&lt;20/24)</formula>
    </cfRule>
    <cfRule type="expression" dxfId="7309" priority="97">
      <formula>AND(X$9&gt;=8/24,X$9&lt;14/24)</formula>
    </cfRule>
    <cfRule type="expression" dxfId="7308" priority="98">
      <formula>X$9&lt;8/24</formula>
    </cfRule>
  </conditionalFormatting>
  <conditionalFormatting sqref="X12:X13">
    <cfRule type="expression" dxfId="7307" priority="91">
      <formula>X$9&gt;=20/24</formula>
    </cfRule>
    <cfRule type="expression" dxfId="7306" priority="92">
      <formula>AND(X$9&gt;=14/24,X$9&lt;20/24)</formula>
    </cfRule>
    <cfRule type="expression" dxfId="7305" priority="93">
      <formula>AND(X$9&gt;=8/24,X$9&lt;14/24)</formula>
    </cfRule>
    <cfRule type="expression" dxfId="7304" priority="94">
      <formula>X$9&lt;8/24</formula>
    </cfRule>
  </conditionalFormatting>
  <conditionalFormatting sqref="AE58:AE59">
    <cfRule type="expression" dxfId="7303" priority="87">
      <formula>AE$9&gt;=20/24</formula>
    </cfRule>
    <cfRule type="expression" dxfId="7302" priority="88">
      <formula>AND(AE$9&gt;=14/24,AE$9&lt;20/24)</formula>
    </cfRule>
    <cfRule type="expression" dxfId="7301" priority="89">
      <formula>AND(AE$9&gt;=8/24,AE$9&lt;14/24)</formula>
    </cfRule>
    <cfRule type="expression" dxfId="7300" priority="90">
      <formula>AE$9&lt;8/24</formula>
    </cfRule>
  </conditionalFormatting>
  <conditionalFormatting sqref="AL33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99" priority="320">
      <formula>C$9&gt;=20/24</formula>
    </cfRule>
    <cfRule type="expression" dxfId="7298" priority="321">
      <formula>AND(C$9&gt;=14/24,C$9&lt;20/24)</formula>
    </cfRule>
    <cfRule type="expression" dxfId="7297" priority="322">
      <formula>AND(C$9&gt;=8/24,C$9&lt;14/24)</formula>
    </cfRule>
    <cfRule type="expression" dxfId="7296" priority="323">
      <formula>C$9&lt;8/24</formula>
    </cfRule>
  </conditionalFormatting>
  <conditionalFormatting sqref="A200">
    <cfRule type="expression" dxfId="7295" priority="324">
      <formula>$AH200=0</formula>
    </cfRule>
  </conditionalFormatting>
  <conditionalFormatting sqref="AG212">
    <cfRule type="expression" dxfId="7294" priority="326">
      <formula>B$9&gt;=20/24</formula>
    </cfRule>
    <cfRule type="expression" dxfId="7293" priority="327">
      <formula>AND(B$9&gt;=14/24,B$9&lt;20/24)</formula>
    </cfRule>
    <cfRule type="expression" dxfId="7292" priority="328">
      <formula>AND(B$9&gt;=8/24,B$9&lt;14/24)</formula>
    </cfRule>
    <cfRule type="expression" dxfId="7291" priority="329">
      <formula>B$9&lt;8/24</formula>
    </cfRule>
  </conditionalFormatting>
  <conditionalFormatting sqref="S8">
    <cfRule type="expression" dxfId="7290" priority="76">
      <formula>U$9&gt;=20/24</formula>
    </cfRule>
    <cfRule type="expression" dxfId="7289" priority="77">
      <formula>AND(U$9&gt;=14/24,U$9&lt;20/24)</formula>
    </cfRule>
    <cfRule type="expression" dxfId="7288" priority="78">
      <formula>AND(U$9&gt;=8/24,U$9&lt;14/24)</formula>
    </cfRule>
    <cfRule type="expression" dxfId="7287" priority="79">
      <formula>U$9&lt;8/24</formula>
    </cfRule>
  </conditionalFormatting>
  <conditionalFormatting sqref="AB8">
    <cfRule type="expression" dxfId="7286" priority="72">
      <formula>AD$9&gt;=20/24</formula>
    </cfRule>
    <cfRule type="expression" dxfId="7285" priority="73">
      <formula>AND(AD$9&gt;=14/24,AD$9&lt;20/24)</formula>
    </cfRule>
    <cfRule type="expression" dxfId="7284" priority="74">
      <formula>AND(AD$9&gt;=8/24,AD$9&lt;14/24)</formula>
    </cfRule>
    <cfRule type="expression" dxfId="7283" priority="75">
      <formula>AD$9&lt;8/24</formula>
    </cfRule>
  </conditionalFormatting>
  <conditionalFormatting sqref="AH212:AX212">
    <cfRule type="expression" dxfId="7282" priority="330">
      <formula>AG$9&gt;=20/24</formula>
    </cfRule>
    <cfRule type="expression" dxfId="7281" priority="331">
      <formula>AND(AG$9&gt;=14/24,AG$9&lt;20/24)</formula>
    </cfRule>
    <cfRule type="expression" dxfId="7280" priority="332">
      <formula>AND(AG$9&gt;=8/24,AG$9&lt;14/24)</formula>
    </cfRule>
    <cfRule type="expression" dxfId="7279" priority="333">
      <formula>AG$9&lt;8/24</formula>
    </cfRule>
  </conditionalFormatting>
  <conditionalFormatting sqref="T212">
    <cfRule type="expression" dxfId="7278" priority="334">
      <formula>AX$9&gt;=20/24</formula>
    </cfRule>
    <cfRule type="expression" dxfId="7277" priority="335">
      <formula>AND(AX$9&gt;=14/24,AX$9&lt;20/24)</formula>
    </cfRule>
    <cfRule type="expression" dxfId="7276" priority="336">
      <formula>AND(AX$9&gt;=8/24,AX$9&lt;14/24)</formula>
    </cfRule>
    <cfRule type="expression" dxfId="7275" priority="337">
      <formula>AX$9&lt;8/24</formula>
    </cfRule>
  </conditionalFormatting>
  <conditionalFormatting sqref="A99">
    <cfRule type="expression" dxfId="7274" priority="71">
      <formula>$AH99=0</formula>
    </cfRule>
  </conditionalFormatting>
  <conditionalFormatting sqref="B94:B99 B53:B91 B36:L36">
    <cfRule type="expression" dxfId="7273" priority="67">
      <formula>B$9&gt;=20/24</formula>
    </cfRule>
    <cfRule type="expression" dxfId="7272" priority="68">
      <formula>AND(B$9&gt;=14/24,B$9&lt;20/24)</formula>
    </cfRule>
    <cfRule type="expression" dxfId="7271" priority="69">
      <formula>AND(B$9&gt;=8/24,B$9&lt;14/24)</formula>
    </cfRule>
    <cfRule type="expression" dxfId="7270" priority="70">
      <formula>B$9&lt;8/24</formula>
    </cfRule>
  </conditionalFormatting>
  <conditionalFormatting sqref="B34:B56 B11:E32 C34:I37 F12:L32 J34:L36">
    <cfRule type="expression" dxfId="7269" priority="66">
      <formula>B11&gt;$AG11</formula>
    </cfRule>
  </conditionalFormatting>
  <conditionalFormatting sqref="M17:W21">
    <cfRule type="expression" dxfId="7268" priority="61">
      <formula>M$9&gt;=20/24</formula>
    </cfRule>
    <cfRule type="expression" dxfId="7267" priority="62">
      <formula>AND(M$9&gt;=14/24,M$9&lt;20/24)</formula>
    </cfRule>
    <cfRule type="expression" dxfId="7266" priority="63">
      <formula>AND(M$9&gt;=8/24,M$9&lt;14/24)</formula>
    </cfRule>
    <cfRule type="expression" dxfId="7265" priority="64">
      <formula>M$9&lt;8/24</formula>
    </cfRule>
  </conditionalFormatting>
  <conditionalFormatting sqref="M17:W21">
    <cfRule type="expression" dxfId="7264" priority="60">
      <formula>M17&gt;$AG17</formula>
    </cfRule>
  </conditionalFormatting>
  <conditionalFormatting sqref="M23:W32">
    <cfRule type="expression" dxfId="7263" priority="56">
      <formula>M$9&gt;=20/24</formula>
    </cfRule>
    <cfRule type="expression" dxfId="7262" priority="57">
      <formula>AND(M$9&gt;=14/24,M$9&lt;20/24)</formula>
    </cfRule>
    <cfRule type="expression" dxfId="7261" priority="58">
      <formula>AND(M$9&gt;=8/24,M$9&lt;14/24)</formula>
    </cfRule>
    <cfRule type="expression" dxfId="7260" priority="59">
      <formula>M$9&lt;8/24</formula>
    </cfRule>
  </conditionalFormatting>
  <conditionalFormatting sqref="M35:W35">
    <cfRule type="expression" dxfId="7259" priority="52">
      <formula>M$9&gt;=20/24</formula>
    </cfRule>
    <cfRule type="expression" dxfId="7258" priority="53">
      <formula>AND(M$9&gt;=14/24,M$9&lt;20/24)</formula>
    </cfRule>
    <cfRule type="expression" dxfId="7257" priority="54">
      <formula>AND(M$9&gt;=8/24,M$9&lt;14/24)</formula>
    </cfRule>
    <cfRule type="expression" dxfId="7256" priority="55">
      <formula>M$9&lt;8/24</formula>
    </cfRule>
  </conditionalFormatting>
  <conditionalFormatting sqref="M34:W35 M23:W32">
    <cfRule type="expression" dxfId="7255" priority="51">
      <formula>M23&gt;$AG23</formula>
    </cfRule>
  </conditionalFormatting>
  <conditionalFormatting sqref="M34:W34">
    <cfRule type="expression" dxfId="7254" priority="47">
      <formula>M$9&gt;=20/24</formula>
    </cfRule>
    <cfRule type="expression" dxfId="7253" priority="48">
      <formula>AND(M$9&gt;=14/24,M$9&lt;20/24)</formula>
    </cfRule>
    <cfRule type="expression" dxfId="7252" priority="49">
      <formula>AND(M$9&gt;=8/24,M$9&lt;14/24)</formula>
    </cfRule>
    <cfRule type="expression" dxfId="7251" priority="50">
      <formula>M$9&lt;8/24</formula>
    </cfRule>
  </conditionalFormatting>
  <conditionalFormatting sqref="Y11:AA14 Y36:AA37 AB12:AF14 Y16:AF16 Y22:AF22 AB36:AF36">
    <cfRule type="expression" dxfId="7250" priority="38">
      <formula>Y$9&gt;=20/24</formula>
    </cfRule>
    <cfRule type="expression" dxfId="7249" priority="39">
      <formula>AND(Y$9&gt;=14/24,Y$9&lt;20/24)</formula>
    </cfRule>
    <cfRule type="expression" dxfId="7248" priority="40">
      <formula>AND(Y$9&gt;=8/24,Y$9&lt;14/24)</formula>
    </cfRule>
    <cfRule type="expression" dxfId="7247" priority="41">
      <formula>Y$9&lt;8/24</formula>
    </cfRule>
  </conditionalFormatting>
  <conditionalFormatting sqref="Y11:AA14 Y36:AA37 AB12:AF14 Y16:AF16 Y22:AF22 AB36:AF36">
    <cfRule type="expression" dxfId="7246" priority="37">
      <formula>Y11&gt;$AG11</formula>
    </cfRule>
  </conditionalFormatting>
  <conditionalFormatting sqref="Y15:AF15">
    <cfRule type="expression" dxfId="7245" priority="33">
      <formula>Y$9&gt;=20/24</formula>
    </cfRule>
    <cfRule type="expression" dxfId="7244" priority="34">
      <formula>AND(Y$9&gt;=14/24,Y$9&lt;20/24)</formula>
    </cfRule>
    <cfRule type="expression" dxfId="7243" priority="35">
      <formula>AND(Y$9&gt;=8/24,Y$9&lt;14/24)</formula>
    </cfRule>
    <cfRule type="expression" dxfId="7242" priority="36">
      <formula>Y$9&lt;8/24</formula>
    </cfRule>
  </conditionalFormatting>
  <conditionalFormatting sqref="Y15:AF15">
    <cfRule type="expression" dxfId="7241" priority="32">
      <formula>Y15&gt;$AG15</formula>
    </cfRule>
  </conditionalFormatting>
  <conditionalFormatting sqref="Y17:AF21">
    <cfRule type="expression" dxfId="7240" priority="28">
      <formula>Y$9&gt;=20/24</formula>
    </cfRule>
    <cfRule type="expression" dxfId="7239" priority="29">
      <formula>AND(Y$9&gt;=14/24,Y$9&lt;20/24)</formula>
    </cfRule>
    <cfRule type="expression" dxfId="7238" priority="30">
      <formula>AND(Y$9&gt;=8/24,Y$9&lt;14/24)</formula>
    </cfRule>
    <cfRule type="expression" dxfId="7237" priority="31">
      <formula>Y$9&lt;8/24</formula>
    </cfRule>
  </conditionalFormatting>
  <conditionalFormatting sqref="Y17:AF21">
    <cfRule type="expression" dxfId="7236" priority="27">
      <formula>Y17&gt;$AG17</formula>
    </cfRule>
  </conditionalFormatting>
  <conditionalFormatting sqref="Y23:AF32">
    <cfRule type="expression" dxfId="7235" priority="23">
      <formula>Y$9&gt;=20/24</formula>
    </cfRule>
    <cfRule type="expression" dxfId="7234" priority="24">
      <formula>AND(Y$9&gt;=14/24,Y$9&lt;20/24)</formula>
    </cfRule>
    <cfRule type="expression" dxfId="7233" priority="25">
      <formula>AND(Y$9&gt;=8/24,Y$9&lt;14/24)</formula>
    </cfRule>
    <cfRule type="expression" dxfId="7232" priority="26">
      <formula>Y$9&lt;8/24</formula>
    </cfRule>
  </conditionalFormatting>
  <conditionalFormatting sqref="Y35:AF35">
    <cfRule type="expression" dxfId="7231" priority="19">
      <formula>Y$9&gt;=20/24</formula>
    </cfRule>
    <cfRule type="expression" dxfId="7230" priority="20">
      <formula>AND(Y$9&gt;=14/24,Y$9&lt;20/24)</formula>
    </cfRule>
    <cfRule type="expression" dxfId="7229" priority="21">
      <formula>AND(Y$9&gt;=8/24,Y$9&lt;14/24)</formula>
    </cfRule>
    <cfRule type="expression" dxfId="7228" priority="22">
      <formula>Y$9&lt;8/24</formula>
    </cfRule>
  </conditionalFormatting>
  <conditionalFormatting sqref="Y34:AF35 Y23:AF32">
    <cfRule type="expression" dxfId="7227" priority="18">
      <formula>Y23&gt;$AG23</formula>
    </cfRule>
  </conditionalFormatting>
  <conditionalFormatting sqref="Y34:AF34">
    <cfRule type="expression" dxfId="7226" priority="14">
      <formula>Y$9&gt;=20/24</formula>
    </cfRule>
    <cfRule type="expression" dxfId="7225" priority="15">
      <formula>AND(Y$9&gt;=14/24,Y$9&lt;20/24)</formula>
    </cfRule>
    <cfRule type="expression" dxfId="7224" priority="16">
      <formula>AND(Y$9&gt;=8/24,Y$9&lt;14/24)</formula>
    </cfRule>
    <cfRule type="expression" dxfId="7223" priority="17">
      <formula>Y$9&lt;8/24</formula>
    </cfRule>
  </conditionalFormatting>
  <conditionalFormatting sqref="AE84:AE91">
    <cfRule type="expression" dxfId="7222" priority="5">
      <formula>AE$9&gt;=20/24</formula>
    </cfRule>
    <cfRule type="expression" dxfId="7221" priority="6">
      <formula>AND(AE$9&gt;=14/24,AE$9&lt;20/24)</formula>
    </cfRule>
    <cfRule type="expression" dxfId="7220" priority="7">
      <formula>AND(AE$9&gt;=8/24,AE$9&lt;14/24)</formula>
    </cfRule>
    <cfRule type="expression" dxfId="7219" priority="8">
      <formula>AE$9&lt;8/24</formula>
    </cfRule>
  </conditionalFormatting>
  <conditionalFormatting sqref="AE94:AE99">
    <cfRule type="expression" dxfId="7218" priority="1">
      <formula>AE$9&gt;=20/24</formula>
    </cfRule>
    <cfRule type="expression" dxfId="7217" priority="2">
      <formula>AND(AE$9&gt;=14/24,AE$9&lt;20/24)</formula>
    </cfRule>
    <cfRule type="expression" dxfId="7216" priority="3">
      <formula>AND(AE$9&gt;=8/24,AE$9&lt;14/24)</formula>
    </cfRule>
    <cfRule type="expression" dxfId="7215" priority="4">
      <formula>AE$9&lt;8/24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id="{1F9062A4-E53B-4704-8F59-07AA74EA02E2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4" id="{59C7CC43-FB0C-4A3B-8B90-ADA318BE657F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5" id="{4612F94B-FACF-4C81-9885-38D724A967CB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6" id="{AFDEFB11-F30A-4570-9C1C-0D4707EDD924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X33</xm:sqref>
        </x14:conditionalFormatting>
        <x14:conditionalFormatting xmlns:xm="http://schemas.microsoft.com/office/excel/2006/main">
          <x14:cfRule type="expression" priority="82" id="{D33CCBDA-1EC0-4145-9387-EB008546EE6E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X33</xm:sqref>
        </x14:conditionalFormatting>
        <x14:conditionalFormatting xmlns:xm="http://schemas.microsoft.com/office/excel/2006/main">
          <x14:cfRule type="expression" priority="81" id="{9B487B18-6169-46B1-8923-D41436B25B0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65" id="{813CEB03-AC25-4722-8AD6-3D061AA11F0C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43" id="{8709FE04-B9A7-4EEF-B814-61216EB8D847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" id="{036941B2-C22E-4940-BE3D-B95613FDE480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5" id="{91F03358-D3D9-4A0B-94BF-04A0CC58BBA6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6" id="{649E0DD2-6FCD-4482-9916-B43135F9EF1D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M33:W33</xm:sqref>
        </x14:conditionalFormatting>
        <x14:conditionalFormatting xmlns:xm="http://schemas.microsoft.com/office/excel/2006/main">
          <x14:cfRule type="expression" priority="42" id="{B7F8AA73-91E1-48A1-8144-C23B5153C0AA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M33:W33</xm:sqref>
        </x14:conditionalFormatting>
        <x14:conditionalFormatting xmlns:xm="http://schemas.microsoft.com/office/excel/2006/main">
          <x14:cfRule type="expression" priority="10" id="{C7DEC24C-1074-4A05-AFE6-923A1A1EB558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8A5BC064-7700-4E54-A227-6088E2FB7F0A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07658B5A-D34D-43CE-8243-9DABCF337038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BF7A4160-C70D-4BBA-862C-6201329F480C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Y33:AF33</xm:sqref>
        </x14:conditionalFormatting>
        <x14:conditionalFormatting xmlns:xm="http://schemas.microsoft.com/office/excel/2006/main">
          <x14:cfRule type="expression" priority="9" id="{5E41C29A-3A2C-42E8-837E-53F84FECB551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Y33:AF33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F47" sqref="F4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2078/08/8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226.64</v>
      </c>
      <c r="C5" s="32">
        <f t="shared" si="0"/>
        <v>191.10000000000002</v>
      </c>
      <c r="D5" s="32">
        <f t="shared" si="0"/>
        <v>207.5</v>
      </c>
      <c r="E5" s="32">
        <f t="shared" si="0"/>
        <v>204.20000000000002</v>
      </c>
      <c r="F5" s="32">
        <f t="shared" si="0"/>
        <v>206.8</v>
      </c>
      <c r="G5" s="32">
        <f t="shared" si="0"/>
        <v>215.31</v>
      </c>
      <c r="H5" s="32">
        <f t="shared" si="0"/>
        <v>264.47000000000003</v>
      </c>
      <c r="I5" s="32">
        <f t="shared" si="0"/>
        <v>260.62</v>
      </c>
      <c r="J5" s="32">
        <f t="shared" si="0"/>
        <v>260</v>
      </c>
      <c r="K5" s="32">
        <f t="shared" si="0"/>
        <v>232.6</v>
      </c>
      <c r="L5" s="32">
        <f t="shared" si="0"/>
        <v>254.2</v>
      </c>
      <c r="M5" s="32">
        <f t="shared" si="0"/>
        <v>217.7</v>
      </c>
      <c r="N5" s="32">
        <f t="shared" si="0"/>
        <v>185</v>
      </c>
      <c r="O5" s="32">
        <f t="shared" si="0"/>
        <v>364</v>
      </c>
      <c r="P5" s="32">
        <f t="shared" si="0"/>
        <v>371.1</v>
      </c>
      <c r="Q5" s="32">
        <f t="shared" si="0"/>
        <v>351</v>
      </c>
      <c r="R5" s="32">
        <f t="shared" si="0"/>
        <v>337</v>
      </c>
      <c r="S5" s="32">
        <f t="shared" si="0"/>
        <v>337</v>
      </c>
      <c r="T5" s="32">
        <f t="shared" si="0"/>
        <v>383</v>
      </c>
      <c r="U5" s="32">
        <f t="shared" si="0"/>
        <v>173</v>
      </c>
      <c r="V5" s="32">
        <f t="shared" si="0"/>
        <v>231</v>
      </c>
      <c r="W5" s="32">
        <f t="shared" si="0"/>
        <v>215.39999999999998</v>
      </c>
      <c r="X5" s="32">
        <f t="shared" si="0"/>
        <v>202.2</v>
      </c>
      <c r="Y5" s="32">
        <f t="shared" si="0"/>
        <v>191.2</v>
      </c>
      <c r="Z5" s="32">
        <f t="shared" si="0"/>
        <v>170.2</v>
      </c>
      <c r="AA5" s="32">
        <f t="shared" si="0"/>
        <v>313</v>
      </c>
      <c r="AB5" s="32">
        <f t="shared" si="0"/>
        <v>313</v>
      </c>
      <c r="AC5" s="32">
        <f t="shared" si="0"/>
        <v>258.5</v>
      </c>
      <c r="AD5" s="32">
        <f t="shared" si="0"/>
        <v>196.1</v>
      </c>
      <c r="AE5" s="32">
        <f t="shared" si="0"/>
        <v>140.19999999999999</v>
      </c>
      <c r="AF5" s="32">
        <f>B68</f>
        <v>225.97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Load=847</v>
      </c>
      <c r="B7" s="37">
        <f>B75</f>
        <v>926.51</v>
      </c>
      <c r="C7" s="37">
        <f t="shared" ref="C7:AF7" si="1">C75</f>
        <v>888.28</v>
      </c>
      <c r="D7" s="37">
        <f t="shared" si="1"/>
        <v>846.6400000000001</v>
      </c>
      <c r="E7" s="37">
        <f t="shared" si="1"/>
        <v>862.83999999999992</v>
      </c>
      <c r="F7" s="37">
        <f t="shared" si="1"/>
        <v>876.44</v>
      </c>
      <c r="G7" s="37">
        <f t="shared" si="1"/>
        <v>945.33999999999992</v>
      </c>
      <c r="H7" s="37">
        <f t="shared" si="1"/>
        <v>1023.1499999999999</v>
      </c>
      <c r="I7" s="37">
        <f t="shared" si="1"/>
        <v>1120.6100000000001</v>
      </c>
      <c r="J7" s="37">
        <f t="shared" si="1"/>
        <v>1255.3600000000001</v>
      </c>
      <c r="K7" s="37">
        <f t="shared" si="1"/>
        <v>1405.8400000000001</v>
      </c>
      <c r="L7" s="37">
        <f t="shared" si="1"/>
        <v>1473.54</v>
      </c>
      <c r="M7" s="37">
        <f t="shared" si="1"/>
        <v>1518.44</v>
      </c>
      <c r="N7" s="37">
        <f t="shared" si="1"/>
        <v>1400.04</v>
      </c>
      <c r="O7" s="37">
        <f t="shared" si="1"/>
        <v>1329.6399999999999</v>
      </c>
      <c r="P7" s="37">
        <f t="shared" si="1"/>
        <v>1280.3400000000001</v>
      </c>
      <c r="Q7" s="37">
        <f t="shared" si="1"/>
        <v>1243.44</v>
      </c>
      <c r="R7" s="37">
        <f t="shared" si="1"/>
        <v>1210.1399999999999</v>
      </c>
      <c r="S7" s="37">
        <f t="shared" si="1"/>
        <v>1178.8399999999999</v>
      </c>
      <c r="T7" s="37">
        <f t="shared" si="1"/>
        <v>1127.3400000000001</v>
      </c>
      <c r="U7" s="37">
        <f t="shared" si="1"/>
        <v>1120.04</v>
      </c>
      <c r="V7" s="37">
        <f t="shared" si="1"/>
        <v>1267.04</v>
      </c>
      <c r="W7" s="37">
        <f t="shared" si="1"/>
        <v>1492.3400000000001</v>
      </c>
      <c r="X7" s="37">
        <f t="shared" si="1"/>
        <v>1571.3400000000001</v>
      </c>
      <c r="Y7" s="37">
        <f t="shared" si="1"/>
        <v>1563.2400000000002</v>
      </c>
      <c r="Z7" s="37">
        <f t="shared" si="1"/>
        <v>1488.5400000000002</v>
      </c>
      <c r="AA7" s="37">
        <f t="shared" si="1"/>
        <v>1477.5400000000002</v>
      </c>
      <c r="AB7" s="37">
        <f t="shared" si="1"/>
        <v>1416.84</v>
      </c>
      <c r="AC7" s="37">
        <f t="shared" si="1"/>
        <v>1326.84</v>
      </c>
      <c r="AD7" s="37">
        <f t="shared" si="1"/>
        <v>1258.6399999999999</v>
      </c>
      <c r="AE7" s="37">
        <f t="shared" si="1"/>
        <v>1067.1400000000001</v>
      </c>
      <c r="AF7" s="37">
        <f t="shared" si="1"/>
        <v>991.24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18</v>
      </c>
      <c r="D11" s="49">
        <v>18</v>
      </c>
      <c r="E11" s="49">
        <v>18</v>
      </c>
      <c r="F11" s="49">
        <v>18</v>
      </c>
      <c r="G11" s="49">
        <v>37.1</v>
      </c>
      <c r="H11" s="49">
        <v>76</v>
      </c>
      <c r="I11" s="49">
        <v>100</v>
      </c>
      <c r="J11" s="49">
        <v>150</v>
      </c>
      <c r="K11" s="49">
        <v>190</v>
      </c>
      <c r="L11" s="49">
        <v>280</v>
      </c>
      <c r="M11" s="50">
        <v>300</v>
      </c>
      <c r="N11" s="50">
        <v>250</v>
      </c>
      <c r="O11" s="50">
        <v>230</v>
      </c>
      <c r="P11" s="50">
        <v>50</v>
      </c>
      <c r="Q11" s="50">
        <v>30</v>
      </c>
      <c r="R11" s="51">
        <v>30</v>
      </c>
      <c r="S11" s="50">
        <v>76</v>
      </c>
      <c r="T11" s="50">
        <v>56.7</v>
      </c>
      <c r="U11" s="50">
        <v>54</v>
      </c>
      <c r="V11" s="50">
        <v>224</v>
      </c>
      <c r="W11" s="50">
        <v>350</v>
      </c>
      <c r="X11" s="50">
        <v>380</v>
      </c>
      <c r="Y11" s="50">
        <v>380</v>
      </c>
      <c r="Z11" s="52">
        <v>340</v>
      </c>
      <c r="AA11" s="50">
        <v>350</v>
      </c>
      <c r="AB11" s="50">
        <v>160</v>
      </c>
      <c r="AC11" s="50">
        <v>130</v>
      </c>
      <c r="AD11" s="50">
        <v>180</v>
      </c>
      <c r="AE11" s="50">
        <v>100</v>
      </c>
      <c r="AF11" s="50">
        <v>90</v>
      </c>
      <c r="AG11" s="53">
        <v>456</v>
      </c>
      <c r="AH11" s="54">
        <f>MAX(B11:AF11)</f>
        <v>380</v>
      </c>
      <c r="AI11" s="55">
        <f>MIN(B11:AF11)</f>
        <v>18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47.5</v>
      </c>
      <c r="C12" s="49">
        <v>47.5</v>
      </c>
      <c r="D12" s="49">
        <v>47.5</v>
      </c>
      <c r="E12" s="49">
        <v>47.5</v>
      </c>
      <c r="F12" s="49">
        <v>47.5</v>
      </c>
      <c r="G12" s="49">
        <v>47.5</v>
      </c>
      <c r="H12" s="49">
        <v>47.5</v>
      </c>
      <c r="I12" s="49">
        <v>47.5</v>
      </c>
      <c r="J12" s="49">
        <v>47.5</v>
      </c>
      <c r="K12" s="49">
        <v>47.5</v>
      </c>
      <c r="L12" s="49">
        <v>47.5</v>
      </c>
      <c r="M12" s="49">
        <v>47.5</v>
      </c>
      <c r="N12" s="49">
        <v>47.5</v>
      </c>
      <c r="O12" s="49">
        <v>47.5</v>
      </c>
      <c r="P12" s="49">
        <v>47.5</v>
      </c>
      <c r="Q12" s="49">
        <v>47.5</v>
      </c>
      <c r="R12" s="49">
        <v>47</v>
      </c>
      <c r="S12" s="49">
        <v>47</v>
      </c>
      <c r="T12" s="49">
        <v>47</v>
      </c>
      <c r="U12" s="49">
        <v>47</v>
      </c>
      <c r="V12" s="49">
        <v>47</v>
      </c>
      <c r="W12" s="58">
        <v>47</v>
      </c>
      <c r="X12" s="58">
        <v>47</v>
      </c>
      <c r="Y12" s="58">
        <v>47</v>
      </c>
      <c r="Z12" s="58">
        <v>47</v>
      </c>
      <c r="AA12" s="58">
        <v>47</v>
      </c>
      <c r="AB12" s="58">
        <v>47</v>
      </c>
      <c r="AC12" s="58">
        <v>47</v>
      </c>
      <c r="AD12" s="58">
        <v>47</v>
      </c>
      <c r="AE12" s="58">
        <v>47</v>
      </c>
      <c r="AF12" s="58">
        <v>47</v>
      </c>
      <c r="AG12" s="59">
        <v>60</v>
      </c>
      <c r="AH12" s="54">
        <f t="shared" ref="AH12:AH75" si="2">MAX(B12:AF12)</f>
        <v>47.5</v>
      </c>
      <c r="AI12" s="55">
        <f t="shared" ref="AI12:AI75" si="3">MIN(B12:AF12)</f>
        <v>47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27.2</v>
      </c>
      <c r="C13" s="49">
        <v>27.2</v>
      </c>
      <c r="D13" s="49">
        <v>27.2</v>
      </c>
      <c r="E13" s="49">
        <v>27.2</v>
      </c>
      <c r="F13" s="49">
        <v>27.2</v>
      </c>
      <c r="G13" s="49">
        <v>27.2</v>
      </c>
      <c r="H13" s="49">
        <v>27.2</v>
      </c>
      <c r="I13" s="49">
        <v>27.2</v>
      </c>
      <c r="J13" s="49">
        <v>27.2</v>
      </c>
      <c r="K13" s="49">
        <v>27.2</v>
      </c>
      <c r="L13" s="49">
        <v>27.2</v>
      </c>
      <c r="M13" s="49">
        <v>27.2</v>
      </c>
      <c r="N13" s="49">
        <v>27.3</v>
      </c>
      <c r="O13" s="49">
        <v>27.3</v>
      </c>
      <c r="P13" s="49">
        <v>27.3</v>
      </c>
      <c r="Q13" s="49">
        <v>27.3</v>
      </c>
      <c r="R13" s="49">
        <v>27.3</v>
      </c>
      <c r="S13" s="49">
        <v>21</v>
      </c>
      <c r="T13" s="49">
        <v>21</v>
      </c>
      <c r="U13" s="49">
        <v>21</v>
      </c>
      <c r="V13" s="49">
        <v>21</v>
      </c>
      <c r="W13" s="49">
        <v>21</v>
      </c>
      <c r="X13" s="58">
        <v>21</v>
      </c>
      <c r="Y13" s="58">
        <v>21</v>
      </c>
      <c r="Z13" s="58">
        <v>21</v>
      </c>
      <c r="AA13" s="58">
        <v>21</v>
      </c>
      <c r="AB13" s="58">
        <v>21</v>
      </c>
      <c r="AC13" s="58">
        <v>21</v>
      </c>
      <c r="AD13" s="58">
        <v>21</v>
      </c>
      <c r="AE13" s="58">
        <v>21</v>
      </c>
      <c r="AF13" s="58">
        <v>21</v>
      </c>
      <c r="AG13" s="59">
        <v>52.4</v>
      </c>
      <c r="AH13" s="54">
        <f t="shared" si="2"/>
        <v>27.3</v>
      </c>
      <c r="AI13" s="55">
        <f t="shared" si="3"/>
        <v>21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50.6</v>
      </c>
      <c r="C14" s="50">
        <v>50.6</v>
      </c>
      <c r="D14" s="50">
        <v>50.6</v>
      </c>
      <c r="E14" s="50">
        <v>50.6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0">
        <v>50.6</v>
      </c>
      <c r="N14" s="50">
        <v>50.3</v>
      </c>
      <c r="O14" s="50">
        <v>50.3</v>
      </c>
      <c r="P14" s="50">
        <v>50.3</v>
      </c>
      <c r="Q14" s="50">
        <v>50.3</v>
      </c>
      <c r="R14" s="50">
        <v>50.3</v>
      </c>
      <c r="S14" s="50">
        <v>50.3</v>
      </c>
      <c r="T14" s="50">
        <v>50.3</v>
      </c>
      <c r="U14" s="50">
        <v>50.3</v>
      </c>
      <c r="V14" s="50">
        <v>50.3</v>
      </c>
      <c r="W14" s="60">
        <v>50.3</v>
      </c>
      <c r="X14" s="60">
        <v>50.3</v>
      </c>
      <c r="Y14" s="60">
        <v>50.3</v>
      </c>
      <c r="Z14" s="60">
        <v>50.3</v>
      </c>
      <c r="AA14" s="60">
        <v>50.3</v>
      </c>
      <c r="AB14" s="60">
        <v>50.3</v>
      </c>
      <c r="AC14" s="60">
        <v>50.3</v>
      </c>
      <c r="AD14" s="60">
        <v>50.3</v>
      </c>
      <c r="AE14" s="60">
        <v>50.3</v>
      </c>
      <c r="AF14" s="60">
        <v>50.3</v>
      </c>
      <c r="AG14" s="59">
        <v>50</v>
      </c>
      <c r="AH14" s="54">
        <f t="shared" si="2"/>
        <v>50.6</v>
      </c>
      <c r="AI14" s="55">
        <f t="shared" si="3"/>
        <v>50.3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23.6</v>
      </c>
      <c r="C15" s="50">
        <v>23.6</v>
      </c>
      <c r="D15" s="50">
        <v>23.6</v>
      </c>
      <c r="E15" s="50">
        <v>23.6</v>
      </c>
      <c r="F15" s="50">
        <v>23.6</v>
      </c>
      <c r="G15" s="50">
        <v>23.6</v>
      </c>
      <c r="H15" s="50">
        <v>23.6</v>
      </c>
      <c r="I15" s="50">
        <v>23.6</v>
      </c>
      <c r="J15" s="50">
        <v>23.6</v>
      </c>
      <c r="K15" s="50">
        <v>23.6</v>
      </c>
      <c r="L15" s="50">
        <v>23.6</v>
      </c>
      <c r="M15" s="50">
        <v>23.6</v>
      </c>
      <c r="N15" s="50">
        <v>23.1</v>
      </c>
      <c r="O15" s="50">
        <v>22.9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27.7</v>
      </c>
      <c r="W15" s="60">
        <v>26.9</v>
      </c>
      <c r="X15" s="60">
        <v>26.9</v>
      </c>
      <c r="Y15" s="60">
        <v>26.9</v>
      </c>
      <c r="Z15" s="60">
        <v>26.9</v>
      </c>
      <c r="AA15" s="60">
        <v>26.9</v>
      </c>
      <c r="AB15" s="60">
        <v>26.9</v>
      </c>
      <c r="AC15" s="60">
        <v>26.9</v>
      </c>
      <c r="AD15" s="60">
        <v>26.9</v>
      </c>
      <c r="AE15" s="60">
        <v>26.9</v>
      </c>
      <c r="AF15" s="60">
        <v>26.9</v>
      </c>
      <c r="AG15" s="62">
        <v>45</v>
      </c>
      <c r="AH15" s="54">
        <f t="shared" si="2"/>
        <v>27.7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14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13</v>
      </c>
      <c r="C17" s="50">
        <v>13</v>
      </c>
      <c r="D17" s="50">
        <v>13</v>
      </c>
      <c r="E17" s="50">
        <v>13</v>
      </c>
      <c r="F17" s="50">
        <v>13</v>
      </c>
      <c r="G17" s="50">
        <v>13</v>
      </c>
      <c r="H17" s="50">
        <v>13</v>
      </c>
      <c r="I17" s="50">
        <v>13</v>
      </c>
      <c r="J17" s="50">
        <v>13</v>
      </c>
      <c r="K17" s="50">
        <v>13</v>
      </c>
      <c r="L17" s="50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12.2</v>
      </c>
      <c r="C19" s="50">
        <v>12.2</v>
      </c>
      <c r="D19" s="50">
        <v>12.2</v>
      </c>
      <c r="E19" s="50">
        <v>12.2</v>
      </c>
      <c r="F19" s="50">
        <v>12.2</v>
      </c>
      <c r="G19" s="50">
        <v>12.2</v>
      </c>
      <c r="H19" s="50">
        <v>12.2</v>
      </c>
      <c r="I19" s="50">
        <v>12.2</v>
      </c>
      <c r="J19" s="50">
        <v>12.2</v>
      </c>
      <c r="K19" s="50">
        <v>12.2</v>
      </c>
      <c r="L19" s="50">
        <v>12.2</v>
      </c>
      <c r="M19" s="50">
        <v>12.2</v>
      </c>
      <c r="N19" s="50">
        <v>12.2</v>
      </c>
      <c r="O19" s="50">
        <v>12.2</v>
      </c>
      <c r="P19" s="50">
        <v>12.2</v>
      </c>
      <c r="Q19" s="50">
        <v>12.2</v>
      </c>
      <c r="R19" s="50">
        <v>12.2</v>
      </c>
      <c r="S19" s="50">
        <v>12.2</v>
      </c>
      <c r="T19" s="50">
        <v>12.2</v>
      </c>
      <c r="U19" s="50">
        <v>12.2</v>
      </c>
      <c r="V19" s="50">
        <v>12.2</v>
      </c>
      <c r="W19" s="50">
        <v>12.2</v>
      </c>
      <c r="X19" s="50">
        <v>12.2</v>
      </c>
      <c r="Y19" s="50">
        <v>12.2</v>
      </c>
      <c r="Z19" s="50">
        <v>12.2</v>
      </c>
      <c r="AA19" s="50">
        <v>12.2</v>
      </c>
      <c r="AB19" s="50">
        <v>12.2</v>
      </c>
      <c r="AC19" s="50">
        <v>12.2</v>
      </c>
      <c r="AD19" s="50">
        <v>12.2</v>
      </c>
      <c r="AE19" s="50">
        <v>12.2</v>
      </c>
      <c r="AF19" s="50">
        <v>12.2</v>
      </c>
      <c r="AG19" s="59">
        <v>30</v>
      </c>
      <c r="AH19" s="54">
        <f t="shared" si="2"/>
        <v>12.2</v>
      </c>
      <c r="AI19" s="55">
        <f t="shared" si="3"/>
        <v>12.2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14.4</v>
      </c>
      <c r="C22" s="50">
        <v>14.4</v>
      </c>
      <c r="D22" s="50">
        <v>14.4</v>
      </c>
      <c r="E22" s="50">
        <v>14.4</v>
      </c>
      <c r="F22" s="50">
        <v>14.4</v>
      </c>
      <c r="G22" s="50">
        <v>14.4</v>
      </c>
      <c r="H22" s="50">
        <v>14.4</v>
      </c>
      <c r="I22" s="50">
        <v>14.4</v>
      </c>
      <c r="J22" s="50">
        <v>14.4</v>
      </c>
      <c r="K22" s="50">
        <v>14.4</v>
      </c>
      <c r="L22" s="50">
        <v>14.4</v>
      </c>
      <c r="M22" s="50">
        <v>14.4</v>
      </c>
      <c r="N22" s="50">
        <v>12.9</v>
      </c>
      <c r="O22" s="50">
        <v>13.9</v>
      </c>
      <c r="P22" s="50">
        <v>13.9</v>
      </c>
      <c r="Q22" s="50">
        <v>13.9</v>
      </c>
      <c r="R22" s="50">
        <v>13.9</v>
      </c>
      <c r="S22" s="50">
        <v>13.9</v>
      </c>
      <c r="T22" s="50">
        <v>13.9</v>
      </c>
      <c r="U22" s="50">
        <v>13.9</v>
      </c>
      <c r="V22" s="50">
        <v>13.9</v>
      </c>
      <c r="W22" s="50">
        <v>13.9</v>
      </c>
      <c r="X22" s="50">
        <v>20</v>
      </c>
      <c r="Y22" s="50">
        <v>20</v>
      </c>
      <c r="Z22" s="50">
        <v>20</v>
      </c>
      <c r="AA22" s="50">
        <v>20</v>
      </c>
      <c r="AB22" s="50">
        <v>20</v>
      </c>
      <c r="AC22" s="50">
        <v>20</v>
      </c>
      <c r="AD22" s="50">
        <v>20</v>
      </c>
      <c r="AE22" s="50">
        <v>20</v>
      </c>
      <c r="AF22" s="50">
        <v>20</v>
      </c>
      <c r="AG22" s="59">
        <v>25</v>
      </c>
      <c r="AH22" s="54">
        <f t="shared" si="2"/>
        <v>20</v>
      </c>
      <c r="AI22" s="55">
        <f t="shared" si="3"/>
        <v>12.9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10</v>
      </c>
      <c r="C26" s="50">
        <v>10</v>
      </c>
      <c r="D26" s="50">
        <v>10</v>
      </c>
      <c r="E26" s="50">
        <v>10</v>
      </c>
      <c r="F26" s="50">
        <v>10</v>
      </c>
      <c r="G26" s="50">
        <v>10</v>
      </c>
      <c r="H26" s="50">
        <v>10</v>
      </c>
      <c r="I26" s="50">
        <v>10</v>
      </c>
      <c r="J26" s="50">
        <v>10</v>
      </c>
      <c r="K26" s="50">
        <v>10</v>
      </c>
      <c r="L26" s="50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9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v>65.099999999999994</v>
      </c>
      <c r="C37" s="61">
        <v>65.099999999999994</v>
      </c>
      <c r="D37" s="61">
        <v>65.099999999999994</v>
      </c>
      <c r="E37" s="61">
        <v>65.099999999999994</v>
      </c>
      <c r="F37" s="61">
        <f>29.3+38.4</f>
        <v>67.7</v>
      </c>
      <c r="G37" s="61">
        <f>29.3+38.4</f>
        <v>67.7</v>
      </c>
      <c r="H37" s="61">
        <f>29.3+38.4</f>
        <v>67.7</v>
      </c>
      <c r="I37" s="61">
        <f>29+37.6</f>
        <v>66.599999999999994</v>
      </c>
      <c r="J37" s="61">
        <f>29+37.6</f>
        <v>66.599999999999994</v>
      </c>
      <c r="K37" s="61">
        <f>29+37.6</f>
        <v>66.599999999999994</v>
      </c>
      <c r="L37" s="61">
        <f>29+37.6</f>
        <v>66.599999999999994</v>
      </c>
      <c r="M37" s="70">
        <f>28.2+37.4</f>
        <v>65.599999999999994</v>
      </c>
      <c r="N37" s="70">
        <f>28.8+37</f>
        <v>65.8</v>
      </c>
      <c r="O37" s="70">
        <f>31.4+37.1</f>
        <v>68.5</v>
      </c>
      <c r="P37" s="70">
        <v>67</v>
      </c>
      <c r="Q37" s="70">
        <f t="shared" ref="Q37:V37" si="4">27.9+39.7</f>
        <v>67.599999999999994</v>
      </c>
      <c r="R37" s="70">
        <f t="shared" si="4"/>
        <v>67.599999999999994</v>
      </c>
      <c r="S37" s="70">
        <f t="shared" si="4"/>
        <v>67.599999999999994</v>
      </c>
      <c r="T37" s="70">
        <f t="shared" si="4"/>
        <v>67.599999999999994</v>
      </c>
      <c r="U37" s="70">
        <f t="shared" si="4"/>
        <v>67.599999999999994</v>
      </c>
      <c r="V37" s="70">
        <f t="shared" si="4"/>
        <v>67.599999999999994</v>
      </c>
      <c r="W37" s="70">
        <f>33.2+26.3</f>
        <v>59.5</v>
      </c>
      <c r="X37" s="70">
        <v>58.5</v>
      </c>
      <c r="Y37" s="70">
        <v>58.5</v>
      </c>
      <c r="Z37" s="70">
        <v>58.5</v>
      </c>
      <c r="AA37" s="70">
        <v>58.5</v>
      </c>
      <c r="AB37" s="70">
        <v>58.5</v>
      </c>
      <c r="AC37" s="70">
        <v>58.5</v>
      </c>
      <c r="AD37" s="70">
        <v>58.5</v>
      </c>
      <c r="AE37" s="70">
        <v>58.5</v>
      </c>
      <c r="AF37" s="70">
        <v>58.5</v>
      </c>
      <c r="AG37" s="67">
        <v>240</v>
      </c>
      <c r="AH37" s="54">
        <f t="shared" si="2"/>
        <v>68.5</v>
      </c>
      <c r="AI37" s="55">
        <f t="shared" si="3"/>
        <v>58.5</v>
      </c>
      <c r="AK37" s="56"/>
    </row>
    <row r="38" spans="1:88" ht="15.75" thickBot="1" x14ac:dyDescent="0.3">
      <c r="A38" s="71" t="s">
        <v>46</v>
      </c>
      <c r="B38" s="72">
        <f>SUM(B11:B36)</f>
        <v>495.2</v>
      </c>
      <c r="C38" s="72">
        <f t="shared" ref="C38:AF38" si="5">SUM(C11:C36)</f>
        <v>483.2</v>
      </c>
      <c r="D38" s="72">
        <f t="shared" si="5"/>
        <v>483.2</v>
      </c>
      <c r="E38" s="72">
        <f t="shared" si="5"/>
        <v>483.2</v>
      </c>
      <c r="F38" s="72">
        <f t="shared" si="5"/>
        <v>483.2</v>
      </c>
      <c r="G38" s="72">
        <f t="shared" si="5"/>
        <v>502.29999999999995</v>
      </c>
      <c r="H38" s="72">
        <f t="shared" si="5"/>
        <v>541.19999999999993</v>
      </c>
      <c r="I38" s="72">
        <f t="shared" si="5"/>
        <v>565.19999999999993</v>
      </c>
      <c r="J38" s="72">
        <f t="shared" si="5"/>
        <v>615.20000000000005</v>
      </c>
      <c r="K38" s="72">
        <f t="shared" si="5"/>
        <v>655.20000000000005</v>
      </c>
      <c r="L38" s="72">
        <f t="shared" si="5"/>
        <v>745.2</v>
      </c>
      <c r="M38" s="72">
        <f t="shared" si="5"/>
        <v>765.19999999999993</v>
      </c>
      <c r="N38" s="72">
        <f t="shared" si="5"/>
        <v>711</v>
      </c>
      <c r="O38" s="72">
        <f t="shared" si="5"/>
        <v>691.8</v>
      </c>
      <c r="P38" s="72">
        <f t="shared" si="5"/>
        <v>488.9</v>
      </c>
      <c r="Q38" s="72">
        <f t="shared" si="5"/>
        <v>468.9</v>
      </c>
      <c r="R38" s="72">
        <f t="shared" si="5"/>
        <v>468.4</v>
      </c>
      <c r="S38" s="72">
        <f t="shared" si="5"/>
        <v>508.09999999999997</v>
      </c>
      <c r="T38" s="72">
        <f t="shared" si="5"/>
        <v>488.79999999999995</v>
      </c>
      <c r="U38" s="72">
        <f t="shared" si="5"/>
        <v>486.1</v>
      </c>
      <c r="V38" s="72">
        <f t="shared" si="5"/>
        <v>683.8</v>
      </c>
      <c r="W38" s="72">
        <f t="shared" si="5"/>
        <v>809.00000000000011</v>
      </c>
      <c r="X38" s="72">
        <v>845.10000000000014</v>
      </c>
      <c r="Y38" s="72">
        <f t="shared" si="5"/>
        <v>845.10000000000014</v>
      </c>
      <c r="Z38" s="72">
        <f t="shared" si="5"/>
        <v>805.10000000000014</v>
      </c>
      <c r="AA38" s="72">
        <f t="shared" si="5"/>
        <v>815.10000000000014</v>
      </c>
      <c r="AB38" s="72">
        <f t="shared" si="5"/>
        <v>625.09999999999991</v>
      </c>
      <c r="AC38" s="72">
        <f t="shared" si="5"/>
        <v>595.09999999999991</v>
      </c>
      <c r="AD38" s="72">
        <f t="shared" si="5"/>
        <v>645.09999999999991</v>
      </c>
      <c r="AE38" s="72">
        <f t="shared" si="5"/>
        <v>565.1</v>
      </c>
      <c r="AF38" s="72">
        <f t="shared" si="5"/>
        <v>555.1</v>
      </c>
      <c r="AG38" s="67">
        <f>SUM(AG11:AG37)</f>
        <v>1492.8299999999997</v>
      </c>
      <c r="AH38" s="54">
        <f t="shared" si="2"/>
        <v>845.10000000000014</v>
      </c>
      <c r="AI38" s="55">
        <f t="shared" si="3"/>
        <v>468.4</v>
      </c>
      <c r="AK38" s="56"/>
    </row>
    <row r="39" spans="1:88" x14ac:dyDescent="0.25">
      <c r="A39" s="57" t="s">
        <v>47</v>
      </c>
      <c r="B39" s="49">
        <v>30.7</v>
      </c>
      <c r="C39" s="61">
        <v>30.7</v>
      </c>
      <c r="D39" s="61">
        <v>0</v>
      </c>
      <c r="E39" s="61">
        <v>0</v>
      </c>
      <c r="F39" s="61">
        <v>0</v>
      </c>
      <c r="G39" s="61">
        <v>29.5</v>
      </c>
      <c r="H39" s="61">
        <v>61</v>
      </c>
      <c r="I39" s="61">
        <v>80.400000000000006</v>
      </c>
      <c r="J39" s="61">
        <v>133.4</v>
      </c>
      <c r="K39" s="61">
        <v>145.9</v>
      </c>
      <c r="L39" s="61">
        <v>145.80000000000001</v>
      </c>
      <c r="M39" s="50">
        <v>145.80000000000001</v>
      </c>
      <c r="N39" s="50">
        <v>146.30000000000001</v>
      </c>
      <c r="O39" s="50">
        <v>145.9</v>
      </c>
      <c r="P39" s="50">
        <v>121</v>
      </c>
      <c r="Q39" s="50">
        <v>111.5</v>
      </c>
      <c r="R39" s="50">
        <v>111.7</v>
      </c>
      <c r="S39" s="50">
        <v>97</v>
      </c>
      <c r="T39" s="50">
        <v>97</v>
      </c>
      <c r="U39" s="50">
        <v>97</v>
      </c>
      <c r="V39" s="50">
        <v>131.9</v>
      </c>
      <c r="W39" s="50">
        <v>131.80000000000001</v>
      </c>
      <c r="X39" s="50">
        <v>145.5</v>
      </c>
      <c r="Y39" s="50">
        <v>145.5</v>
      </c>
      <c r="Z39" s="50">
        <v>145.19999999999999</v>
      </c>
      <c r="AA39" s="50">
        <v>145.19999999999999</v>
      </c>
      <c r="AB39" s="50">
        <v>131.69999999999999</v>
      </c>
      <c r="AC39" s="50">
        <v>97.2</v>
      </c>
      <c r="AD39" s="50">
        <v>91.3</v>
      </c>
      <c r="AE39" s="50">
        <v>84.4</v>
      </c>
      <c r="AF39" s="50">
        <v>84.4</v>
      </c>
      <c r="AG39" s="62">
        <v>144</v>
      </c>
      <c r="AH39" s="54">
        <f t="shared" si="2"/>
        <v>146.30000000000001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24.3</v>
      </c>
      <c r="C40" s="61">
        <v>0</v>
      </c>
      <c r="D40" s="61">
        <v>0</v>
      </c>
      <c r="E40" s="61">
        <v>0</v>
      </c>
      <c r="F40" s="61">
        <v>23</v>
      </c>
      <c r="G40" s="61">
        <v>48.6</v>
      </c>
      <c r="H40" s="61">
        <v>47.6</v>
      </c>
      <c r="I40" s="61">
        <v>46.6</v>
      </c>
      <c r="J40" s="61">
        <v>70.099999999999994</v>
      </c>
      <c r="K40" s="61">
        <v>71.8</v>
      </c>
      <c r="L40" s="61">
        <v>73.099999999999994</v>
      </c>
      <c r="M40" s="73">
        <v>73.099999999999994</v>
      </c>
      <c r="N40" s="73">
        <v>71.5</v>
      </c>
      <c r="O40" s="73">
        <v>71.400000000000006</v>
      </c>
      <c r="P40" s="73">
        <v>71.400000000000006</v>
      </c>
      <c r="Q40" s="73">
        <v>70.599999999999994</v>
      </c>
      <c r="R40" s="73">
        <v>62</v>
      </c>
      <c r="S40" s="73">
        <v>70.8</v>
      </c>
      <c r="T40" s="73">
        <v>51</v>
      </c>
      <c r="U40" s="73">
        <v>0</v>
      </c>
      <c r="V40" s="73">
        <v>27.4</v>
      </c>
      <c r="W40" s="73">
        <v>49.9</v>
      </c>
      <c r="X40" s="73">
        <v>71.8</v>
      </c>
      <c r="Y40" s="73">
        <v>72</v>
      </c>
      <c r="Z40" s="73">
        <v>69.599999999999994</v>
      </c>
      <c r="AA40" s="73">
        <v>69.599999999999994</v>
      </c>
      <c r="AB40" s="73">
        <v>69.599999999999994</v>
      </c>
      <c r="AC40" s="73">
        <v>60</v>
      </c>
      <c r="AD40" s="73">
        <v>60</v>
      </c>
      <c r="AE40" s="73">
        <v>49</v>
      </c>
      <c r="AF40" s="73">
        <v>49</v>
      </c>
      <c r="AG40" s="67">
        <v>70</v>
      </c>
      <c r="AH40" s="54">
        <f t="shared" si="2"/>
        <v>73.099999999999994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35</v>
      </c>
      <c r="C41" s="61">
        <v>32.6</v>
      </c>
      <c r="D41" s="61">
        <v>47.2</v>
      </c>
      <c r="E41" s="61">
        <v>47</v>
      </c>
      <c r="F41" s="61">
        <v>40.9</v>
      </c>
      <c r="G41" s="61">
        <v>33</v>
      </c>
      <c r="H41" s="61">
        <v>32.9</v>
      </c>
      <c r="I41" s="61">
        <v>33</v>
      </c>
      <c r="J41" s="61">
        <v>45.1</v>
      </c>
      <c r="K41" s="61">
        <v>50</v>
      </c>
      <c r="L41" s="61">
        <v>60</v>
      </c>
      <c r="M41" s="73">
        <v>61.8</v>
      </c>
      <c r="N41" s="73">
        <v>67</v>
      </c>
      <c r="O41" s="73">
        <v>61.3</v>
      </c>
      <c r="P41" s="73">
        <v>61.3</v>
      </c>
      <c r="Q41" s="73">
        <v>61.6</v>
      </c>
      <c r="R41" s="73">
        <v>61.6</v>
      </c>
      <c r="S41" s="73">
        <v>45.4</v>
      </c>
      <c r="T41" s="73">
        <v>33</v>
      </c>
      <c r="U41" s="73">
        <v>33.4</v>
      </c>
      <c r="V41" s="73">
        <v>63.2</v>
      </c>
      <c r="W41" s="73">
        <v>63.3</v>
      </c>
      <c r="X41" s="73">
        <v>68.8</v>
      </c>
      <c r="Y41" s="73">
        <v>67.7</v>
      </c>
      <c r="Z41" s="73">
        <v>68.2</v>
      </c>
      <c r="AA41" s="73">
        <v>68.2</v>
      </c>
      <c r="AB41" s="73">
        <v>68.2</v>
      </c>
      <c r="AC41" s="73">
        <v>67.2</v>
      </c>
      <c r="AD41" s="73">
        <v>54.1</v>
      </c>
      <c r="AE41" s="73">
        <v>51.9</v>
      </c>
      <c r="AF41" s="73">
        <v>51.9</v>
      </c>
      <c r="AG41" s="67">
        <v>69</v>
      </c>
      <c r="AH41" s="54">
        <f t="shared" si="2"/>
        <v>68.8</v>
      </c>
      <c r="AI41" s="55">
        <f t="shared" si="3"/>
        <v>32.6</v>
      </c>
      <c r="AK41" s="56"/>
    </row>
    <row r="42" spans="1:88" x14ac:dyDescent="0.25">
      <c r="A42" s="66" t="s">
        <v>50</v>
      </c>
      <c r="B42" s="61">
        <v>60.9</v>
      </c>
      <c r="C42" s="61">
        <v>60.7</v>
      </c>
      <c r="D42" s="61">
        <v>60.7</v>
      </c>
      <c r="E42" s="61">
        <v>60.7</v>
      </c>
      <c r="F42" s="61">
        <v>60.7</v>
      </c>
      <c r="G42" s="61">
        <v>60.7</v>
      </c>
      <c r="H42" s="61">
        <v>60.7</v>
      </c>
      <c r="I42" s="61">
        <v>60.7</v>
      </c>
      <c r="J42" s="61">
        <v>60.7</v>
      </c>
      <c r="K42" s="61">
        <v>60.7</v>
      </c>
      <c r="L42" s="61">
        <v>60.7</v>
      </c>
      <c r="M42" s="73">
        <v>60.7</v>
      </c>
      <c r="N42" s="73">
        <v>60.7</v>
      </c>
      <c r="O42" s="73">
        <v>60.7</v>
      </c>
      <c r="P42" s="73">
        <v>60.7</v>
      </c>
      <c r="Q42" s="73">
        <v>60.7</v>
      </c>
      <c r="R42" s="73">
        <v>60.6</v>
      </c>
      <c r="S42" s="73">
        <v>60.6</v>
      </c>
      <c r="T42" s="73">
        <v>60.6</v>
      </c>
      <c r="U42" s="73">
        <v>60.6</v>
      </c>
      <c r="V42" s="73">
        <v>60.6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73">
        <v>60.7</v>
      </c>
      <c r="AG42" s="67">
        <v>60</v>
      </c>
      <c r="AH42" s="54">
        <f t="shared" si="2"/>
        <v>60.9</v>
      </c>
      <c r="AI42" s="55">
        <f t="shared" si="3"/>
        <v>60.6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10</v>
      </c>
      <c r="E43" s="61">
        <v>10</v>
      </c>
      <c r="F43" s="61">
        <v>10</v>
      </c>
      <c r="G43" s="61">
        <v>10</v>
      </c>
      <c r="H43" s="61">
        <v>10</v>
      </c>
      <c r="I43" s="61">
        <v>15.8</v>
      </c>
      <c r="J43" s="61">
        <v>15.8</v>
      </c>
      <c r="K43" s="61">
        <v>30</v>
      </c>
      <c r="L43" s="61">
        <v>30</v>
      </c>
      <c r="M43" s="50">
        <v>30</v>
      </c>
      <c r="N43" s="50">
        <v>27.8</v>
      </c>
      <c r="O43" s="50">
        <v>15</v>
      </c>
      <c r="P43" s="50">
        <v>15</v>
      </c>
      <c r="Q43" s="50">
        <v>10.4</v>
      </c>
      <c r="R43" s="50">
        <v>10</v>
      </c>
      <c r="S43" s="50">
        <v>10</v>
      </c>
      <c r="T43" s="50">
        <v>10</v>
      </c>
      <c r="U43" s="50">
        <v>10</v>
      </c>
      <c r="V43" s="50">
        <v>10</v>
      </c>
      <c r="W43" s="50">
        <v>23.2</v>
      </c>
      <c r="X43" s="50">
        <v>29</v>
      </c>
      <c r="Y43" s="50">
        <v>29</v>
      </c>
      <c r="Z43" s="73">
        <v>14</v>
      </c>
      <c r="AA43" s="73">
        <v>14</v>
      </c>
      <c r="AB43" s="73">
        <v>14</v>
      </c>
      <c r="AC43" s="73">
        <v>14</v>
      </c>
      <c r="AD43" s="73">
        <v>14</v>
      </c>
      <c r="AE43" s="73">
        <v>10</v>
      </c>
      <c r="AF43" s="73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2.5</v>
      </c>
      <c r="C46" s="50">
        <v>2.5</v>
      </c>
      <c r="D46" s="50">
        <v>2.5</v>
      </c>
      <c r="E46" s="50">
        <v>2.5</v>
      </c>
      <c r="F46" s="50">
        <v>2.5</v>
      </c>
      <c r="G46" s="50">
        <v>2.5</v>
      </c>
      <c r="H46" s="50">
        <v>2.5</v>
      </c>
      <c r="I46" s="50">
        <v>2.5</v>
      </c>
      <c r="J46" s="50">
        <v>2.5</v>
      </c>
      <c r="K46" s="50">
        <v>2.5</v>
      </c>
      <c r="L46" s="50">
        <v>2.5</v>
      </c>
      <c r="M46" s="50">
        <v>2.5</v>
      </c>
      <c r="N46" s="50">
        <v>2.5</v>
      </c>
      <c r="O46" s="50">
        <v>2.5</v>
      </c>
      <c r="P46" s="50">
        <v>2.5</v>
      </c>
      <c r="Q46" s="50">
        <v>2.5</v>
      </c>
      <c r="R46" s="50">
        <v>2.6</v>
      </c>
      <c r="S46" s="50">
        <v>2.6</v>
      </c>
      <c r="T46" s="50">
        <v>2.6</v>
      </c>
      <c r="U46" s="50">
        <v>2.6</v>
      </c>
      <c r="V46" s="50">
        <v>2.6</v>
      </c>
      <c r="W46" s="50">
        <v>2.6</v>
      </c>
      <c r="X46" s="50">
        <v>2.6</v>
      </c>
      <c r="Y46" s="50">
        <v>2.6</v>
      </c>
      <c r="Z46" s="50">
        <v>2.6</v>
      </c>
      <c r="AA46" s="50">
        <v>2.6</v>
      </c>
      <c r="AB46" s="50">
        <v>2.6</v>
      </c>
      <c r="AC46" s="50">
        <v>2.6</v>
      </c>
      <c r="AD46" s="50">
        <v>2.6</v>
      </c>
      <c r="AE46" s="50">
        <v>2.6</v>
      </c>
      <c r="AF46" s="50">
        <v>2.6</v>
      </c>
      <c r="AG46" s="67">
        <v>15</v>
      </c>
      <c r="AH46" s="54">
        <f t="shared" si="2"/>
        <v>2.6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12</v>
      </c>
      <c r="C47" s="50">
        <v>12</v>
      </c>
      <c r="D47" s="50">
        <v>12</v>
      </c>
      <c r="E47" s="50">
        <v>12</v>
      </c>
      <c r="F47" s="50">
        <v>12</v>
      </c>
      <c r="G47" s="50">
        <v>12</v>
      </c>
      <c r="H47" s="50">
        <v>12</v>
      </c>
      <c r="I47" s="50">
        <v>12</v>
      </c>
      <c r="J47" s="50">
        <v>12</v>
      </c>
      <c r="K47" s="50">
        <v>12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13.6</v>
      </c>
      <c r="S47" s="50">
        <v>13.6</v>
      </c>
      <c r="T47" s="50">
        <v>13.6</v>
      </c>
      <c r="U47" s="50">
        <v>13.6</v>
      </c>
      <c r="V47" s="50">
        <v>13.6</v>
      </c>
      <c r="W47" s="50">
        <v>13.6</v>
      </c>
      <c r="X47" s="50">
        <v>13.6</v>
      </c>
      <c r="Y47" s="50">
        <v>13.6</v>
      </c>
      <c r="Z47" s="50">
        <v>13.6</v>
      </c>
      <c r="AA47" s="50">
        <v>13.6</v>
      </c>
      <c r="AB47" s="50">
        <v>13.6</v>
      </c>
      <c r="AC47" s="50">
        <v>13.6</v>
      </c>
      <c r="AD47" s="50">
        <v>13.6</v>
      </c>
      <c r="AE47" s="50">
        <v>13.6</v>
      </c>
      <c r="AF47" s="50">
        <v>13.6</v>
      </c>
      <c r="AG47" s="67">
        <v>14.1</v>
      </c>
      <c r="AH47" s="54">
        <f t="shared" si="2"/>
        <v>13.6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</v>
      </c>
      <c r="C48" s="50">
        <v>6</v>
      </c>
      <c r="D48" s="50">
        <v>6</v>
      </c>
      <c r="E48" s="50">
        <v>6</v>
      </c>
      <c r="F48" s="50">
        <v>6</v>
      </c>
      <c r="G48" s="50">
        <v>6</v>
      </c>
      <c r="H48" s="50">
        <v>6</v>
      </c>
      <c r="I48" s="50">
        <v>6</v>
      </c>
      <c r="J48" s="50">
        <v>6</v>
      </c>
      <c r="K48" s="50">
        <v>6</v>
      </c>
      <c r="L48" s="50">
        <v>6</v>
      </c>
      <c r="M48" s="50">
        <v>6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7">
        <v>14</v>
      </c>
      <c r="AH48" s="54">
        <f t="shared" si="2"/>
        <v>6</v>
      </c>
      <c r="AI48" s="55">
        <f t="shared" si="3"/>
        <v>0</v>
      </c>
      <c r="AK48" s="56"/>
    </row>
    <row r="49" spans="1:37" x14ac:dyDescent="0.25">
      <c r="A49" s="66" t="s">
        <v>57</v>
      </c>
      <c r="B49" s="50">
        <v>8</v>
      </c>
      <c r="C49" s="50">
        <v>8</v>
      </c>
      <c r="D49" s="50">
        <v>8</v>
      </c>
      <c r="E49" s="50">
        <v>8</v>
      </c>
      <c r="F49" s="50">
        <v>8</v>
      </c>
      <c r="G49" s="50">
        <v>8</v>
      </c>
      <c r="H49" s="50">
        <v>8</v>
      </c>
      <c r="I49" s="50">
        <v>8</v>
      </c>
      <c r="J49" s="50">
        <v>8</v>
      </c>
      <c r="K49" s="50">
        <v>8</v>
      </c>
      <c r="L49" s="50">
        <v>8</v>
      </c>
      <c r="M49" s="50">
        <v>8</v>
      </c>
      <c r="N49" s="50">
        <v>8</v>
      </c>
      <c r="O49" s="50">
        <v>8</v>
      </c>
      <c r="P49" s="50">
        <v>8</v>
      </c>
      <c r="Q49" s="50">
        <v>7.8</v>
      </c>
      <c r="R49" s="50">
        <v>7.8</v>
      </c>
      <c r="S49" s="50">
        <v>7.8</v>
      </c>
      <c r="T49" s="50">
        <v>7.8</v>
      </c>
      <c r="U49" s="50">
        <v>7.8</v>
      </c>
      <c r="V49" s="50">
        <v>7.8</v>
      </c>
      <c r="W49" s="50">
        <v>7.8</v>
      </c>
      <c r="X49" s="50">
        <v>7.8</v>
      </c>
      <c r="Y49" s="50">
        <v>7.8</v>
      </c>
      <c r="Z49" s="50">
        <v>7.8</v>
      </c>
      <c r="AA49" s="50">
        <v>7.8</v>
      </c>
      <c r="AB49" s="50">
        <v>7.8</v>
      </c>
      <c r="AC49" s="50">
        <v>7.8</v>
      </c>
      <c r="AD49" s="50">
        <v>7.8</v>
      </c>
      <c r="AE49" s="50">
        <v>7.8</v>
      </c>
      <c r="AF49" s="50">
        <v>7.8</v>
      </c>
      <c r="AG49" s="67">
        <v>10.050000000000001</v>
      </c>
      <c r="AH49" s="54">
        <f t="shared" si="2"/>
        <v>8</v>
      </c>
      <c r="AI49" s="55">
        <f t="shared" si="3"/>
        <v>7.8</v>
      </c>
      <c r="AK49" s="56"/>
    </row>
    <row r="50" spans="1:37" x14ac:dyDescent="0.25">
      <c r="A50" s="66" t="s">
        <v>58</v>
      </c>
      <c r="B50" s="50">
        <v>4.4000000000000004</v>
      </c>
      <c r="C50" s="50">
        <v>4.4000000000000004</v>
      </c>
      <c r="D50" s="50">
        <v>4.4000000000000004</v>
      </c>
      <c r="E50" s="50">
        <v>4.4000000000000004</v>
      </c>
      <c r="F50" s="50">
        <v>4.4000000000000004</v>
      </c>
      <c r="G50" s="50">
        <v>4.4000000000000004</v>
      </c>
      <c r="H50" s="50">
        <v>4.4000000000000004</v>
      </c>
      <c r="I50" s="50">
        <v>4.4000000000000004</v>
      </c>
      <c r="J50" s="50">
        <v>4.4000000000000004</v>
      </c>
      <c r="K50" s="50">
        <v>4.4000000000000004</v>
      </c>
      <c r="L50" s="50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205.34</v>
      </c>
      <c r="C52" s="72">
        <f t="shared" ref="C52:AF52" si="8">SUM(C39:C51)</f>
        <v>178.44</v>
      </c>
      <c r="D52" s="72">
        <f t="shared" si="8"/>
        <v>172.34</v>
      </c>
      <c r="E52" s="72">
        <f t="shared" si="8"/>
        <v>172.14</v>
      </c>
      <c r="F52" s="72">
        <f t="shared" si="8"/>
        <v>189.04</v>
      </c>
      <c r="G52" s="72">
        <f t="shared" si="8"/>
        <v>236.24</v>
      </c>
      <c r="H52" s="72">
        <f t="shared" si="8"/>
        <v>266.64</v>
      </c>
      <c r="I52" s="72">
        <f t="shared" si="8"/>
        <v>290.94</v>
      </c>
      <c r="J52" s="72">
        <f t="shared" si="8"/>
        <v>379.54</v>
      </c>
      <c r="K52" s="72">
        <f t="shared" si="8"/>
        <v>412.84</v>
      </c>
      <c r="L52" s="72">
        <f t="shared" si="8"/>
        <v>424.03999999999996</v>
      </c>
      <c r="M52" s="72">
        <f t="shared" si="8"/>
        <v>425.84</v>
      </c>
      <c r="N52" s="72">
        <f t="shared" si="8"/>
        <v>421.74</v>
      </c>
      <c r="O52" s="72">
        <f t="shared" si="8"/>
        <v>402.74</v>
      </c>
      <c r="P52" s="72">
        <f t="shared" si="8"/>
        <v>377.84</v>
      </c>
      <c r="Q52" s="72">
        <f t="shared" si="8"/>
        <v>363.03999999999996</v>
      </c>
      <c r="R52" s="72">
        <f t="shared" si="8"/>
        <v>355.84000000000003</v>
      </c>
      <c r="S52" s="72">
        <f t="shared" si="8"/>
        <v>333.74000000000007</v>
      </c>
      <c r="T52" s="72">
        <f t="shared" si="8"/>
        <v>301.54000000000008</v>
      </c>
      <c r="U52" s="72">
        <f t="shared" si="8"/>
        <v>250.94</v>
      </c>
      <c r="V52" s="72">
        <f t="shared" si="8"/>
        <v>343.04000000000008</v>
      </c>
      <c r="W52" s="72">
        <f t="shared" si="8"/>
        <v>378.84000000000003</v>
      </c>
      <c r="X52" s="72">
        <v>425.74000000000007</v>
      </c>
      <c r="Y52" s="72">
        <f t="shared" si="8"/>
        <v>424.84000000000003</v>
      </c>
      <c r="Z52" s="72">
        <f t="shared" si="8"/>
        <v>407.64000000000004</v>
      </c>
      <c r="AA52" s="72">
        <f t="shared" si="8"/>
        <v>407.64000000000004</v>
      </c>
      <c r="AB52" s="72">
        <f t="shared" si="8"/>
        <v>394.14000000000004</v>
      </c>
      <c r="AC52" s="72">
        <f t="shared" si="8"/>
        <v>349.04</v>
      </c>
      <c r="AD52" s="72">
        <f t="shared" si="8"/>
        <v>330.04000000000008</v>
      </c>
      <c r="AE52" s="72">
        <f t="shared" si="8"/>
        <v>305.94000000000005</v>
      </c>
      <c r="AF52" s="72">
        <f t="shared" si="8"/>
        <v>295.94000000000005</v>
      </c>
      <c r="AG52" s="78">
        <f>SUM(AG39:AG51)</f>
        <v>489.91</v>
      </c>
      <c r="AH52" s="54">
        <f t="shared" si="2"/>
        <v>425.84</v>
      </c>
      <c r="AI52" s="55">
        <f t="shared" si="3"/>
        <v>172.14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48.5</v>
      </c>
      <c r="L53" s="61">
        <v>41.7</v>
      </c>
      <c r="M53" s="79">
        <v>46.2</v>
      </c>
      <c r="N53" s="79">
        <v>29.3</v>
      </c>
      <c r="O53" s="79">
        <v>29.2</v>
      </c>
      <c r="P53" s="79">
        <v>29</v>
      </c>
      <c r="Q53" s="50">
        <v>24.4</v>
      </c>
      <c r="R53" s="50">
        <v>13.1</v>
      </c>
      <c r="S53" s="50">
        <v>0</v>
      </c>
      <c r="T53" s="50">
        <v>0</v>
      </c>
      <c r="U53" s="50">
        <v>0</v>
      </c>
      <c r="V53" s="50">
        <v>40</v>
      </c>
      <c r="W53" s="50">
        <v>50</v>
      </c>
      <c r="X53" s="50">
        <v>51.9</v>
      </c>
      <c r="Y53" s="50">
        <v>54.1</v>
      </c>
      <c r="Z53" s="50">
        <v>51.2</v>
      </c>
      <c r="AA53" s="50">
        <v>51.2</v>
      </c>
      <c r="AB53" s="50">
        <v>51.2</v>
      </c>
      <c r="AC53" s="50">
        <v>33.1</v>
      </c>
      <c r="AD53" s="50">
        <v>14.1</v>
      </c>
      <c r="AE53" s="50">
        <v>0</v>
      </c>
      <c r="AF53" s="50">
        <v>0</v>
      </c>
      <c r="AG53" s="62">
        <v>60</v>
      </c>
      <c r="AH53" s="54">
        <f t="shared" si="2"/>
        <v>54.1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21.5</v>
      </c>
      <c r="L54" s="61">
        <v>22</v>
      </c>
      <c r="M54" s="79">
        <v>19.8</v>
      </c>
      <c r="N54" s="79">
        <v>14.9</v>
      </c>
      <c r="O54" s="79">
        <v>15.3</v>
      </c>
      <c r="P54" s="79">
        <v>15</v>
      </c>
      <c r="Q54" s="73">
        <v>11.7</v>
      </c>
      <c r="R54" s="73">
        <v>16.2</v>
      </c>
      <c r="S54" s="50">
        <v>0</v>
      </c>
      <c r="T54" s="50">
        <v>0</v>
      </c>
      <c r="U54" s="50">
        <v>0</v>
      </c>
      <c r="V54" s="73">
        <v>20</v>
      </c>
      <c r="W54" s="73">
        <v>17.2</v>
      </c>
      <c r="X54" s="73">
        <v>24.3</v>
      </c>
      <c r="Y54" s="73">
        <v>27.1</v>
      </c>
      <c r="Z54" s="73">
        <v>24.5</v>
      </c>
      <c r="AA54" s="73">
        <v>24.5</v>
      </c>
      <c r="AB54" s="73">
        <v>24.5</v>
      </c>
      <c r="AC54" s="73">
        <v>26.8</v>
      </c>
      <c r="AD54" s="73">
        <v>8</v>
      </c>
      <c r="AE54" s="73">
        <v>0</v>
      </c>
      <c r="AF54" s="73">
        <v>0</v>
      </c>
      <c r="AG54" s="67">
        <v>32</v>
      </c>
      <c r="AH54" s="54">
        <f t="shared" si="2"/>
        <v>27.1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7.8</v>
      </c>
      <c r="L55" s="74">
        <v>8</v>
      </c>
      <c r="M55" s="81">
        <v>7.2</v>
      </c>
      <c r="N55" s="81">
        <v>5.4</v>
      </c>
      <c r="O55" s="81">
        <v>5.6</v>
      </c>
      <c r="P55" s="81">
        <v>5.6</v>
      </c>
      <c r="Q55" s="80">
        <v>4.3</v>
      </c>
      <c r="R55" s="80">
        <v>5.6</v>
      </c>
      <c r="S55" s="50">
        <v>0</v>
      </c>
      <c r="T55" s="50">
        <v>0</v>
      </c>
      <c r="U55" s="50">
        <v>0</v>
      </c>
      <c r="V55" s="80">
        <v>7.2</v>
      </c>
      <c r="W55" s="80">
        <v>6.3</v>
      </c>
      <c r="X55" s="80">
        <v>8.9</v>
      </c>
      <c r="Y55" s="80">
        <v>9.9</v>
      </c>
      <c r="Z55" s="80">
        <v>8.9</v>
      </c>
      <c r="AA55" s="80">
        <v>8.9</v>
      </c>
      <c r="AB55" s="80">
        <v>8.9</v>
      </c>
      <c r="AC55" s="80">
        <v>9.8000000000000007</v>
      </c>
      <c r="AD55" s="80">
        <v>2.9</v>
      </c>
      <c r="AE55" s="80">
        <v>0</v>
      </c>
      <c r="AF55" s="80">
        <v>0</v>
      </c>
      <c r="AG55" s="82">
        <v>14</v>
      </c>
      <c r="AH55" s="54">
        <f t="shared" si="2"/>
        <v>9.9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9">SUM(D53:D55)</f>
        <v>0</v>
      </c>
      <c r="E56" s="72">
        <f t="shared" si="9"/>
        <v>0</v>
      </c>
      <c r="F56" s="72">
        <f t="shared" si="9"/>
        <v>0</v>
      </c>
      <c r="G56" s="72">
        <f t="shared" si="9"/>
        <v>0</v>
      </c>
      <c r="H56" s="72">
        <f t="shared" si="9"/>
        <v>0</v>
      </c>
      <c r="I56" s="72">
        <f t="shared" si="9"/>
        <v>0</v>
      </c>
      <c r="J56" s="72">
        <f t="shared" si="9"/>
        <v>0</v>
      </c>
      <c r="K56" s="72">
        <f t="shared" si="9"/>
        <v>77.8</v>
      </c>
      <c r="L56" s="72">
        <f t="shared" si="9"/>
        <v>71.7</v>
      </c>
      <c r="M56" s="72">
        <f t="shared" si="9"/>
        <v>73.2</v>
      </c>
      <c r="N56" s="72">
        <f t="shared" si="9"/>
        <v>49.6</v>
      </c>
      <c r="O56" s="72">
        <f t="shared" si="9"/>
        <v>50.1</v>
      </c>
      <c r="P56" s="72">
        <f t="shared" si="9"/>
        <v>49.6</v>
      </c>
      <c r="Q56" s="72">
        <f t="shared" si="9"/>
        <v>40.399999999999991</v>
      </c>
      <c r="R56" s="72">
        <f t="shared" si="9"/>
        <v>34.9</v>
      </c>
      <c r="S56" s="72">
        <f t="shared" si="9"/>
        <v>0</v>
      </c>
      <c r="T56" s="72">
        <f t="shared" si="9"/>
        <v>0</v>
      </c>
      <c r="U56" s="72">
        <f t="shared" si="9"/>
        <v>0</v>
      </c>
      <c r="V56" s="72">
        <f t="shared" si="9"/>
        <v>67.2</v>
      </c>
      <c r="W56" s="72">
        <f t="shared" si="9"/>
        <v>73.5</v>
      </c>
      <c r="X56" s="72">
        <v>85.100000000000009</v>
      </c>
      <c r="Y56" s="72">
        <f t="shared" si="9"/>
        <v>91.100000000000009</v>
      </c>
      <c r="Z56" s="72">
        <f t="shared" si="9"/>
        <v>84.600000000000009</v>
      </c>
      <c r="AA56" s="72">
        <f t="shared" si="9"/>
        <v>84.600000000000009</v>
      </c>
      <c r="AB56" s="72">
        <f t="shared" si="9"/>
        <v>84.600000000000009</v>
      </c>
      <c r="AC56" s="72">
        <f t="shared" si="9"/>
        <v>69.7</v>
      </c>
      <c r="AD56" s="72">
        <f t="shared" si="9"/>
        <v>25</v>
      </c>
      <c r="AE56" s="72">
        <f t="shared" si="9"/>
        <v>0</v>
      </c>
      <c r="AF56" s="72">
        <f t="shared" si="9"/>
        <v>0</v>
      </c>
      <c r="AG56" s="78">
        <f>SUM(AG53:AG55)</f>
        <v>106</v>
      </c>
      <c r="AH56" s="54">
        <f t="shared" si="2"/>
        <v>91.100000000000009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52.57</v>
      </c>
      <c r="C57" s="50">
        <v>63.44</v>
      </c>
      <c r="D57" s="50">
        <v>59</v>
      </c>
      <c r="E57" s="50">
        <v>42</v>
      </c>
      <c r="F57" s="50">
        <v>46.7</v>
      </c>
      <c r="G57" s="50">
        <v>58.5</v>
      </c>
      <c r="H57" s="50">
        <v>66.81</v>
      </c>
      <c r="I57" s="50">
        <v>76.47</v>
      </c>
      <c r="J57" s="50">
        <v>59.82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50.2</v>
      </c>
      <c r="AG57" s="62"/>
      <c r="AH57" s="54">
        <f t="shared" si="2"/>
        <v>76.47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78.5</v>
      </c>
      <c r="Y58" s="83">
        <v>76.5</v>
      </c>
      <c r="Z58" s="83">
        <v>75</v>
      </c>
      <c r="AA58" s="83">
        <v>65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78.5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90.4</v>
      </c>
      <c r="C59" s="73">
        <v>84.2</v>
      </c>
      <c r="D59" s="73">
        <v>67.3</v>
      </c>
      <c r="E59" s="73">
        <v>90.9</v>
      </c>
      <c r="F59" s="73">
        <v>82.1</v>
      </c>
      <c r="G59" s="73">
        <v>78.400000000000006</v>
      </c>
      <c r="H59" s="50">
        <v>77.3</v>
      </c>
      <c r="I59" s="50">
        <v>180</v>
      </c>
      <c r="J59" s="50">
        <v>192.8</v>
      </c>
      <c r="K59" s="50">
        <v>207</v>
      </c>
      <c r="L59" s="50">
        <v>125.5</v>
      </c>
      <c r="M59" s="73">
        <v>146.19999999999999</v>
      </c>
      <c r="N59" s="73">
        <v>121.6</v>
      </c>
      <c r="O59" s="73">
        <v>132</v>
      </c>
      <c r="P59" s="73">
        <v>310</v>
      </c>
      <c r="Q59" s="73">
        <v>319.10000000000002</v>
      </c>
      <c r="R59" s="73">
        <v>299</v>
      </c>
      <c r="S59" s="73">
        <v>284</v>
      </c>
      <c r="T59" s="73">
        <v>284</v>
      </c>
      <c r="U59" s="73">
        <v>330</v>
      </c>
      <c r="V59" s="73">
        <v>120</v>
      </c>
      <c r="W59" s="73">
        <v>117</v>
      </c>
      <c r="X59" s="84">
        <v>2.7</v>
      </c>
      <c r="Y59" s="84">
        <v>0</v>
      </c>
      <c r="Z59" s="84">
        <v>11</v>
      </c>
      <c r="AA59" s="84">
        <v>0</v>
      </c>
      <c r="AB59" s="73">
        <v>192</v>
      </c>
      <c r="AC59" s="73">
        <v>192</v>
      </c>
      <c r="AD59" s="73">
        <v>143</v>
      </c>
      <c r="AE59" s="73">
        <v>196.1</v>
      </c>
      <c r="AF59" s="73">
        <v>90</v>
      </c>
      <c r="AG59" s="85"/>
      <c r="AH59" s="54">
        <f t="shared" si="2"/>
        <v>330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15</v>
      </c>
      <c r="C60" s="58">
        <v>14</v>
      </c>
      <c r="D60" s="58">
        <v>8</v>
      </c>
      <c r="E60" s="58">
        <v>8</v>
      </c>
      <c r="F60" s="58">
        <v>8</v>
      </c>
      <c r="G60" s="58">
        <v>8</v>
      </c>
      <c r="H60" s="58">
        <v>8</v>
      </c>
      <c r="I60" s="58">
        <v>8</v>
      </c>
      <c r="J60" s="58">
        <v>8</v>
      </c>
      <c r="K60" s="58">
        <v>53</v>
      </c>
      <c r="L60" s="58">
        <v>52</v>
      </c>
      <c r="M60" s="73">
        <v>53</v>
      </c>
      <c r="N60" s="73">
        <v>54</v>
      </c>
      <c r="O60" s="73">
        <v>53</v>
      </c>
      <c r="P60" s="73">
        <v>54</v>
      </c>
      <c r="Q60" s="73">
        <v>52</v>
      </c>
      <c r="R60" s="73">
        <v>52</v>
      </c>
      <c r="S60" s="73">
        <v>53</v>
      </c>
      <c r="T60" s="73">
        <v>53</v>
      </c>
      <c r="U60" s="73">
        <v>53</v>
      </c>
      <c r="V60" s="73">
        <v>53</v>
      </c>
      <c r="W60" s="73">
        <v>53</v>
      </c>
      <c r="X60" s="73">
        <v>56</v>
      </c>
      <c r="Y60" s="73">
        <v>56</v>
      </c>
      <c r="Z60" s="73">
        <v>53</v>
      </c>
      <c r="AA60" s="73">
        <v>53</v>
      </c>
      <c r="AB60" s="73">
        <v>53</v>
      </c>
      <c r="AC60" s="73">
        <v>53</v>
      </c>
      <c r="AD60" s="73">
        <v>53</v>
      </c>
      <c r="AE60" s="73">
        <v>0</v>
      </c>
      <c r="AF60" s="73">
        <v>0</v>
      </c>
      <c r="AG60" s="85"/>
      <c r="AH60" s="54">
        <f t="shared" si="2"/>
        <v>56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68</v>
      </c>
      <c r="C61" s="58">
        <v>65</v>
      </c>
      <c r="D61" s="58">
        <v>56.8</v>
      </c>
      <c r="E61" s="58">
        <v>66.599999999999994</v>
      </c>
      <c r="F61" s="58">
        <v>67.400000000000006</v>
      </c>
      <c r="G61" s="58">
        <v>61.9</v>
      </c>
      <c r="H61" s="58">
        <v>63.2</v>
      </c>
      <c r="I61" s="58">
        <v>0</v>
      </c>
      <c r="J61" s="58">
        <v>0</v>
      </c>
      <c r="K61" s="58">
        <v>0</v>
      </c>
      <c r="L61" s="58">
        <v>55.1</v>
      </c>
      <c r="M61" s="50">
        <v>55</v>
      </c>
      <c r="N61" s="50">
        <v>42.1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61</v>
      </c>
      <c r="X61" s="50">
        <v>78.2</v>
      </c>
      <c r="Y61" s="50">
        <v>69.7</v>
      </c>
      <c r="Z61" s="50">
        <v>52.2</v>
      </c>
      <c r="AA61" s="50">
        <v>52.2</v>
      </c>
      <c r="AB61" s="50">
        <v>68</v>
      </c>
      <c r="AC61" s="50">
        <v>68</v>
      </c>
      <c r="AD61" s="50">
        <v>62.5</v>
      </c>
      <c r="AE61" s="50">
        <v>0</v>
      </c>
      <c r="AF61" s="50">
        <v>0</v>
      </c>
      <c r="AG61" s="85"/>
      <c r="AH61" s="54">
        <f t="shared" si="2"/>
        <v>78.2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5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5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0">
        <v>0</v>
      </c>
      <c r="W64" s="60">
        <v>0</v>
      </c>
      <c r="X64" s="58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0">
        <v>0</v>
      </c>
      <c r="W65" s="60">
        <v>0</v>
      </c>
      <c r="X65" s="58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50">
        <v>0</v>
      </c>
      <c r="W66" s="60">
        <v>0</v>
      </c>
      <c r="X66" s="63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50">
        <v>0</v>
      </c>
      <c r="W67" s="60">
        <v>0</v>
      </c>
      <c r="X67" s="63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225.97</v>
      </c>
      <c r="C68" s="72">
        <f>SUM(C57:C67)</f>
        <v>226.64</v>
      </c>
      <c r="D68" s="72">
        <f t="shared" ref="D68:AF68" si="10">SUM(D57:D67)</f>
        <v>191.10000000000002</v>
      </c>
      <c r="E68" s="72">
        <f t="shared" si="10"/>
        <v>207.5</v>
      </c>
      <c r="F68" s="72">
        <f t="shared" si="10"/>
        <v>204.20000000000002</v>
      </c>
      <c r="G68" s="72">
        <f t="shared" si="10"/>
        <v>206.8</v>
      </c>
      <c r="H68" s="72">
        <f t="shared" si="10"/>
        <v>215.31</v>
      </c>
      <c r="I68" s="72">
        <f t="shared" si="10"/>
        <v>264.47000000000003</v>
      </c>
      <c r="J68" s="72">
        <f t="shared" si="10"/>
        <v>260.62</v>
      </c>
      <c r="K68" s="72">
        <f t="shared" si="10"/>
        <v>260</v>
      </c>
      <c r="L68" s="72">
        <f t="shared" si="10"/>
        <v>232.6</v>
      </c>
      <c r="M68" s="72">
        <f t="shared" si="10"/>
        <v>254.2</v>
      </c>
      <c r="N68" s="72">
        <f>SUM(N57:N67)</f>
        <v>217.7</v>
      </c>
      <c r="O68" s="72">
        <f t="shared" si="10"/>
        <v>185</v>
      </c>
      <c r="P68" s="72">
        <f t="shared" si="10"/>
        <v>364</v>
      </c>
      <c r="Q68" s="72">
        <f t="shared" si="10"/>
        <v>371.1</v>
      </c>
      <c r="R68" s="72">
        <f t="shared" si="10"/>
        <v>351</v>
      </c>
      <c r="S68" s="72">
        <f t="shared" si="10"/>
        <v>337</v>
      </c>
      <c r="T68" s="72">
        <f t="shared" si="10"/>
        <v>337</v>
      </c>
      <c r="U68" s="72">
        <f t="shared" si="10"/>
        <v>383</v>
      </c>
      <c r="V68" s="72">
        <f t="shared" si="10"/>
        <v>173</v>
      </c>
      <c r="W68" s="72">
        <f t="shared" si="10"/>
        <v>231</v>
      </c>
      <c r="X68" s="72">
        <f t="shared" si="10"/>
        <v>215.39999999999998</v>
      </c>
      <c r="Y68" s="72">
        <f t="shared" si="10"/>
        <v>202.2</v>
      </c>
      <c r="Z68" s="72">
        <f t="shared" si="10"/>
        <v>191.2</v>
      </c>
      <c r="AA68" s="72">
        <f t="shared" si="10"/>
        <v>170.2</v>
      </c>
      <c r="AB68" s="72">
        <f t="shared" si="10"/>
        <v>313</v>
      </c>
      <c r="AC68" s="72">
        <f t="shared" si="10"/>
        <v>313</v>
      </c>
      <c r="AD68" s="72">
        <f t="shared" si="10"/>
        <v>258.5</v>
      </c>
      <c r="AE68" s="72">
        <f t="shared" si="10"/>
        <v>196.1</v>
      </c>
      <c r="AF68" s="72">
        <f t="shared" si="10"/>
        <v>140.19999999999999</v>
      </c>
      <c r="AG68" s="78">
        <f>SUM(AG57:AG67)</f>
        <v>0</v>
      </c>
      <c r="AH68" s="54">
        <f t="shared" si="2"/>
        <v>383</v>
      </c>
      <c r="AI68" s="55">
        <f t="shared" si="3"/>
        <v>140.19999999999999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926.51</v>
      </c>
      <c r="C73" s="89">
        <f>C68+C56+C52+C38+C72</f>
        <v>888.28</v>
      </c>
      <c r="D73" s="89">
        <f t="shared" ref="D73:AG73" si="12">D68+D56+D52+D38+D72</f>
        <v>846.6400000000001</v>
      </c>
      <c r="E73" s="89">
        <f t="shared" si="12"/>
        <v>862.83999999999992</v>
      </c>
      <c r="F73" s="89">
        <f t="shared" si="12"/>
        <v>876.44</v>
      </c>
      <c r="G73" s="89">
        <f t="shared" si="12"/>
        <v>945.33999999999992</v>
      </c>
      <c r="H73" s="89">
        <f t="shared" si="12"/>
        <v>1023.1499999999999</v>
      </c>
      <c r="I73" s="89">
        <f t="shared" si="12"/>
        <v>1120.6100000000001</v>
      </c>
      <c r="J73" s="89">
        <f t="shared" si="12"/>
        <v>1255.3600000000001</v>
      </c>
      <c r="K73" s="89">
        <f t="shared" si="12"/>
        <v>1405.8400000000001</v>
      </c>
      <c r="L73" s="89">
        <f t="shared" si="12"/>
        <v>1473.54</v>
      </c>
      <c r="M73" s="89">
        <f t="shared" si="12"/>
        <v>1518.44</v>
      </c>
      <c r="N73" s="89">
        <f t="shared" si="12"/>
        <v>1400.04</v>
      </c>
      <c r="O73" s="89">
        <f t="shared" si="12"/>
        <v>1329.6399999999999</v>
      </c>
      <c r="P73" s="89">
        <f t="shared" si="12"/>
        <v>1280.3400000000001</v>
      </c>
      <c r="Q73" s="89">
        <f t="shared" si="12"/>
        <v>1243.44</v>
      </c>
      <c r="R73" s="89">
        <f t="shared" si="12"/>
        <v>1210.1399999999999</v>
      </c>
      <c r="S73" s="89">
        <f t="shared" si="12"/>
        <v>1178.8399999999999</v>
      </c>
      <c r="T73" s="89">
        <f t="shared" si="12"/>
        <v>1127.3400000000001</v>
      </c>
      <c r="U73" s="89">
        <f t="shared" si="12"/>
        <v>1120.04</v>
      </c>
      <c r="V73" s="89">
        <f t="shared" si="12"/>
        <v>1267.04</v>
      </c>
      <c r="W73" s="89">
        <f t="shared" si="12"/>
        <v>1492.3400000000001</v>
      </c>
      <c r="X73" s="89">
        <f t="shared" si="12"/>
        <v>1571.3400000000001</v>
      </c>
      <c r="Y73" s="89">
        <f t="shared" si="12"/>
        <v>1563.2400000000002</v>
      </c>
      <c r="Z73" s="89">
        <f t="shared" si="12"/>
        <v>1488.5400000000002</v>
      </c>
      <c r="AA73" s="89">
        <f t="shared" si="12"/>
        <v>1477.5400000000002</v>
      </c>
      <c r="AB73" s="89">
        <f t="shared" si="12"/>
        <v>1416.84</v>
      </c>
      <c r="AC73" s="89">
        <f t="shared" si="12"/>
        <v>1326.84</v>
      </c>
      <c r="AD73" s="89">
        <f t="shared" si="12"/>
        <v>1258.6399999999999</v>
      </c>
      <c r="AE73" s="89">
        <f t="shared" si="12"/>
        <v>1067.1400000000001</v>
      </c>
      <c r="AF73" s="89">
        <f t="shared" si="12"/>
        <v>991.24</v>
      </c>
      <c r="AG73" s="89">
        <f t="shared" si="12"/>
        <v>2144.14</v>
      </c>
      <c r="AH73" s="54">
        <f t="shared" si="2"/>
        <v>1571.3400000000001</v>
      </c>
      <c r="AI73" s="55">
        <f t="shared" si="3"/>
        <v>846.6400000000001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926.51</v>
      </c>
      <c r="C75" s="89">
        <f>C73+C74</f>
        <v>888.28</v>
      </c>
      <c r="D75" s="89">
        <f t="shared" ref="D75:AF75" si="13">D72+D68+D56+D52+D38+D74</f>
        <v>846.6400000000001</v>
      </c>
      <c r="E75" s="89">
        <f t="shared" si="13"/>
        <v>862.83999999999992</v>
      </c>
      <c r="F75" s="89">
        <f t="shared" si="13"/>
        <v>876.44</v>
      </c>
      <c r="G75" s="89">
        <f t="shared" si="13"/>
        <v>945.33999999999992</v>
      </c>
      <c r="H75" s="89">
        <f t="shared" si="13"/>
        <v>1023.1499999999999</v>
      </c>
      <c r="I75" s="89">
        <f t="shared" si="13"/>
        <v>1120.6100000000001</v>
      </c>
      <c r="J75" s="89">
        <f t="shared" si="13"/>
        <v>1255.3600000000001</v>
      </c>
      <c r="K75" s="89">
        <f t="shared" si="13"/>
        <v>1405.8400000000001</v>
      </c>
      <c r="L75" s="89">
        <f t="shared" si="13"/>
        <v>1473.54</v>
      </c>
      <c r="M75" s="89">
        <f t="shared" si="13"/>
        <v>1518.44</v>
      </c>
      <c r="N75" s="89">
        <f t="shared" si="13"/>
        <v>1400.04</v>
      </c>
      <c r="O75" s="89">
        <f t="shared" si="13"/>
        <v>1329.6399999999999</v>
      </c>
      <c r="P75" s="89">
        <f t="shared" si="13"/>
        <v>1280.3400000000001</v>
      </c>
      <c r="Q75" s="89">
        <f t="shared" si="13"/>
        <v>1243.44</v>
      </c>
      <c r="R75" s="89">
        <f t="shared" si="13"/>
        <v>1210.1399999999999</v>
      </c>
      <c r="S75" s="89">
        <f t="shared" si="13"/>
        <v>1178.8399999999999</v>
      </c>
      <c r="T75" s="89">
        <f t="shared" si="13"/>
        <v>1127.3400000000001</v>
      </c>
      <c r="U75" s="89">
        <f t="shared" si="13"/>
        <v>1120.04</v>
      </c>
      <c r="V75" s="89">
        <f t="shared" si="13"/>
        <v>1267.04</v>
      </c>
      <c r="W75" s="89">
        <f t="shared" si="13"/>
        <v>1492.3400000000001</v>
      </c>
      <c r="X75" s="89">
        <f t="shared" si="13"/>
        <v>1571.3400000000001</v>
      </c>
      <c r="Y75" s="89">
        <f t="shared" si="13"/>
        <v>1563.2400000000002</v>
      </c>
      <c r="Z75" s="89">
        <f t="shared" si="13"/>
        <v>1488.5400000000002</v>
      </c>
      <c r="AA75" s="89">
        <f t="shared" si="13"/>
        <v>1477.5400000000002</v>
      </c>
      <c r="AB75" s="89">
        <f t="shared" si="13"/>
        <v>1416.84</v>
      </c>
      <c r="AC75" s="89">
        <f t="shared" si="13"/>
        <v>1326.84</v>
      </c>
      <c r="AD75" s="89">
        <f t="shared" si="13"/>
        <v>1258.6399999999999</v>
      </c>
      <c r="AE75" s="89">
        <f t="shared" si="13"/>
        <v>1067.1400000000001</v>
      </c>
      <c r="AF75" s="89">
        <f t="shared" si="13"/>
        <v>991.24</v>
      </c>
      <c r="AG75" s="78">
        <f>AG72+AG68+AG56+AG52+AG38+AG74</f>
        <v>2144.14</v>
      </c>
      <c r="AH75" s="54">
        <f t="shared" si="2"/>
        <v>1571.3400000000001</v>
      </c>
      <c r="AI75" s="55">
        <f t="shared" si="3"/>
        <v>846.6400000000001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1853.02</v>
      </c>
      <c r="C83" s="72">
        <f t="shared" ref="C83:AG83" si="22">SUM(C70:C82)</f>
        <v>1776.56</v>
      </c>
      <c r="D83" s="72">
        <f t="shared" si="22"/>
        <v>1693.2800000000002</v>
      </c>
      <c r="E83" s="72">
        <f t="shared" si="22"/>
        <v>1725.6799999999998</v>
      </c>
      <c r="F83" s="72">
        <f t="shared" si="22"/>
        <v>1752.88</v>
      </c>
      <c r="G83" s="72">
        <f t="shared" si="22"/>
        <v>1890.6799999999998</v>
      </c>
      <c r="H83" s="72">
        <f t="shared" si="22"/>
        <v>2046.2999999999997</v>
      </c>
      <c r="I83" s="72">
        <f t="shared" si="22"/>
        <v>2241.2200000000003</v>
      </c>
      <c r="J83" s="72">
        <f t="shared" si="22"/>
        <v>2510.7200000000003</v>
      </c>
      <c r="K83" s="72">
        <f t="shared" si="22"/>
        <v>2811.6800000000003</v>
      </c>
      <c r="L83" s="72">
        <f t="shared" si="22"/>
        <v>2947.08</v>
      </c>
      <c r="M83" s="72">
        <f t="shared" si="22"/>
        <v>3036.88</v>
      </c>
      <c r="N83" s="72">
        <f t="shared" si="22"/>
        <v>2800.08</v>
      </c>
      <c r="O83" s="72">
        <f t="shared" si="22"/>
        <v>2659.2799999999997</v>
      </c>
      <c r="P83" s="72">
        <f t="shared" si="22"/>
        <v>2560.6800000000003</v>
      </c>
      <c r="Q83" s="72">
        <f t="shared" si="22"/>
        <v>2486.88</v>
      </c>
      <c r="R83" s="72">
        <f t="shared" si="22"/>
        <v>2420.2799999999997</v>
      </c>
      <c r="S83" s="72">
        <f t="shared" si="22"/>
        <v>2357.6799999999998</v>
      </c>
      <c r="T83" s="72">
        <f t="shared" si="22"/>
        <v>2254.6800000000003</v>
      </c>
      <c r="U83" s="72">
        <f t="shared" si="22"/>
        <v>2240.08</v>
      </c>
      <c r="V83" s="72">
        <f t="shared" si="22"/>
        <v>2534.08</v>
      </c>
      <c r="W83" s="72">
        <f t="shared" si="22"/>
        <v>2984.6800000000003</v>
      </c>
      <c r="X83" s="72">
        <f t="shared" si="22"/>
        <v>3142.6800000000003</v>
      </c>
      <c r="Y83" s="72">
        <f t="shared" si="22"/>
        <v>3126.4800000000005</v>
      </c>
      <c r="Z83" s="72">
        <f t="shared" si="22"/>
        <v>2977.0800000000004</v>
      </c>
      <c r="AA83" s="72">
        <f t="shared" si="22"/>
        <v>2955.0800000000004</v>
      </c>
      <c r="AB83" s="72">
        <f t="shared" si="22"/>
        <v>2833.68</v>
      </c>
      <c r="AC83" s="72">
        <f t="shared" si="22"/>
        <v>2653.68</v>
      </c>
      <c r="AD83" s="72">
        <f t="shared" si="22"/>
        <v>2517.2799999999997</v>
      </c>
      <c r="AE83" s="72">
        <f t="shared" si="22"/>
        <v>2134.2800000000002</v>
      </c>
      <c r="AF83" s="72">
        <f t="shared" si="22"/>
        <v>1982.48</v>
      </c>
      <c r="AG83" s="78">
        <f t="shared" si="22"/>
        <v>4360.08</v>
      </c>
      <c r="AH83" s="54">
        <f t="shared" si="15"/>
        <v>3142.6800000000003</v>
      </c>
      <c r="AI83" s="55">
        <f t="shared" si="16"/>
        <v>1693.2800000000002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49.941000000000003</v>
      </c>
      <c r="C84" s="95">
        <v>50.030999999999999</v>
      </c>
      <c r="D84" s="95">
        <v>49.99</v>
      </c>
      <c r="E84" s="95">
        <v>50.012</v>
      </c>
      <c r="F84" s="95">
        <v>50.005000000000003</v>
      </c>
      <c r="G84" s="95">
        <v>49.944000000000003</v>
      </c>
      <c r="H84" s="95">
        <v>49.985999999999997</v>
      </c>
      <c r="I84" s="95">
        <v>50.02</v>
      </c>
      <c r="J84" s="95">
        <v>50.026000000000003</v>
      </c>
      <c r="K84" s="95">
        <v>49.826999999999998</v>
      </c>
      <c r="L84" s="95">
        <v>49.851999999999997</v>
      </c>
      <c r="M84" s="95">
        <v>49.860999999999997</v>
      </c>
      <c r="N84" s="95">
        <v>49.941000000000003</v>
      </c>
      <c r="O84" s="95">
        <v>49.935000000000002</v>
      </c>
      <c r="P84" s="95">
        <v>49.941000000000003</v>
      </c>
      <c r="Q84" s="95">
        <v>49.923000000000002</v>
      </c>
      <c r="R84" s="95">
        <v>49.994999999999997</v>
      </c>
      <c r="S84" s="95">
        <v>50.008000000000003</v>
      </c>
      <c r="T84" s="95">
        <v>49.865000000000002</v>
      </c>
      <c r="U84" s="95">
        <v>50.04</v>
      </c>
      <c r="V84" s="95">
        <v>49.941000000000003</v>
      </c>
      <c r="W84" s="95">
        <v>50.094000000000001</v>
      </c>
      <c r="X84" s="95">
        <v>50.000999999999998</v>
      </c>
      <c r="Y84" s="95">
        <v>49.935000000000002</v>
      </c>
      <c r="Z84" s="95">
        <v>50.036000000000001</v>
      </c>
      <c r="AA84" s="95">
        <v>50.036000000000001</v>
      </c>
      <c r="AB84" s="95">
        <v>49.96</v>
      </c>
      <c r="AC84" s="95">
        <v>50.02</v>
      </c>
      <c r="AD84" s="95">
        <v>49.98</v>
      </c>
      <c r="AE84" s="95">
        <v>50.01</v>
      </c>
      <c r="AF84" s="95">
        <v>49.96</v>
      </c>
      <c r="AG84" s="96"/>
      <c r="AH84" s="54">
        <f t="shared" si="15"/>
        <v>50.094000000000001</v>
      </c>
      <c r="AI84" s="55">
        <f t="shared" si="16"/>
        <v>49.826999999999998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130</v>
      </c>
      <c r="C85" s="73">
        <v>131.1</v>
      </c>
      <c r="D85" s="73">
        <v>130.5</v>
      </c>
      <c r="E85" s="73">
        <v>130.1</v>
      </c>
      <c r="F85" s="73">
        <v>129.69999999999999</v>
      </c>
      <c r="G85" s="73">
        <v>129.6</v>
      </c>
      <c r="H85" s="73">
        <v>128.69999999999999</v>
      </c>
      <c r="I85" s="73">
        <v>127.5</v>
      </c>
      <c r="J85" s="73">
        <v>121.8</v>
      </c>
      <c r="K85" s="73">
        <v>125.3</v>
      </c>
      <c r="L85" s="73">
        <v>123.4</v>
      </c>
      <c r="M85" s="73">
        <v>122.5</v>
      </c>
      <c r="N85" s="73">
        <v>123.8</v>
      </c>
      <c r="O85" s="73">
        <v>122.1</v>
      </c>
      <c r="P85" s="73">
        <v>122.7</v>
      </c>
      <c r="Q85" s="73">
        <v>122.6</v>
      </c>
      <c r="R85" s="73">
        <v>123.6</v>
      </c>
      <c r="S85" s="73">
        <v>122.5</v>
      </c>
      <c r="T85" s="73">
        <v>123.6</v>
      </c>
      <c r="U85" s="98">
        <v>125.2</v>
      </c>
      <c r="V85" s="98">
        <v>125.9</v>
      </c>
      <c r="W85" s="98">
        <v>123.5</v>
      </c>
      <c r="X85" s="98">
        <v>125.4</v>
      </c>
      <c r="Y85" s="98">
        <v>125.3</v>
      </c>
      <c r="Z85" s="98">
        <v>124.6</v>
      </c>
      <c r="AA85" s="98">
        <v>124.6</v>
      </c>
      <c r="AB85" s="98">
        <v>127.1</v>
      </c>
      <c r="AC85" s="98">
        <v>125.6</v>
      </c>
      <c r="AD85" s="98">
        <v>126.1</v>
      </c>
      <c r="AE85" s="73">
        <v>124</v>
      </c>
      <c r="AF85" s="73">
        <v>126.3</v>
      </c>
      <c r="AG85" s="99"/>
      <c r="AH85" s="54">
        <f t="shared" si="15"/>
        <v>131.1</v>
      </c>
      <c r="AI85" s="55">
        <f t="shared" si="16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132.9</v>
      </c>
      <c r="C86" s="73">
        <v>132.9</v>
      </c>
      <c r="D86" s="73">
        <v>133.1</v>
      </c>
      <c r="E86" s="73">
        <v>132.9</v>
      </c>
      <c r="F86" s="73">
        <v>132.69999999999999</v>
      </c>
      <c r="G86" s="73">
        <v>132.4</v>
      </c>
      <c r="H86" s="73">
        <v>131.1</v>
      </c>
      <c r="I86" s="73">
        <v>129.9</v>
      </c>
      <c r="J86" s="73">
        <v>125.6</v>
      </c>
      <c r="K86" s="73">
        <v>126.8</v>
      </c>
      <c r="L86" s="73">
        <v>125</v>
      </c>
      <c r="M86" s="73">
        <v>124.4</v>
      </c>
      <c r="N86" s="73">
        <v>125.2</v>
      </c>
      <c r="O86" s="73">
        <v>124.3</v>
      </c>
      <c r="P86" s="73">
        <v>125.6</v>
      </c>
      <c r="Q86" s="73">
        <v>125.2</v>
      </c>
      <c r="R86" s="73">
        <v>126.2</v>
      </c>
      <c r="S86" s="73">
        <v>125.4</v>
      </c>
      <c r="T86" s="73">
        <v>125.9</v>
      </c>
      <c r="U86" s="98">
        <v>127.1</v>
      </c>
      <c r="V86" s="98">
        <v>126.9</v>
      </c>
      <c r="W86" s="98">
        <v>125.2</v>
      </c>
      <c r="X86" s="98">
        <v>125.7</v>
      </c>
      <c r="Y86" s="98">
        <v>125.8</v>
      </c>
      <c r="Z86" s="98">
        <v>125.8</v>
      </c>
      <c r="AA86" s="98">
        <v>125.8</v>
      </c>
      <c r="AB86" s="98">
        <v>128.4</v>
      </c>
      <c r="AC86" s="98">
        <v>127.2</v>
      </c>
      <c r="AD86" s="98">
        <v>127.8</v>
      </c>
      <c r="AE86" s="73">
        <v>127.7</v>
      </c>
      <c r="AF86" s="73">
        <v>130</v>
      </c>
      <c r="AG86" s="99"/>
      <c r="AH86" s="54">
        <f t="shared" si="15"/>
        <v>133.1</v>
      </c>
      <c r="AI86" s="55">
        <f t="shared" si="16"/>
        <v>124.3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130.9</v>
      </c>
      <c r="C87" s="73">
        <v>130.6</v>
      </c>
      <c r="D87" s="73">
        <v>130.5</v>
      </c>
      <c r="E87" s="73">
        <v>130.30000000000001</v>
      </c>
      <c r="F87" s="73">
        <v>129.69999999999999</v>
      </c>
      <c r="G87" s="73">
        <v>127.4</v>
      </c>
      <c r="H87" s="73">
        <v>127.8</v>
      </c>
      <c r="I87" s="73">
        <v>126.5</v>
      </c>
      <c r="J87" s="73">
        <v>126.5</v>
      </c>
      <c r="K87" s="73">
        <v>127.8</v>
      </c>
      <c r="L87" s="73">
        <v>126.7</v>
      </c>
      <c r="M87" s="73">
        <v>126.4</v>
      </c>
      <c r="N87" s="73">
        <v>124.3</v>
      </c>
      <c r="O87" s="73">
        <v>121.8</v>
      </c>
      <c r="P87" s="73">
        <v>126.4</v>
      </c>
      <c r="Q87" s="73">
        <v>126.1</v>
      </c>
      <c r="R87" s="73">
        <v>130.1</v>
      </c>
      <c r="S87" s="73">
        <v>128.19999999999999</v>
      </c>
      <c r="T87" s="73">
        <v>126.2</v>
      </c>
      <c r="U87" s="73">
        <v>129.19999999999999</v>
      </c>
      <c r="V87" s="73">
        <v>130.1</v>
      </c>
      <c r="W87" s="73">
        <v>125.5</v>
      </c>
      <c r="X87" s="98">
        <v>131.69999999999999</v>
      </c>
      <c r="Y87" s="98">
        <v>130.80000000000001</v>
      </c>
      <c r="Z87" s="98"/>
      <c r="AA87" s="98"/>
      <c r="AB87" s="98"/>
      <c r="AC87" s="98"/>
      <c r="AD87" s="98"/>
      <c r="AE87" s="73"/>
      <c r="AF87" s="73"/>
      <c r="AG87" s="99"/>
      <c r="AH87" s="54">
        <f t="shared" si="15"/>
        <v>131.69999999999999</v>
      </c>
      <c r="AI87" s="55">
        <f t="shared" si="16"/>
        <v>121.8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134.1</v>
      </c>
      <c r="C88" s="73">
        <v>134</v>
      </c>
      <c r="D88" s="73">
        <v>134</v>
      </c>
      <c r="E88" s="73">
        <v>132.6</v>
      </c>
      <c r="F88" s="73">
        <v>132.1</v>
      </c>
      <c r="G88" s="73">
        <v>130</v>
      </c>
      <c r="H88" s="73">
        <v>129.9</v>
      </c>
      <c r="I88" s="73">
        <v>128.5</v>
      </c>
      <c r="J88" s="73">
        <v>129.6</v>
      </c>
      <c r="K88" s="73">
        <v>132.6</v>
      </c>
      <c r="L88" s="73">
        <v>130.9</v>
      </c>
      <c r="M88" s="73">
        <v>130.4</v>
      </c>
      <c r="N88" s="73">
        <v>130.69999999999999</v>
      </c>
      <c r="O88" s="73">
        <v>128.19999999999999</v>
      </c>
      <c r="P88" s="73">
        <v>132.9</v>
      </c>
      <c r="Q88" s="73">
        <v>132.80000000000001</v>
      </c>
      <c r="R88" s="73">
        <v>135.19999999999999</v>
      </c>
      <c r="S88" s="73">
        <v>130.9</v>
      </c>
      <c r="T88" s="73">
        <v>129.6</v>
      </c>
      <c r="U88" s="73">
        <v>129.19999999999999</v>
      </c>
      <c r="V88" s="73">
        <v>131.69999999999999</v>
      </c>
      <c r="W88" s="73">
        <v>127.8</v>
      </c>
      <c r="X88" s="98">
        <v>135.19999999999999</v>
      </c>
      <c r="Y88" s="98">
        <v>133.30000000000001</v>
      </c>
      <c r="Z88" s="98"/>
      <c r="AA88" s="98"/>
      <c r="AB88" s="98"/>
      <c r="AC88" s="98"/>
      <c r="AD88" s="98"/>
      <c r="AE88" s="73"/>
      <c r="AF88" s="73"/>
      <c r="AG88" s="99"/>
      <c r="AH88" s="54">
        <f t="shared" si="15"/>
        <v>135.19999999999999</v>
      </c>
      <c r="AI88" s="55">
        <f t="shared" si="16"/>
        <v>127.8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131.69999999999999</v>
      </c>
      <c r="C89" s="101">
        <v>134.5</v>
      </c>
      <c r="D89" s="101">
        <v>132.80000000000001</v>
      </c>
      <c r="E89" s="101">
        <v>130.80000000000001</v>
      </c>
      <c r="F89" s="101">
        <v>129.69999999999999</v>
      </c>
      <c r="G89" s="101">
        <v>131.9</v>
      </c>
      <c r="H89" s="101">
        <v>134.6</v>
      </c>
      <c r="I89" s="101">
        <v>133.5</v>
      </c>
      <c r="J89" s="101">
        <v>133.30000000000001</v>
      </c>
      <c r="K89" s="101">
        <v>132.30000000000001</v>
      </c>
      <c r="L89" s="101">
        <v>131.69999999999999</v>
      </c>
      <c r="M89" s="101">
        <v>130.69999999999999</v>
      </c>
      <c r="N89" s="101">
        <v>132.80000000000001</v>
      </c>
      <c r="O89" s="101">
        <v>132.30000000000001</v>
      </c>
      <c r="P89" s="101">
        <v>133.30000000000001</v>
      </c>
      <c r="Q89" s="101">
        <v>133.5</v>
      </c>
      <c r="R89" s="101">
        <v>135.5</v>
      </c>
      <c r="S89" s="101">
        <v>135</v>
      </c>
      <c r="T89" s="101">
        <v>134</v>
      </c>
      <c r="U89" s="101">
        <v>129</v>
      </c>
      <c r="V89" s="101">
        <v>134.30000000000001</v>
      </c>
      <c r="W89" s="101">
        <v>132.30000000000001</v>
      </c>
      <c r="X89" s="98">
        <v>130.9</v>
      </c>
      <c r="Y89" s="98">
        <v>133.19999999999999</v>
      </c>
      <c r="Z89" s="98">
        <v>129.19999999999999</v>
      </c>
      <c r="AA89" s="98">
        <v>129.19999999999999</v>
      </c>
      <c r="AB89" s="98">
        <v>135</v>
      </c>
      <c r="AC89" s="98">
        <v>130.6</v>
      </c>
      <c r="AD89" s="98">
        <v>133.5</v>
      </c>
      <c r="AE89" s="101">
        <v>131.6</v>
      </c>
      <c r="AF89" s="101">
        <v>134</v>
      </c>
      <c r="AG89" s="102"/>
      <c r="AH89" s="54">
        <f t="shared" si="15"/>
        <v>135.5</v>
      </c>
      <c r="AI89" s="55">
        <f t="shared" si="16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141.5</v>
      </c>
      <c r="C90" s="73">
        <v>136.9</v>
      </c>
      <c r="D90" s="73">
        <v>133.5</v>
      </c>
      <c r="E90" s="73">
        <v>137.69999999999999</v>
      </c>
      <c r="F90" s="73">
        <v>133.80000000000001</v>
      </c>
      <c r="G90" s="73">
        <v>127.8</v>
      </c>
      <c r="H90" s="73">
        <v>132.80000000000001</v>
      </c>
      <c r="I90" s="73">
        <v>130.9</v>
      </c>
      <c r="J90" s="73">
        <v>131.69999999999999</v>
      </c>
      <c r="K90" s="73">
        <v>130</v>
      </c>
      <c r="L90" s="73">
        <v>129.6</v>
      </c>
      <c r="M90" s="73">
        <v>129.80000000000001</v>
      </c>
      <c r="N90" s="73">
        <v>130</v>
      </c>
      <c r="O90" s="73">
        <v>131.6</v>
      </c>
      <c r="P90" s="73">
        <v>132.9</v>
      </c>
      <c r="Q90" s="73">
        <v>132.9</v>
      </c>
      <c r="R90" s="73">
        <v>136</v>
      </c>
      <c r="S90" s="73">
        <v>134.69999999999999</v>
      </c>
      <c r="T90" s="73">
        <v>134.80000000000001</v>
      </c>
      <c r="U90" s="73">
        <v>126.4</v>
      </c>
      <c r="V90" s="73">
        <v>134</v>
      </c>
      <c r="W90" s="73">
        <v>132.4</v>
      </c>
      <c r="X90" s="98">
        <v>129.6</v>
      </c>
      <c r="Y90" s="98">
        <v>133.19999999999999</v>
      </c>
      <c r="Z90" s="98">
        <v>127.4</v>
      </c>
      <c r="AA90" s="98">
        <v>127.4</v>
      </c>
      <c r="AB90" s="98">
        <v>134.30000000000001</v>
      </c>
      <c r="AC90" s="98">
        <v>131.69999999999999</v>
      </c>
      <c r="AD90" s="98">
        <v>132</v>
      </c>
      <c r="AE90" s="73">
        <v>133</v>
      </c>
      <c r="AF90" s="73">
        <v>136.5</v>
      </c>
      <c r="AG90" s="99"/>
      <c r="AH90" s="54">
        <f t="shared" si="15"/>
        <v>141.5</v>
      </c>
      <c r="AI90" s="55">
        <f t="shared" si="16"/>
        <v>126.4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67.3</v>
      </c>
      <c r="C91" s="103">
        <v>67.3</v>
      </c>
      <c r="D91" s="103">
        <v>67.5</v>
      </c>
      <c r="E91" s="103">
        <v>67.400000000000006</v>
      </c>
      <c r="F91" s="103">
        <v>67.2</v>
      </c>
      <c r="G91" s="103">
        <v>67.2</v>
      </c>
      <c r="H91" s="103">
        <v>66.400000000000006</v>
      </c>
      <c r="I91" s="103">
        <v>65.8</v>
      </c>
      <c r="J91" s="103">
        <v>63.8</v>
      </c>
      <c r="K91" s="103">
        <v>64.3</v>
      </c>
      <c r="L91" s="103">
        <v>63.8</v>
      </c>
      <c r="M91" s="103">
        <v>63.6</v>
      </c>
      <c r="N91" s="103">
        <v>63.3</v>
      </c>
      <c r="O91" s="103">
        <v>62.3</v>
      </c>
      <c r="P91" s="103">
        <v>63.6</v>
      </c>
      <c r="Q91" s="103">
        <v>63.6</v>
      </c>
      <c r="R91" s="103">
        <v>64.099999999999994</v>
      </c>
      <c r="S91" s="103">
        <v>63.6</v>
      </c>
      <c r="T91" s="103">
        <v>63.9</v>
      </c>
      <c r="U91" s="103">
        <v>63.7</v>
      </c>
      <c r="V91" s="103">
        <v>64.599999999999994</v>
      </c>
      <c r="W91" s="103">
        <v>63.7</v>
      </c>
      <c r="X91" s="103">
        <v>63.7</v>
      </c>
      <c r="Y91" s="103">
        <v>63.9</v>
      </c>
      <c r="Z91" s="103">
        <v>63.9</v>
      </c>
      <c r="AA91" s="103">
        <v>63.9</v>
      </c>
      <c r="AB91" s="103">
        <v>65.400000000000006</v>
      </c>
      <c r="AC91" s="103">
        <v>64.7</v>
      </c>
      <c r="AD91" s="103">
        <v>64.900000000000006</v>
      </c>
      <c r="AE91" s="103">
        <v>64.7</v>
      </c>
      <c r="AF91" s="103">
        <v>66</v>
      </c>
      <c r="AG91" s="104"/>
      <c r="AH91" s="54">
        <f t="shared" si="15"/>
        <v>67.5</v>
      </c>
      <c r="AI91" s="55">
        <f t="shared" si="16"/>
        <v>62.3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192.83999999999997</v>
      </c>
      <c r="C93" s="110">
        <f>SUM(C15,C18,C21:C22,C42,C44:C45,C47,C49,C94:C97,C102,C108,C114,C123,C125,C137,C144,C147:C148,C155,C157,C159,C163:C165,C167:C169,C174,C180:C181,C183:C185,C193,C198)</f>
        <v>181.43999999999997</v>
      </c>
      <c r="D93" s="110">
        <f t="shared" ref="D93:AF93" si="23">SUM(D15,D18,D21:D22,D42,D44:D45,D47,D49,D94:D97,D102,D108,D114,D123,D125,D137,D144,D147:D148,D155,D157,D159,D163:D165,D167:D169,D174,D180:D181,D183:D185,D193,D198)</f>
        <v>173.83999999999997</v>
      </c>
      <c r="E93" s="110">
        <f t="shared" si="23"/>
        <v>170.93999999999997</v>
      </c>
      <c r="F93" s="110">
        <f t="shared" si="23"/>
        <v>173.14</v>
      </c>
      <c r="G93" s="109">
        <f t="shared" si="23"/>
        <v>199.53999999999996</v>
      </c>
      <c r="H93" s="109">
        <f t="shared" si="23"/>
        <v>237.93999999999997</v>
      </c>
      <c r="I93" s="109">
        <f t="shared" si="23"/>
        <v>270.83999999999997</v>
      </c>
      <c r="J93" s="109">
        <f t="shared" si="23"/>
        <v>323.24</v>
      </c>
      <c r="K93" s="109">
        <f t="shared" si="23"/>
        <v>408.14</v>
      </c>
      <c r="L93" s="109">
        <f t="shared" si="23"/>
        <v>430.64</v>
      </c>
      <c r="M93" s="109">
        <f t="shared" si="23"/>
        <v>442.64000000000004</v>
      </c>
      <c r="N93" s="109">
        <f t="shared" si="23"/>
        <v>402.94000000000005</v>
      </c>
      <c r="O93" s="109">
        <f t="shared" si="23"/>
        <v>396.34000000000003</v>
      </c>
      <c r="P93" s="109">
        <f t="shared" si="23"/>
        <v>361.84000000000003</v>
      </c>
      <c r="Q93" s="109">
        <f t="shared" si="23"/>
        <v>361.44000000000005</v>
      </c>
      <c r="R93" s="109">
        <f t="shared" si="23"/>
        <v>345.44000000000005</v>
      </c>
      <c r="S93" s="109">
        <f t="shared" si="23"/>
        <v>349.34000000000003</v>
      </c>
      <c r="T93" s="109">
        <f t="shared" si="23"/>
        <v>351.44000000000005</v>
      </c>
      <c r="U93" s="109">
        <f t="shared" si="23"/>
        <v>378.84000000000003</v>
      </c>
      <c r="V93" s="109">
        <f t="shared" si="23"/>
        <v>422.94000000000005</v>
      </c>
      <c r="W93" s="109">
        <f t="shared" si="23"/>
        <v>457.04000000000008</v>
      </c>
      <c r="X93" s="109">
        <f t="shared" si="23"/>
        <v>500.04</v>
      </c>
      <c r="Y93" s="109">
        <f t="shared" si="23"/>
        <v>492.34000000000003</v>
      </c>
      <c r="Z93" s="109">
        <f t="shared" si="23"/>
        <v>1076.7399999999996</v>
      </c>
      <c r="AA93" s="109">
        <f t="shared" si="23"/>
        <v>1076.7399999999996</v>
      </c>
      <c r="AB93" s="109">
        <f t="shared" si="23"/>
        <v>433.84000000000003</v>
      </c>
      <c r="AC93" s="109">
        <f t="shared" si="23"/>
        <v>425.64000000000004</v>
      </c>
      <c r="AD93" s="109">
        <f t="shared" si="23"/>
        <v>404.14000000000004</v>
      </c>
      <c r="AE93" s="109">
        <f t="shared" si="23"/>
        <v>309.1400000000001</v>
      </c>
      <c r="AF93" s="109">
        <f t="shared" si="23"/>
        <v>237.33999999999997</v>
      </c>
      <c r="AG93" s="111"/>
      <c r="AH93" s="54">
        <f>MAX(C93:AF93)</f>
        <v>1076.7399999999996</v>
      </c>
      <c r="AI93" s="55">
        <f>MIN(C93:AF93)</f>
        <v>170.93999999999997</v>
      </c>
    </row>
    <row r="94" spans="1:88" x14ac:dyDescent="0.25">
      <c r="A94" s="112" t="s">
        <v>98</v>
      </c>
      <c r="B94" s="175">
        <v>35.200000000000003</v>
      </c>
      <c r="C94" s="58">
        <v>16.3</v>
      </c>
      <c r="D94" s="58">
        <v>16.399999999999999</v>
      </c>
      <c r="E94" s="58">
        <v>10.8</v>
      </c>
      <c r="F94" s="58">
        <v>13.8</v>
      </c>
      <c r="G94" s="114">
        <v>30</v>
      </c>
      <c r="H94" s="114">
        <v>38</v>
      </c>
      <c r="I94" s="114">
        <v>35.1</v>
      </c>
      <c r="J94" s="114">
        <v>52.5</v>
      </c>
      <c r="K94" s="114">
        <v>44.1</v>
      </c>
      <c r="L94" s="114">
        <v>43.9</v>
      </c>
      <c r="M94" s="113">
        <v>41</v>
      </c>
      <c r="N94" s="113">
        <v>50.2</v>
      </c>
      <c r="O94" s="113">
        <v>58.8</v>
      </c>
      <c r="P94" s="113">
        <v>54.5</v>
      </c>
      <c r="Q94" s="113">
        <v>54.2</v>
      </c>
      <c r="R94" s="114">
        <v>55</v>
      </c>
      <c r="S94" s="114">
        <v>50.8</v>
      </c>
      <c r="T94" s="114">
        <v>47.5</v>
      </c>
      <c r="U94" s="113">
        <v>8.9</v>
      </c>
      <c r="V94" s="113">
        <v>39.299999999999997</v>
      </c>
      <c r="W94" s="113">
        <v>35.299999999999997</v>
      </c>
      <c r="X94" s="114">
        <v>36.299999999999997</v>
      </c>
      <c r="Y94" s="114">
        <v>36.1</v>
      </c>
      <c r="Z94" s="114">
        <v>33.200000000000003</v>
      </c>
      <c r="AA94" s="114">
        <v>33.200000000000003</v>
      </c>
      <c r="AB94" s="113">
        <v>32.5</v>
      </c>
      <c r="AC94" s="113">
        <v>40.5</v>
      </c>
      <c r="AD94" s="113">
        <v>39.6</v>
      </c>
      <c r="AE94" s="113">
        <v>32.4</v>
      </c>
      <c r="AF94" s="113">
        <v>37.6</v>
      </c>
      <c r="AG94" s="115">
        <v>75</v>
      </c>
      <c r="AH94" s="54">
        <f t="shared" ref="AH94:AH99" si="24">IF(ABS(MAX(C94:AF94))&gt;ABS(MIN(C94:AF94)),MAX(C94:AF94),MIN(C94:AF94))</f>
        <v>58.8</v>
      </c>
      <c r="AI94" s="116">
        <f t="shared" ref="AI94:AI99" si="25">INDEX($C$9:$AF$9,1,MATCH(AH94,C94:AF94,0))</f>
        <v>0.41666666666666702</v>
      </c>
    </row>
    <row r="95" spans="1:88" x14ac:dyDescent="0.25">
      <c r="A95" s="117" t="s">
        <v>99</v>
      </c>
      <c r="B95" s="176">
        <v>-54.3</v>
      </c>
      <c r="C95" s="60">
        <v>-46</v>
      </c>
      <c r="D95" s="60">
        <v>-50.4</v>
      </c>
      <c r="E95" s="60">
        <v>-49</v>
      </c>
      <c r="F95" s="60">
        <v>-49</v>
      </c>
      <c r="G95" s="60">
        <v>-45</v>
      </c>
      <c r="H95" s="60">
        <v>-31</v>
      </c>
      <c r="I95" s="60">
        <v>-19</v>
      </c>
      <c r="J95" s="60">
        <v>-17.5</v>
      </c>
      <c r="K95" s="60">
        <v>27</v>
      </c>
      <c r="L95" s="60">
        <v>52</v>
      </c>
      <c r="M95" s="60">
        <v>60</v>
      </c>
      <c r="N95" s="60">
        <v>16.8</v>
      </c>
      <c r="O95" s="60">
        <v>11.5</v>
      </c>
      <c r="P95" s="60">
        <v>12.2</v>
      </c>
      <c r="Q95" s="60">
        <v>10.7</v>
      </c>
      <c r="R95" s="60">
        <v>5.6</v>
      </c>
      <c r="S95" s="60">
        <v>3.2</v>
      </c>
      <c r="T95" s="60">
        <v>15</v>
      </c>
      <c r="U95" s="60">
        <v>60</v>
      </c>
      <c r="V95" s="60">
        <v>60</v>
      </c>
      <c r="W95" s="60">
        <v>67</v>
      </c>
      <c r="X95" s="60">
        <v>80.7</v>
      </c>
      <c r="Y95" s="60">
        <f>37+37</f>
        <v>74</v>
      </c>
      <c r="Z95" s="60">
        <v>72</v>
      </c>
      <c r="AA95" s="60">
        <v>72</v>
      </c>
      <c r="AB95" s="73">
        <f>26.2+15.7</f>
        <v>41.9</v>
      </c>
      <c r="AC95" s="73">
        <f>19.5+19.6</f>
        <v>39.1</v>
      </c>
      <c r="AD95" s="73">
        <f>14.3+15.1</f>
        <v>29.4</v>
      </c>
      <c r="AE95" s="73">
        <f>-8.3-9.6</f>
        <v>-17.899999999999999</v>
      </c>
      <c r="AF95" s="73">
        <f>-21.4-25.4</f>
        <v>-46.8</v>
      </c>
      <c r="AG95" s="115">
        <v>240</v>
      </c>
      <c r="AH95" s="54">
        <f t="shared" si="24"/>
        <v>80.7</v>
      </c>
      <c r="AI95" s="116">
        <f t="shared" si="25"/>
        <v>0.75</v>
      </c>
    </row>
    <row r="96" spans="1:88" x14ac:dyDescent="0.25">
      <c r="A96" s="117" t="s">
        <v>100</v>
      </c>
      <c r="B96" s="176">
        <v>2</v>
      </c>
      <c r="C96" s="60">
        <v>-6</v>
      </c>
      <c r="D96" s="60">
        <v>-6.3</v>
      </c>
      <c r="E96" s="60">
        <v>-7.1</v>
      </c>
      <c r="F96" s="60">
        <v>-5.8</v>
      </c>
      <c r="G96" s="60">
        <v>-4</v>
      </c>
      <c r="H96" s="60">
        <v>-1.5</v>
      </c>
      <c r="I96" s="60">
        <v>3.6</v>
      </c>
      <c r="J96" s="60">
        <v>4.7</v>
      </c>
      <c r="K96" s="60">
        <v>39</v>
      </c>
      <c r="L96" s="60">
        <v>54.8</v>
      </c>
      <c r="M96" s="60">
        <v>55.3</v>
      </c>
      <c r="N96" s="60">
        <v>41.3</v>
      </c>
      <c r="O96" s="60">
        <v>33</v>
      </c>
      <c r="P96" s="60">
        <v>28.6</v>
      </c>
      <c r="Q96" s="60">
        <v>27.1</v>
      </c>
      <c r="R96" s="60">
        <v>18.600000000000001</v>
      </c>
      <c r="S96" s="60">
        <v>15.1</v>
      </c>
      <c r="T96" s="60">
        <v>14.7</v>
      </c>
      <c r="U96" s="60">
        <v>48.4</v>
      </c>
      <c r="V96" s="60">
        <v>45.8</v>
      </c>
      <c r="W96" s="60">
        <v>59.1</v>
      </c>
      <c r="X96" s="60">
        <v>62.7</v>
      </c>
      <c r="Y96" s="60">
        <v>63.2</v>
      </c>
      <c r="Z96" s="60">
        <v>62.2</v>
      </c>
      <c r="AA96" s="60">
        <v>62.2</v>
      </c>
      <c r="AB96" s="73">
        <v>55.4</v>
      </c>
      <c r="AC96" s="73">
        <v>37.200000000000003</v>
      </c>
      <c r="AD96" s="73">
        <v>27.3</v>
      </c>
      <c r="AE96" s="73">
        <v>7.9</v>
      </c>
      <c r="AF96" s="73">
        <v>-2.1</v>
      </c>
      <c r="AG96" s="115">
        <v>60</v>
      </c>
      <c r="AH96" s="54">
        <f t="shared" si="24"/>
        <v>63.2</v>
      </c>
      <c r="AI96" s="116">
        <f t="shared" si="25"/>
        <v>0.77083333333333337</v>
      </c>
    </row>
    <row r="97" spans="1:37" x14ac:dyDescent="0.25">
      <c r="A97" s="118" t="s">
        <v>101</v>
      </c>
      <c r="B97" s="177">
        <v>18.7</v>
      </c>
      <c r="C97" s="63">
        <v>26.1</v>
      </c>
      <c r="D97" s="63">
        <v>23.1</v>
      </c>
      <c r="E97" s="63">
        <v>25.2</v>
      </c>
      <c r="F97" s="63">
        <v>23.1</v>
      </c>
      <c r="G97" s="63">
        <v>27.5</v>
      </c>
      <c r="H97" s="63">
        <v>41.4</v>
      </c>
      <c r="I97" s="63">
        <v>60.1</v>
      </c>
      <c r="J97" s="63">
        <v>92.5</v>
      </c>
      <c r="K97" s="63">
        <v>107</v>
      </c>
      <c r="L97" s="63">
        <v>88.9</v>
      </c>
      <c r="M97" s="63">
        <v>95.3</v>
      </c>
      <c r="N97" s="63">
        <v>105.6</v>
      </c>
      <c r="O97" s="63">
        <v>103.2</v>
      </c>
      <c r="P97" s="63">
        <v>99.6</v>
      </c>
      <c r="Q97" s="63">
        <v>102.7</v>
      </c>
      <c r="R97" s="63">
        <v>98</v>
      </c>
      <c r="S97" s="63">
        <v>112</v>
      </c>
      <c r="T97" s="63">
        <v>106</v>
      </c>
      <c r="U97" s="63">
        <v>93.3</v>
      </c>
      <c r="V97" s="63">
        <v>81.900000000000006</v>
      </c>
      <c r="W97" s="63">
        <v>100.4</v>
      </c>
      <c r="X97" s="63">
        <v>119</v>
      </c>
      <c r="Y97" s="63">
        <v>117.7</v>
      </c>
      <c r="Z97" s="63">
        <v>708</v>
      </c>
      <c r="AA97" s="63">
        <v>708</v>
      </c>
      <c r="AB97" s="119">
        <v>102.7</v>
      </c>
      <c r="AC97" s="119">
        <v>107.5</v>
      </c>
      <c r="AD97" s="119">
        <v>106.5</v>
      </c>
      <c r="AE97" s="119">
        <v>85.4</v>
      </c>
      <c r="AF97" s="119">
        <v>47.3</v>
      </c>
      <c r="AG97" s="120">
        <v>120</v>
      </c>
      <c r="AH97" s="54">
        <f t="shared" si="24"/>
        <v>708</v>
      </c>
      <c r="AI97" s="116">
        <f t="shared" si="25"/>
        <v>0.79166666666666663</v>
      </c>
    </row>
    <row r="98" spans="1:37" x14ac:dyDescent="0.25">
      <c r="A98" s="118" t="s">
        <v>102</v>
      </c>
      <c r="B98" s="177">
        <v>27.9</v>
      </c>
      <c r="C98" s="63">
        <v>24.1</v>
      </c>
      <c r="D98" s="63">
        <v>21.5</v>
      </c>
      <c r="E98" s="63">
        <v>26.1</v>
      </c>
      <c r="F98" s="63">
        <v>24</v>
      </c>
      <c r="G98" s="63">
        <v>22.5</v>
      </c>
      <c r="H98" s="63">
        <v>31.6</v>
      </c>
      <c r="I98" s="63">
        <v>43</v>
      </c>
      <c r="J98" s="63">
        <v>79.2</v>
      </c>
      <c r="K98" s="63">
        <v>80</v>
      </c>
      <c r="L98" s="63">
        <v>87.7</v>
      </c>
      <c r="M98" s="63">
        <v>95.2</v>
      </c>
      <c r="N98" s="63">
        <v>72.7</v>
      </c>
      <c r="O98" s="63">
        <v>76.900000000000006</v>
      </c>
      <c r="P98" s="63">
        <v>83.4</v>
      </c>
      <c r="Q98" s="63">
        <v>84.4</v>
      </c>
      <c r="R98" s="63">
        <v>83</v>
      </c>
      <c r="S98" s="63">
        <v>89.4</v>
      </c>
      <c r="T98" s="63">
        <v>76.5</v>
      </c>
      <c r="U98" s="63">
        <v>100.2</v>
      </c>
      <c r="V98" s="63">
        <v>82</v>
      </c>
      <c r="W98" s="63">
        <v>100.3</v>
      </c>
      <c r="X98" s="63">
        <v>89.8</v>
      </c>
      <c r="Y98" s="63">
        <v>90.4</v>
      </c>
      <c r="Z98" s="63">
        <v>95.5</v>
      </c>
      <c r="AA98" s="63">
        <v>95.5</v>
      </c>
      <c r="AB98" s="119">
        <v>69.099999999999994</v>
      </c>
      <c r="AC98" s="119">
        <v>73.5</v>
      </c>
      <c r="AD98" s="119">
        <v>72.7</v>
      </c>
      <c r="AE98" s="119">
        <v>75.2</v>
      </c>
      <c r="AF98" s="119">
        <v>47.7</v>
      </c>
      <c r="AG98" s="120"/>
      <c r="AH98" s="54">
        <f t="shared" si="24"/>
        <v>100.3</v>
      </c>
      <c r="AI98" s="116">
        <f t="shared" si="25"/>
        <v>0.72916666666666663</v>
      </c>
    </row>
    <row r="99" spans="1:37" ht="15.75" thickBot="1" x14ac:dyDescent="0.3">
      <c r="A99" s="118" t="s">
        <v>217</v>
      </c>
      <c r="B99" s="177">
        <v>42.1</v>
      </c>
      <c r="C99" s="63">
        <v>39.1</v>
      </c>
      <c r="D99" s="63">
        <v>44.4</v>
      </c>
      <c r="E99" s="63">
        <v>54.7</v>
      </c>
      <c r="F99" s="63">
        <v>60.4</v>
      </c>
      <c r="G99" s="63">
        <v>47.1</v>
      </c>
      <c r="H99" s="63">
        <v>37.200000000000003</v>
      </c>
      <c r="I99" s="63">
        <v>42.1</v>
      </c>
      <c r="J99" s="63">
        <v>33.5</v>
      </c>
      <c r="K99" s="63">
        <v>42.7</v>
      </c>
      <c r="L99" s="63">
        <v>52.6</v>
      </c>
      <c r="M99" s="63">
        <v>54.8</v>
      </c>
      <c r="N99" s="63">
        <v>40.1</v>
      </c>
      <c r="O99" s="63">
        <v>33.4</v>
      </c>
      <c r="P99" s="63">
        <v>49.1</v>
      </c>
      <c r="Q99" s="63">
        <v>49</v>
      </c>
      <c r="R99" s="63">
        <v>44</v>
      </c>
      <c r="S99" s="63">
        <v>42.4</v>
      </c>
      <c r="T99" s="63">
        <v>32.799999999999997</v>
      </c>
      <c r="U99" s="63">
        <v>51.2</v>
      </c>
      <c r="V99" s="63">
        <v>42.7</v>
      </c>
      <c r="W99" s="63">
        <v>51.9</v>
      </c>
      <c r="X99" s="63">
        <v>63.5</v>
      </c>
      <c r="Y99" s="63">
        <v>63.5</v>
      </c>
      <c r="Z99" s="63">
        <v>68.8</v>
      </c>
      <c r="AA99" s="63">
        <v>68.8</v>
      </c>
      <c r="AB99" s="119">
        <v>63.3</v>
      </c>
      <c r="AC99" s="119">
        <v>62</v>
      </c>
      <c r="AD99" s="119">
        <v>56.4</v>
      </c>
      <c r="AE99" s="119">
        <v>64.7</v>
      </c>
      <c r="AF99" s="119">
        <v>36.799999999999997</v>
      </c>
      <c r="AG99" s="121"/>
      <c r="AH99" s="54">
        <f t="shared" si="24"/>
        <v>68.8</v>
      </c>
      <c r="AI99" s="116">
        <f t="shared" si="25"/>
        <v>0.79166666666666663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1518.44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2078/08/8)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926.51</v>
      </c>
      <c r="U213" s="167">
        <f t="shared" si="62"/>
        <v>888.28</v>
      </c>
      <c r="V213" s="167">
        <f t="shared" si="62"/>
        <v>846.6400000000001</v>
      </c>
      <c r="W213" s="167">
        <f t="shared" si="62"/>
        <v>862.83999999999992</v>
      </c>
      <c r="X213" s="167">
        <f t="shared" si="62"/>
        <v>876.44</v>
      </c>
      <c r="Y213" s="167">
        <f t="shared" si="62"/>
        <v>945.33999999999992</v>
      </c>
      <c r="Z213" s="167">
        <f t="shared" si="62"/>
        <v>1023.1499999999999</v>
      </c>
      <c r="AA213" s="167">
        <f t="shared" si="62"/>
        <v>1120.6100000000001</v>
      </c>
      <c r="AB213" s="167">
        <f t="shared" si="62"/>
        <v>1255.3600000000001</v>
      </c>
      <c r="AC213" s="167">
        <f t="shared" si="62"/>
        <v>1405.8400000000001</v>
      </c>
      <c r="AD213" s="167">
        <f t="shared" si="62"/>
        <v>1473.54</v>
      </c>
      <c r="AE213" s="167">
        <f t="shared" si="62"/>
        <v>1518.44</v>
      </c>
      <c r="AF213" s="167">
        <f t="shared" si="62"/>
        <v>1400.04</v>
      </c>
      <c r="AG213" s="167">
        <f t="shared" si="62"/>
        <v>1329.6399999999999</v>
      </c>
      <c r="AH213" s="167">
        <f t="shared" si="62"/>
        <v>1280.3400000000001</v>
      </c>
      <c r="AI213" s="167">
        <f t="shared" si="62"/>
        <v>1243.44</v>
      </c>
      <c r="AJ213" s="167">
        <f t="shared" si="62"/>
        <v>1210.1399999999999</v>
      </c>
      <c r="AK213" s="167">
        <f t="shared" si="62"/>
        <v>1178.8399999999999</v>
      </c>
      <c r="AL213" s="167">
        <f t="shared" si="62"/>
        <v>1127.3400000000001</v>
      </c>
      <c r="AM213" s="167">
        <f t="shared" si="62"/>
        <v>1120.04</v>
      </c>
      <c r="AN213" s="167">
        <f t="shared" si="62"/>
        <v>1267.04</v>
      </c>
      <c r="AO213" s="167">
        <f t="shared" si="62"/>
        <v>1492.3400000000001</v>
      </c>
      <c r="AP213" s="167">
        <f t="shared" si="62"/>
        <v>1571.3400000000001</v>
      </c>
      <c r="AQ213" s="167">
        <f t="shared" si="62"/>
        <v>1563.2400000000002</v>
      </c>
      <c r="AR213" s="167">
        <f t="shared" si="62"/>
        <v>1488.5400000000002</v>
      </c>
      <c r="AS213" s="167">
        <f t="shared" si="62"/>
        <v>1477.5400000000002</v>
      </c>
      <c r="AT213" s="167">
        <f t="shared" si="62"/>
        <v>1416.84</v>
      </c>
      <c r="AU213" s="167">
        <f t="shared" si="62"/>
        <v>1326.84</v>
      </c>
      <c r="AV213" s="167">
        <f t="shared" si="62"/>
        <v>1258.6399999999999</v>
      </c>
      <c r="AW213" s="167">
        <f t="shared" si="62"/>
        <v>1067.1400000000001</v>
      </c>
      <c r="AX213" s="167">
        <f t="shared" si="62"/>
        <v>991.24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C57:L59 N62:N67 P39:R39 O39:O42 O61:O67 P60:R67 M11:U11 M58:R59 AB81:AF81 B81:R81 C56:AF56 B82:AF83 D193:AF199 B193:B199 B84:B91 B73:AF80 B9:AF10 B191:AF191 B53:B72 AG73 B94:B99 U212:AF212 C60:H67 K60:O60 K61:N61 I60:J61 V58:W59 N12:U12 S58:U67 N16:V32 V11:V12 N14:V14 N13:W13 W17:W32 N36:W37 O45:W48 C68:AF72 P40:Y42 X85:AD91 AB94:AF99 W11:AF11 X18:AF30 X36:AF36 Z40:AF43 M53:AF55 AE84:AF91">
    <cfRule type="expression" dxfId="7197" priority="350">
      <formula>B$9&gt;=20/24</formula>
    </cfRule>
    <cfRule type="expression" dxfId="7196" priority="351">
      <formula>AND(B$9&gt;=14/24,B$9&lt;20/24)</formula>
    </cfRule>
    <cfRule type="expression" dxfId="7195" priority="352">
      <formula>AND(B$9&gt;=8/24,B$9&lt;14/24)</formula>
    </cfRule>
    <cfRule type="expression" dxfId="7194" priority="353">
      <formula>B$9&lt;8/24</formula>
    </cfRule>
  </conditionalFormatting>
  <conditionalFormatting sqref="AL4:AL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M57:U57">
    <cfRule type="expression" dxfId="7193" priority="345">
      <formula>M$9&gt;=20/24</formula>
    </cfRule>
    <cfRule type="expression" dxfId="7192" priority="346">
      <formula>AND(M$9&gt;=14/24,M$9&lt;20/24)</formula>
    </cfRule>
    <cfRule type="expression" dxfId="7191" priority="347">
      <formula>AND(M$9&gt;=8/24,M$9&lt;14/24)</formula>
    </cfRule>
    <cfRule type="expression" dxfId="7190" priority="348">
      <formula>M$9&lt;8/24</formula>
    </cfRule>
  </conditionalFormatting>
  <conditionalFormatting sqref="O43:V43">
    <cfRule type="expression" dxfId="7189" priority="341">
      <formula>O$9&gt;=20/24</formula>
    </cfRule>
    <cfRule type="expression" dxfId="7188" priority="342">
      <formula>AND(O$9&gt;=14/24,O$9&lt;20/24)</formula>
    </cfRule>
    <cfRule type="expression" dxfId="7187" priority="343">
      <formula>AND(O$9&gt;=8/24,O$9&lt;14/24)</formula>
    </cfRule>
    <cfRule type="expression" dxfId="7186" priority="344">
      <formula>O$9&lt;8/24</formula>
    </cfRule>
  </conditionalFormatting>
  <conditionalFormatting sqref="S39:AF39">
    <cfRule type="expression" dxfId="7185" priority="333">
      <formula>S$9&gt;=20/24</formula>
    </cfRule>
    <cfRule type="expression" dxfId="7184" priority="334">
      <formula>AND(S$9&gt;=14/24,S$9&lt;20/24)</formula>
    </cfRule>
    <cfRule type="expression" dxfId="7183" priority="335">
      <formula>AND(S$9&gt;=8/24,S$9&lt;14/24)</formula>
    </cfRule>
    <cfRule type="expression" dxfId="7182" priority="336">
      <formula>S$9&lt;8/24</formula>
    </cfRule>
  </conditionalFormatting>
  <conditionalFormatting sqref="V57:AF57">
    <cfRule type="expression" dxfId="7181" priority="329">
      <formula>V$9&gt;=20/24</formula>
    </cfRule>
    <cfRule type="expression" dxfId="7180" priority="330">
      <formula>AND(V$9&gt;=14/24,V$9&lt;20/24)</formula>
    </cfRule>
    <cfRule type="expression" dxfId="7179" priority="331">
      <formula>AND(V$9&gt;=8/24,V$9&lt;14/24)</formula>
    </cfRule>
    <cfRule type="expression" dxfId="7178" priority="332">
      <formula>V$9&lt;8/24</formula>
    </cfRule>
  </conditionalFormatting>
  <conditionalFormatting sqref="S81:AA81">
    <cfRule type="expression" dxfId="7177" priority="325">
      <formula>S$9&gt;=20/24</formula>
    </cfRule>
    <cfRule type="expression" dxfId="7176" priority="326">
      <formula>AND(S$9&gt;=14/24,S$9&lt;20/24)</formula>
    </cfRule>
    <cfRule type="expression" dxfId="7175" priority="327">
      <formula>AND(S$9&gt;=8/24,S$9&lt;14/24)</formula>
    </cfRule>
    <cfRule type="expression" dxfId="7174" priority="328">
      <formula>S$9&lt;8/24</formula>
    </cfRule>
  </conditionalFormatting>
  <conditionalFormatting sqref="U84:AD84">
    <cfRule type="expression" dxfId="7173" priority="321">
      <formula>U$9&gt;=20/24</formula>
    </cfRule>
    <cfRule type="expression" dxfId="7172" priority="322">
      <formula>AND(U$9&gt;=14/24,U$9&lt;20/24)</formula>
    </cfRule>
    <cfRule type="expression" dxfId="7171" priority="323">
      <formula>AND(U$9&gt;=8/24,U$9&lt;14/24)</formula>
    </cfRule>
    <cfRule type="expression" dxfId="7170" priority="324">
      <formula>U$9&lt;8/24</formula>
    </cfRule>
  </conditionalFormatting>
  <conditionalFormatting sqref="U62 N35:W35">
    <cfRule type="expression" dxfId="7169" priority="317">
      <formula>N$9&gt;=20/24</formula>
    </cfRule>
    <cfRule type="expression" dxfId="7168" priority="318">
      <formula>AND(N$9&gt;=14/24,N$9&lt;20/24)</formula>
    </cfRule>
    <cfRule type="expression" dxfId="7167" priority="319">
      <formula>AND(N$9&gt;=8/24,N$9&lt;14/24)</formula>
    </cfRule>
    <cfRule type="expression" dxfId="7166" priority="320">
      <formula>N$9&lt;8/24</formula>
    </cfRule>
  </conditionalFormatting>
  <conditionalFormatting sqref="O49:W49">
    <cfRule type="expression" dxfId="7165" priority="313">
      <formula>O$9&gt;=20/24</formula>
    </cfRule>
    <cfRule type="expression" dxfId="7164" priority="314">
      <formula>AND(O$9&gt;=14/24,O$9&lt;20/24)</formula>
    </cfRule>
    <cfRule type="expression" dxfId="7163" priority="315">
      <formula>AND(O$9&gt;=8/24,O$9&lt;14/24)</formula>
    </cfRule>
    <cfRule type="expression" dxfId="7162" priority="316">
      <formula>O$9&lt;8/24</formula>
    </cfRule>
  </conditionalFormatting>
  <conditionalFormatting sqref="O50:W50">
    <cfRule type="expression" dxfId="7161" priority="309">
      <formula>O$9&gt;=20/24</formula>
    </cfRule>
    <cfRule type="expression" dxfId="7160" priority="310">
      <formula>AND(O$9&gt;=14/24,O$9&lt;20/24)</formula>
    </cfRule>
    <cfRule type="expression" dxfId="7159" priority="311">
      <formula>AND(O$9&gt;=8/24,O$9&lt;14/24)</formula>
    </cfRule>
    <cfRule type="expression" dxfId="7158" priority="312">
      <formula>O$9&lt;8/24</formula>
    </cfRule>
  </conditionalFormatting>
  <conditionalFormatting sqref="O45:W48">
    <cfRule type="expression" dxfId="7157" priority="305">
      <formula>O$9&gt;=20/24</formula>
    </cfRule>
    <cfRule type="expression" dxfId="7156" priority="306">
      <formula>AND(O$9&gt;=14/24,O$9&lt;20/24)</formula>
    </cfRule>
    <cfRule type="expression" dxfId="7155" priority="307">
      <formula>AND(O$9&gt;=8/24,O$9&lt;14/24)</formula>
    </cfRule>
    <cfRule type="expression" dxfId="7154" priority="308">
      <formula>O$9&lt;8/24</formula>
    </cfRule>
  </conditionalFormatting>
  <conditionalFormatting sqref="X37:AF37">
    <cfRule type="expression" dxfId="7153" priority="301">
      <formula>X$9&gt;=20/24</formula>
    </cfRule>
    <cfRule type="expression" dxfId="7152" priority="302">
      <formula>AND(X$9&gt;=14/24,X$9&lt;20/24)</formula>
    </cfRule>
    <cfRule type="expression" dxfId="7151" priority="303">
      <formula>AND(X$9&gt;=8/24,X$9&lt;14/24)</formula>
    </cfRule>
    <cfRule type="expression" dxfId="7150" priority="304">
      <formula>X$9&lt;8/24</formula>
    </cfRule>
  </conditionalFormatting>
  <conditionalFormatting sqref="X31:AF32 X35:AF35">
    <cfRule type="expression" dxfId="7149" priority="297">
      <formula>X$9&gt;=20/24</formula>
    </cfRule>
    <cfRule type="expression" dxfId="7148" priority="298">
      <formula>AND(X$9&gt;=14/24,X$9&lt;20/24)</formula>
    </cfRule>
    <cfRule type="expression" dxfId="7147" priority="299">
      <formula>AND(X$9&gt;=8/24,X$9&lt;14/24)</formula>
    </cfRule>
    <cfRule type="expression" dxfId="7146" priority="300">
      <formula>X$9&lt;8/24</formula>
    </cfRule>
  </conditionalFormatting>
  <conditionalFormatting sqref="S42:V43 U43:Y43 S45:AF48">
    <cfRule type="expression" dxfId="7145" priority="293">
      <formula>S$9&gt;=20/24</formula>
    </cfRule>
    <cfRule type="expression" dxfId="7144" priority="294">
      <formula>AND(S$9&gt;=14/24,S$9&lt;20/24)</formula>
    </cfRule>
    <cfRule type="expression" dxfId="7143" priority="295">
      <formula>AND(S$9&gt;=8/24,S$9&lt;14/24)</formula>
    </cfRule>
    <cfRule type="expression" dxfId="7142" priority="296">
      <formula>S$9&lt;8/24</formula>
    </cfRule>
  </conditionalFormatting>
  <conditionalFormatting sqref="S49:AF49">
    <cfRule type="expression" dxfId="7141" priority="289">
      <formula>S$9&gt;=20/24</formula>
    </cfRule>
    <cfRule type="expression" dxfId="7140" priority="290">
      <formula>AND(S$9&gt;=14/24,S$9&lt;20/24)</formula>
    </cfRule>
    <cfRule type="expression" dxfId="7139" priority="291">
      <formula>AND(S$9&gt;=8/24,S$9&lt;14/24)</formula>
    </cfRule>
    <cfRule type="expression" dxfId="7138" priority="292">
      <formula>S$9&lt;8/24</formula>
    </cfRule>
  </conditionalFormatting>
  <conditionalFormatting sqref="S50:AF50">
    <cfRule type="expression" dxfId="7137" priority="285">
      <formula>S$9&gt;=20/24</formula>
    </cfRule>
    <cfRule type="expression" dxfId="7136" priority="286">
      <formula>AND(S$9&gt;=14/24,S$9&lt;20/24)</formula>
    </cfRule>
    <cfRule type="expression" dxfId="7135" priority="287">
      <formula>AND(S$9&gt;=8/24,S$9&lt;14/24)</formula>
    </cfRule>
    <cfRule type="expression" dxfId="7134" priority="288">
      <formula>S$9&lt;8/24</formula>
    </cfRule>
  </conditionalFormatting>
  <conditionalFormatting sqref="X60:AF67">
    <cfRule type="expression" dxfId="7133" priority="281">
      <formula>X$9&gt;=20/24</formula>
    </cfRule>
    <cfRule type="expression" dxfId="7132" priority="282">
      <formula>AND(X$9&gt;=14/24,X$9&lt;20/24)</formula>
    </cfRule>
    <cfRule type="expression" dxfId="7131" priority="283">
      <formula>AND(X$9&gt;=8/24,X$9&lt;14/24)</formula>
    </cfRule>
    <cfRule type="expression" dxfId="7130" priority="284">
      <formula>X$9&lt;8/24</formula>
    </cfRule>
  </conditionalFormatting>
  <conditionalFormatting sqref="I62:M67">
    <cfRule type="expression" dxfId="7129" priority="277">
      <formula>I$9&gt;=20/24</formula>
    </cfRule>
    <cfRule type="expression" dxfId="7128" priority="278">
      <formula>AND(I$9&gt;=14/24,I$9&lt;20/24)</formula>
    </cfRule>
    <cfRule type="expression" dxfId="7127" priority="279">
      <formula>AND(I$9&gt;=8/24,I$9&lt;14/24)</formula>
    </cfRule>
    <cfRule type="expression" dxfId="7126" priority="280">
      <formula>I$9&lt;8/24</formula>
    </cfRule>
  </conditionalFormatting>
  <conditionalFormatting sqref="U94:AA97">
    <cfRule type="expression" dxfId="7125" priority="273">
      <formula>U$9&gt;=20/24</formula>
    </cfRule>
    <cfRule type="expression" dxfId="7124" priority="274">
      <formula>AND(U$9&gt;=14/24,U$9&lt;20/24)</formula>
    </cfRule>
    <cfRule type="expression" dxfId="7123" priority="275">
      <formula>AND(U$9&gt;=8/24,U$9&lt;14/24)</formula>
    </cfRule>
    <cfRule type="expression" dxfId="7122" priority="276">
      <formula>U$9&lt;8/24</formula>
    </cfRule>
  </conditionalFormatting>
  <conditionalFormatting sqref="B38:AF38 C51:AG51 E11:U11 C39:L44 N12:U12 N16:V32 V11:V12 N14:V14 N13:W13 W17:W32 W11:AF11 X18:AF32 N34:AF37 O39:AF50 B52:AF56">
    <cfRule type="expression" dxfId="7121" priority="272">
      <formula>B11&gt;$AG11</formula>
    </cfRule>
  </conditionalFormatting>
  <conditionalFormatting sqref="A100:A156 A84:A97 A11:A14 A16:A32 A45:A72 A80:A82 A74:A78 A35:A43 A169:A199">
    <cfRule type="expression" dxfId="7120" priority="271">
      <formula>$AH11=0</formula>
    </cfRule>
  </conditionalFormatting>
  <conditionalFormatting sqref="U98:AA98">
    <cfRule type="expression" dxfId="7119" priority="267">
      <formula>U$9&gt;=20/24</formula>
    </cfRule>
    <cfRule type="expression" dxfId="7118" priority="268">
      <formula>AND(U$9&gt;=14/24,U$9&lt;20/24)</formula>
    </cfRule>
    <cfRule type="expression" dxfId="7117" priority="269">
      <formula>AND(U$9&gt;=8/24,U$9&lt;14/24)</formula>
    </cfRule>
    <cfRule type="expression" dxfId="7116" priority="270">
      <formula>U$9&lt;8/24</formula>
    </cfRule>
  </conditionalFormatting>
  <conditionalFormatting sqref="A98">
    <cfRule type="expression" dxfId="7115" priority="266">
      <formula>$AH98=0</formula>
    </cfRule>
  </conditionalFormatting>
  <conditionalFormatting sqref="AL32">
    <cfRule type="iconSet" priority="253">
      <iconSet iconSet="3TrafficLights2" reverse="1">
        <cfvo type="percent" val="0"/>
        <cfvo type="num" val="1"/>
        <cfvo type="num" val="1"/>
      </iconSet>
    </cfRule>
  </conditionalFormatting>
  <conditionalFormatting sqref="N34:W34">
    <cfRule type="expression" dxfId="7114" priority="245">
      <formula>N$9&gt;=20/24</formula>
    </cfRule>
    <cfRule type="expression" dxfId="7113" priority="246">
      <formula>AND(N$9&gt;=14/24,N$9&lt;20/24)</formula>
    </cfRule>
    <cfRule type="expression" dxfId="7112" priority="247">
      <formula>AND(N$9&gt;=8/24,N$9&lt;14/24)</formula>
    </cfRule>
    <cfRule type="expression" dxfId="7111" priority="248">
      <formula>N$9&lt;8/24</formula>
    </cfRule>
  </conditionalFormatting>
  <conditionalFormatting sqref="X34:AF34">
    <cfRule type="expression" dxfId="7110" priority="241">
      <formula>X$9&gt;=20/24</formula>
    </cfRule>
    <cfRule type="expression" dxfId="7109" priority="242">
      <formula>AND(X$9&gt;=14/24,X$9&lt;20/24)</formula>
    </cfRule>
    <cfRule type="expression" dxfId="7108" priority="243">
      <formula>AND(X$9&gt;=8/24,X$9&lt;14/24)</formula>
    </cfRule>
    <cfRule type="expression" dxfId="7107" priority="244">
      <formula>X$9&lt;8/24</formula>
    </cfRule>
  </conditionalFormatting>
  <conditionalFormatting sqref="A34">
    <cfRule type="expression" dxfId="7106" priority="240">
      <formula>$AH34=0</formula>
    </cfRule>
  </conditionalFormatting>
  <conditionalFormatting sqref="A83">
    <cfRule type="expression" dxfId="7105" priority="239">
      <formula>$AH83=0</formula>
    </cfRule>
  </conditionalFormatting>
  <conditionalFormatting sqref="U69 N15:V15 U42:V42">
    <cfRule type="expression" dxfId="7104" priority="231">
      <formula>N$9&gt;=20/24</formula>
    </cfRule>
    <cfRule type="expression" dxfId="7103" priority="232">
      <formula>AND(N$9&gt;=14/24,N$9&lt;20/24)</formula>
    </cfRule>
    <cfRule type="expression" dxfId="7102" priority="233">
      <formula>AND(N$9&gt;=8/24,N$9&lt;14/24)</formula>
    </cfRule>
    <cfRule type="expression" dxfId="7101" priority="234">
      <formula>N$9&lt;8/24</formula>
    </cfRule>
  </conditionalFormatting>
  <conditionalFormatting sqref="N15:V15">
    <cfRule type="expression" dxfId="7100" priority="230">
      <formula>N15&gt;$AG15</formula>
    </cfRule>
  </conditionalFormatting>
  <conditionalFormatting sqref="A15">
    <cfRule type="expression" dxfId="7099" priority="229">
      <formula>$AH15=0</formula>
    </cfRule>
  </conditionalFormatting>
  <conditionalFormatting sqref="A163:A168">
    <cfRule type="expression" dxfId="7098" priority="228">
      <formula>$AH163=0</formula>
    </cfRule>
  </conditionalFormatting>
  <conditionalFormatting sqref="A157:A162">
    <cfRule type="expression" dxfId="7097" priority="227">
      <formula>$AH157=0</formula>
    </cfRule>
  </conditionalFormatting>
  <conditionalFormatting sqref="Z44:AF44">
    <cfRule type="expression" dxfId="7096" priority="223">
      <formula>Z$9&gt;=20/24</formula>
    </cfRule>
    <cfRule type="expression" dxfId="7095" priority="224">
      <formula>AND(Z$9&gt;=14/24,Z$9&lt;20/24)</formula>
    </cfRule>
    <cfRule type="expression" dxfId="7094" priority="225">
      <formula>AND(Z$9&gt;=8/24,Z$9&lt;14/24)</formula>
    </cfRule>
    <cfRule type="expression" dxfId="7093" priority="226">
      <formula>Z$9&lt;8/24</formula>
    </cfRule>
  </conditionalFormatting>
  <conditionalFormatting sqref="O44:W44">
    <cfRule type="expression" dxfId="7092" priority="219">
      <formula>O$9&gt;=20/24</formula>
    </cfRule>
    <cfRule type="expression" dxfId="7091" priority="220">
      <formula>AND(O$9&gt;=14/24,O$9&lt;20/24)</formula>
    </cfRule>
    <cfRule type="expression" dxfId="7090" priority="221">
      <formula>AND(O$9&gt;=8/24,O$9&lt;14/24)</formula>
    </cfRule>
    <cfRule type="expression" dxfId="7089" priority="222">
      <formula>O$9&lt;8/24</formula>
    </cfRule>
  </conditionalFormatting>
  <conditionalFormatting sqref="S44:AF44">
    <cfRule type="expression" dxfId="7088" priority="215">
      <formula>S$9&gt;=20/24</formula>
    </cfRule>
    <cfRule type="expression" dxfId="7087" priority="216">
      <formula>AND(S$9&gt;=14/24,S$9&lt;20/24)</formula>
    </cfRule>
    <cfRule type="expression" dxfId="7086" priority="217">
      <formula>AND(S$9&gt;=8/24,S$9&lt;14/24)</formula>
    </cfRule>
    <cfRule type="expression" dxfId="7085" priority="218">
      <formula>S$9&lt;8/24</formula>
    </cfRule>
  </conditionalFormatting>
  <conditionalFormatting sqref="A44">
    <cfRule type="expression" dxfId="7084" priority="214">
      <formula>$AH44=0</formula>
    </cfRule>
  </conditionalFormatting>
  <conditionalFormatting sqref="A79">
    <cfRule type="expression" dxfId="7083" priority="213">
      <formula>$AH79=0</formula>
    </cfRule>
  </conditionalFormatting>
  <conditionalFormatting sqref="A73">
    <cfRule type="expression" dxfId="7082" priority="212">
      <formula>$AH73=0</formula>
    </cfRule>
  </conditionalFormatting>
  <conditionalFormatting sqref="AL34:AL35 AL7:AL31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V60:W67">
    <cfRule type="expression" dxfId="7081" priority="208">
      <formula>V$9&gt;=20/24</formula>
    </cfRule>
    <cfRule type="expression" dxfId="7080" priority="209">
      <formula>AND(V$9&gt;=14/24,V$9&lt;20/24)</formula>
    </cfRule>
    <cfRule type="expression" dxfId="7079" priority="210">
      <formula>AND(V$9&gt;=8/24,V$9&lt;14/24)</formula>
    </cfRule>
    <cfRule type="expression" dxfId="7078" priority="211">
      <formula>V$9&lt;8/24</formula>
    </cfRule>
  </conditionalFormatting>
  <conditionalFormatting sqref="U85:W91">
    <cfRule type="expression" dxfId="7077" priority="204">
      <formula>U$9&gt;=20/24</formula>
    </cfRule>
    <cfRule type="expression" dxfId="7076" priority="205">
      <formula>AND(U$9&gt;=14/24,U$9&lt;20/24)</formula>
    </cfRule>
    <cfRule type="expression" dxfId="7075" priority="206">
      <formula>AND(U$9&gt;=8/24,U$9&lt;14/24)</formula>
    </cfRule>
    <cfRule type="expression" dxfId="7074" priority="207">
      <formula>U$9&lt;8/24</formula>
    </cfRule>
  </conditionalFormatting>
  <conditionalFormatting sqref="S85:T91 C84:R91">
    <cfRule type="expression" dxfId="7073" priority="200">
      <formula>C$9&gt;=20/24</formula>
    </cfRule>
    <cfRule type="expression" dxfId="7072" priority="201">
      <formula>AND(C$9&gt;=14/24,C$9&lt;20/24)</formula>
    </cfRule>
    <cfRule type="expression" dxfId="7071" priority="202">
      <formula>AND(C$9&gt;=8/24,C$9&lt;14/24)</formula>
    </cfRule>
    <cfRule type="expression" dxfId="7070" priority="203">
      <formula>C$9&lt;8/24</formula>
    </cfRule>
  </conditionalFormatting>
  <conditionalFormatting sqref="S84:T84">
    <cfRule type="expression" dxfId="7069" priority="196">
      <formula>S$9&gt;=20/24</formula>
    </cfRule>
    <cfRule type="expression" dxfId="7068" priority="197">
      <formula>AND(S$9&gt;=14/24,S$9&lt;20/24)</formula>
    </cfRule>
    <cfRule type="expression" dxfId="7067" priority="198">
      <formula>AND(S$9&gt;=8/24,S$9&lt;14/24)</formula>
    </cfRule>
    <cfRule type="expression" dxfId="7066" priority="199">
      <formula>S$9&lt;8/24</formula>
    </cfRule>
  </conditionalFormatting>
  <conditionalFormatting sqref="C94:F94 C95:Q97">
    <cfRule type="expression" dxfId="7065" priority="192">
      <formula>C$9&gt;=20/24</formula>
    </cfRule>
    <cfRule type="expression" dxfId="7064" priority="193">
      <formula>AND(C$9&gt;=14/24,C$9&lt;20/24)</formula>
    </cfRule>
    <cfRule type="expression" dxfId="7063" priority="194">
      <formula>AND(C$9&gt;=8/24,C$9&lt;14/24)</formula>
    </cfRule>
    <cfRule type="expression" dxfId="7062" priority="195">
      <formula>C$9&lt;8/24</formula>
    </cfRule>
  </conditionalFormatting>
  <conditionalFormatting sqref="R94:R97">
    <cfRule type="expression" dxfId="7061" priority="188">
      <formula>R$9&gt;=20/24</formula>
    </cfRule>
    <cfRule type="expression" dxfId="7060" priority="189">
      <formula>AND(R$9&gt;=14/24,R$9&lt;20/24)</formula>
    </cfRule>
    <cfRule type="expression" dxfId="7059" priority="190">
      <formula>AND(R$9&gt;=8/24,R$9&lt;14/24)</formula>
    </cfRule>
    <cfRule type="expression" dxfId="7058" priority="191">
      <formula>R$9&lt;8/24</formula>
    </cfRule>
  </conditionalFormatting>
  <conditionalFormatting sqref="S94:T97">
    <cfRule type="expression" dxfId="7057" priority="184">
      <formula>S$9&gt;=20/24</formula>
    </cfRule>
    <cfRule type="expression" dxfId="7056" priority="185">
      <formula>AND(S$9&gt;=14/24,S$9&lt;20/24)</formula>
    </cfRule>
    <cfRule type="expression" dxfId="7055" priority="186">
      <formula>AND(S$9&gt;=8/24,S$9&lt;14/24)</formula>
    </cfRule>
    <cfRule type="expression" dxfId="7054" priority="187">
      <formula>S$9&lt;8/24</formula>
    </cfRule>
  </conditionalFormatting>
  <conditionalFormatting sqref="C98:Q98">
    <cfRule type="expression" dxfId="7053" priority="180">
      <formula>C$9&gt;=20/24</formula>
    </cfRule>
    <cfRule type="expression" dxfId="7052" priority="181">
      <formula>AND(C$9&gt;=14/24,C$9&lt;20/24)</formula>
    </cfRule>
    <cfRule type="expression" dxfId="7051" priority="182">
      <formula>AND(C$9&gt;=8/24,C$9&lt;14/24)</formula>
    </cfRule>
    <cfRule type="expression" dxfId="7050" priority="183">
      <formula>C$9&lt;8/24</formula>
    </cfRule>
  </conditionalFormatting>
  <conditionalFormatting sqref="R98">
    <cfRule type="expression" dxfId="7049" priority="176">
      <formula>R$9&gt;=20/24</formula>
    </cfRule>
    <cfRule type="expression" dxfId="7048" priority="177">
      <formula>AND(R$9&gt;=14/24,R$9&lt;20/24)</formula>
    </cfRule>
    <cfRule type="expression" dxfId="7047" priority="178">
      <formula>AND(R$9&gt;=8/24,R$9&lt;14/24)</formula>
    </cfRule>
    <cfRule type="expression" dxfId="7046" priority="179">
      <formula>R$9&lt;8/24</formula>
    </cfRule>
  </conditionalFormatting>
  <conditionalFormatting sqref="S98:T98">
    <cfRule type="expression" dxfId="7045" priority="172">
      <formula>S$9&gt;=20/24</formula>
    </cfRule>
    <cfRule type="expression" dxfId="7044" priority="173">
      <formula>AND(S$9&gt;=14/24,S$9&lt;20/24)</formula>
    </cfRule>
    <cfRule type="expression" dxfId="7043" priority="174">
      <formula>AND(S$9&gt;=8/24,S$9&lt;14/24)</formula>
    </cfRule>
    <cfRule type="expression" dxfId="7042" priority="175">
      <formula>S$9&lt;8/24</formula>
    </cfRule>
  </conditionalFormatting>
  <conditionalFormatting sqref="M94:Q94">
    <cfRule type="expression" dxfId="7041" priority="168">
      <formula>M$9&gt;=20/24</formula>
    </cfRule>
    <cfRule type="expression" dxfId="7040" priority="169">
      <formula>AND(M$9&gt;=14/24,M$9&lt;20/24)</formula>
    </cfRule>
    <cfRule type="expression" dxfId="7039" priority="170">
      <formula>AND(M$9&gt;=8/24,M$9&lt;14/24)</formula>
    </cfRule>
    <cfRule type="expression" dxfId="7038" priority="171">
      <formula>M$9&lt;8/24</formula>
    </cfRule>
  </conditionalFormatting>
  <conditionalFormatting sqref="G94:L94">
    <cfRule type="expression" dxfId="7037" priority="164">
      <formula>G$9&gt;=20/24</formula>
    </cfRule>
    <cfRule type="expression" dxfId="7036" priority="165">
      <formula>AND(G$9&gt;=14/24,G$9&lt;20/24)</formula>
    </cfRule>
    <cfRule type="expression" dxfId="7035" priority="166">
      <formula>AND(G$9&gt;=8/24,G$9&lt;14/24)</formula>
    </cfRule>
    <cfRule type="expression" dxfId="7034" priority="167">
      <formula>G$9&lt;8/24</formula>
    </cfRule>
  </conditionalFormatting>
  <conditionalFormatting sqref="U94:W94">
    <cfRule type="expression" dxfId="7033" priority="160">
      <formula>U$9&gt;=20/24</formula>
    </cfRule>
    <cfRule type="expression" dxfId="7032" priority="161">
      <formula>AND(U$9&gt;=14/24,U$9&lt;20/24)</formula>
    </cfRule>
    <cfRule type="expression" dxfId="7031" priority="162">
      <formula>AND(U$9&gt;=8/24,U$9&lt;14/24)</formula>
    </cfRule>
    <cfRule type="expression" dxfId="7030" priority="163">
      <formula>U$9&lt;8/24</formula>
    </cfRule>
  </conditionalFormatting>
  <conditionalFormatting sqref="R94:T94">
    <cfRule type="expression" dxfId="7029" priority="156">
      <formula>R$9&gt;=20/24</formula>
    </cfRule>
    <cfRule type="expression" dxfId="7028" priority="157">
      <formula>AND(R$9&gt;=14/24,R$9&lt;20/24)</formula>
    </cfRule>
    <cfRule type="expression" dxfId="7027" priority="158">
      <formula>AND(R$9&gt;=8/24,R$9&lt;14/24)</formula>
    </cfRule>
    <cfRule type="expression" dxfId="7026" priority="159">
      <formula>R$9&lt;8/24</formula>
    </cfRule>
  </conditionalFormatting>
  <conditionalFormatting sqref="U99:AA99">
    <cfRule type="expression" dxfId="7025" priority="152">
      <formula>U$9&gt;=20/24</formula>
    </cfRule>
    <cfRule type="expression" dxfId="7024" priority="153">
      <formula>AND(U$9&gt;=14/24,U$9&lt;20/24)</formula>
    </cfRule>
    <cfRule type="expression" dxfId="7023" priority="154">
      <formula>AND(U$9&gt;=8/24,U$9&lt;14/24)</formula>
    </cfRule>
    <cfRule type="expression" dxfId="7022" priority="155">
      <formula>U$9&lt;8/24</formula>
    </cfRule>
  </conditionalFormatting>
  <conditionalFormatting sqref="C99:Q99">
    <cfRule type="expression" dxfId="7021" priority="148">
      <formula>C$9&gt;=20/24</formula>
    </cfRule>
    <cfRule type="expression" dxfId="7020" priority="149">
      <formula>AND(C$9&gt;=14/24,C$9&lt;20/24)</formula>
    </cfRule>
    <cfRule type="expression" dxfId="7019" priority="150">
      <formula>AND(C$9&gt;=8/24,C$9&lt;14/24)</formula>
    </cfRule>
    <cfRule type="expression" dxfId="7018" priority="151">
      <formula>C$9&lt;8/24</formula>
    </cfRule>
  </conditionalFormatting>
  <conditionalFormatting sqref="R99">
    <cfRule type="expression" dxfId="7017" priority="144">
      <formula>R$9&gt;=20/24</formula>
    </cfRule>
    <cfRule type="expression" dxfId="7016" priority="145">
      <formula>AND(R$9&gt;=14/24,R$9&lt;20/24)</formula>
    </cfRule>
    <cfRule type="expression" dxfId="7015" priority="146">
      <formula>AND(R$9&gt;=8/24,R$9&lt;14/24)</formula>
    </cfRule>
    <cfRule type="expression" dxfId="7014" priority="147">
      <formula>R$9&lt;8/24</formula>
    </cfRule>
  </conditionalFormatting>
  <conditionalFormatting sqref="S99:T99">
    <cfRule type="expression" dxfId="7013" priority="140">
      <formula>S$9&gt;=20/24</formula>
    </cfRule>
    <cfRule type="expression" dxfId="7012" priority="141">
      <formula>AND(S$9&gt;=14/24,S$9&lt;20/24)</formula>
    </cfRule>
    <cfRule type="expression" dxfId="7011" priority="142">
      <formula>AND(S$9&gt;=8/24,S$9&lt;14/24)</formula>
    </cfRule>
    <cfRule type="expression" dxfId="7010" priority="143">
      <formula>S$9&lt;8/24</formula>
    </cfRule>
  </conditionalFormatting>
  <conditionalFormatting sqref="W12:X12 W14:X16 X13 Y12:AF16">
    <cfRule type="expression" dxfId="7009" priority="136">
      <formula>W$9&gt;=20/24</formula>
    </cfRule>
    <cfRule type="expression" dxfId="7008" priority="137">
      <formula>AND(W$9&gt;=14/24,W$9&lt;20/24)</formula>
    </cfRule>
    <cfRule type="expression" dxfId="7007" priority="138">
      <formula>AND(W$9&gt;=8/24,W$9&lt;14/24)</formula>
    </cfRule>
    <cfRule type="expression" dxfId="7006" priority="139">
      <formula>W$9&lt;8/24</formula>
    </cfRule>
  </conditionalFormatting>
  <conditionalFormatting sqref="X17:AF17">
    <cfRule type="expression" dxfId="7005" priority="132">
      <formula>X$9&gt;=20/24</formula>
    </cfRule>
    <cfRule type="expression" dxfId="7004" priority="133">
      <formula>AND(X$9&gt;=14/24,X$9&lt;20/24)</formula>
    </cfRule>
    <cfRule type="expression" dxfId="7003" priority="134">
      <formula>AND(X$9&gt;=8/24,X$9&lt;14/24)</formula>
    </cfRule>
    <cfRule type="expression" dxfId="7002" priority="135">
      <formula>X$9&lt;8/24</formula>
    </cfRule>
  </conditionalFormatting>
  <conditionalFormatting sqref="W12:X12 X13 Y12:AF13">
    <cfRule type="expression" dxfId="7001" priority="128">
      <formula>W$9&gt;=20/24</formula>
    </cfRule>
    <cfRule type="expression" dxfId="7000" priority="129">
      <formula>AND(W$9&gt;=14/24,W$9&lt;20/24)</formula>
    </cfRule>
    <cfRule type="expression" dxfId="6999" priority="130">
      <formula>AND(W$9&gt;=8/24,W$9&lt;14/24)</formula>
    </cfRule>
    <cfRule type="expression" dxfId="6998" priority="131">
      <formula>W$9&lt;8/24</formula>
    </cfRule>
  </conditionalFormatting>
  <conditionalFormatting sqref="AE58:AF59">
    <cfRule type="expression" dxfId="6997" priority="124">
      <formula>AE$9&gt;=20/24</formula>
    </cfRule>
    <cfRule type="expression" dxfId="6996" priority="125">
      <formula>AND(AE$9&gt;=14/24,AE$9&lt;20/24)</formula>
    </cfRule>
    <cfRule type="expression" dxfId="6995" priority="126">
      <formula>AND(AE$9&gt;=8/24,AE$9&lt;14/24)</formula>
    </cfRule>
    <cfRule type="expression" dxfId="6994" priority="127">
      <formula>AE$9&lt;8/24</formula>
    </cfRule>
  </conditionalFormatting>
  <conditionalFormatting sqref="AL33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93" priority="357">
      <formula>C$9&gt;=20/24</formula>
    </cfRule>
    <cfRule type="expression" dxfId="6992" priority="358">
      <formula>AND(C$9&gt;=14/24,C$9&lt;20/24)</formula>
    </cfRule>
    <cfRule type="expression" dxfId="6991" priority="359">
      <formula>AND(C$9&gt;=8/24,C$9&lt;14/24)</formula>
    </cfRule>
    <cfRule type="expression" dxfId="6990" priority="360">
      <formula>C$9&lt;8/24</formula>
    </cfRule>
  </conditionalFormatting>
  <conditionalFormatting sqref="A200">
    <cfRule type="expression" dxfId="6989" priority="361">
      <formula>$AH200=0</formula>
    </cfRule>
  </conditionalFormatting>
  <conditionalFormatting sqref="AG212">
    <cfRule type="expression" dxfId="6988" priority="363">
      <formula>B$9&gt;=20/24</formula>
    </cfRule>
    <cfRule type="expression" dxfId="6987" priority="364">
      <formula>AND(B$9&gt;=14/24,B$9&lt;20/24)</formula>
    </cfRule>
    <cfRule type="expression" dxfId="6986" priority="365">
      <formula>AND(B$9&gt;=8/24,B$9&lt;14/24)</formula>
    </cfRule>
    <cfRule type="expression" dxfId="6985" priority="366">
      <formula>B$9&lt;8/24</formula>
    </cfRule>
  </conditionalFormatting>
  <conditionalFormatting sqref="S8">
    <cfRule type="expression" dxfId="6984" priority="113">
      <formula>U$9&gt;=20/24</formula>
    </cfRule>
    <cfRule type="expression" dxfId="6983" priority="114">
      <formula>AND(U$9&gt;=14/24,U$9&lt;20/24)</formula>
    </cfRule>
    <cfRule type="expression" dxfId="6982" priority="115">
      <formula>AND(U$9&gt;=8/24,U$9&lt;14/24)</formula>
    </cfRule>
    <cfRule type="expression" dxfId="6981" priority="116">
      <formula>U$9&lt;8/24</formula>
    </cfRule>
  </conditionalFormatting>
  <conditionalFormatting sqref="AB8">
    <cfRule type="expression" dxfId="6980" priority="109">
      <formula>AD$9&gt;=20/24</formula>
    </cfRule>
    <cfRule type="expression" dxfId="6979" priority="110">
      <formula>AND(AD$9&gt;=14/24,AD$9&lt;20/24)</formula>
    </cfRule>
    <cfRule type="expression" dxfId="6978" priority="111">
      <formula>AND(AD$9&gt;=8/24,AD$9&lt;14/24)</formula>
    </cfRule>
    <cfRule type="expression" dxfId="6977" priority="112">
      <formula>AD$9&lt;8/24</formula>
    </cfRule>
  </conditionalFormatting>
  <conditionalFormatting sqref="AH212:AX212">
    <cfRule type="expression" dxfId="6976" priority="367">
      <formula>AG$9&gt;=20/24</formula>
    </cfRule>
    <cfRule type="expression" dxfId="6975" priority="368">
      <formula>AND(AG$9&gt;=14/24,AG$9&lt;20/24)</formula>
    </cfRule>
    <cfRule type="expression" dxfId="6974" priority="369">
      <formula>AND(AG$9&gt;=8/24,AG$9&lt;14/24)</formula>
    </cfRule>
    <cfRule type="expression" dxfId="6973" priority="370">
      <formula>AG$9&lt;8/24</formula>
    </cfRule>
  </conditionalFormatting>
  <conditionalFormatting sqref="T212">
    <cfRule type="expression" dxfId="6972" priority="371">
      <formula>AX$9&gt;=20/24</formula>
    </cfRule>
    <cfRule type="expression" dxfId="6971" priority="372">
      <formula>AND(AX$9&gt;=14/24,AX$9&lt;20/24)</formula>
    </cfRule>
    <cfRule type="expression" dxfId="6970" priority="373">
      <formula>AND(AX$9&gt;=8/24,AX$9&lt;14/24)</formula>
    </cfRule>
    <cfRule type="expression" dxfId="6969" priority="374">
      <formula>AX$9&lt;8/24</formula>
    </cfRule>
  </conditionalFormatting>
  <conditionalFormatting sqref="A99">
    <cfRule type="expression" dxfId="6968" priority="108">
      <formula>$AH99=0</formula>
    </cfRule>
  </conditionalFormatting>
  <conditionalFormatting sqref="B11:D11 B37:L37">
    <cfRule type="expression" dxfId="6967" priority="107">
      <formula>B11&gt;$AG11</formula>
    </cfRule>
  </conditionalFormatting>
  <conditionalFormatting sqref="B12:M14 B16:M16 B22:M22 B36:M36">
    <cfRule type="expression" dxfId="6966" priority="103">
      <formula>B$9&gt;=20/24</formula>
    </cfRule>
    <cfRule type="expression" dxfId="6965" priority="104">
      <formula>AND(B$9&gt;=14/24,B$9&lt;20/24)</formula>
    </cfRule>
    <cfRule type="expression" dxfId="6964" priority="105">
      <formula>AND(B$9&gt;=8/24,B$9&lt;14/24)</formula>
    </cfRule>
    <cfRule type="expression" dxfId="6963" priority="106">
      <formula>B$9&lt;8/24</formula>
    </cfRule>
  </conditionalFormatting>
  <conditionalFormatting sqref="B12:M14 B16:M16 B22:M22 B36:M36">
    <cfRule type="expression" dxfId="6962" priority="102">
      <formula>B12&gt;$AG12</formula>
    </cfRule>
  </conditionalFormatting>
  <conditionalFormatting sqref="B15:M15">
    <cfRule type="expression" dxfId="6961" priority="98">
      <formula>B$9&gt;=20/24</formula>
    </cfRule>
    <cfRule type="expression" dxfId="6960" priority="99">
      <formula>AND(B$9&gt;=14/24,B$9&lt;20/24)</formula>
    </cfRule>
    <cfRule type="expression" dxfId="6959" priority="100">
      <formula>AND(B$9&gt;=8/24,B$9&lt;14/24)</formula>
    </cfRule>
    <cfRule type="expression" dxfId="6958" priority="101">
      <formula>B$9&lt;8/24</formula>
    </cfRule>
  </conditionalFormatting>
  <conditionalFormatting sqref="B15:M15">
    <cfRule type="expression" dxfId="6957" priority="97">
      <formula>B15&gt;$AG15</formula>
    </cfRule>
  </conditionalFormatting>
  <conditionalFormatting sqref="B17:M21">
    <cfRule type="expression" dxfId="6956" priority="93">
      <formula>B$9&gt;=20/24</formula>
    </cfRule>
    <cfRule type="expression" dxfId="6955" priority="94">
      <formula>AND(B$9&gt;=14/24,B$9&lt;20/24)</formula>
    </cfRule>
    <cfRule type="expression" dxfId="6954" priority="95">
      <formula>AND(B$9&gt;=8/24,B$9&lt;14/24)</formula>
    </cfRule>
    <cfRule type="expression" dxfId="6953" priority="96">
      <formula>B$9&lt;8/24</formula>
    </cfRule>
  </conditionalFormatting>
  <conditionalFormatting sqref="B17:M21">
    <cfRule type="expression" dxfId="6952" priority="92">
      <formula>B17&gt;$AG17</formula>
    </cfRule>
  </conditionalFormatting>
  <conditionalFormatting sqref="B23:M32">
    <cfRule type="expression" dxfId="6951" priority="88">
      <formula>B$9&gt;=20/24</formula>
    </cfRule>
    <cfRule type="expression" dxfId="6950" priority="89">
      <formula>AND(B$9&gt;=14/24,B$9&lt;20/24)</formula>
    </cfRule>
    <cfRule type="expression" dxfId="6949" priority="90">
      <formula>AND(B$9&gt;=8/24,B$9&lt;14/24)</formula>
    </cfRule>
    <cfRule type="expression" dxfId="6948" priority="91">
      <formula>B$9&lt;8/24</formula>
    </cfRule>
  </conditionalFormatting>
  <conditionalFormatting sqref="B35:M35">
    <cfRule type="expression" dxfId="6947" priority="84">
      <formula>B$9&gt;=20/24</formula>
    </cfRule>
    <cfRule type="expression" dxfId="6946" priority="85">
      <formula>AND(B$9&gt;=14/24,B$9&lt;20/24)</formula>
    </cfRule>
    <cfRule type="expression" dxfId="6945" priority="86">
      <formula>AND(B$9&gt;=8/24,B$9&lt;14/24)</formula>
    </cfRule>
    <cfRule type="expression" dxfId="6944" priority="87">
      <formula>B$9&lt;8/24</formula>
    </cfRule>
  </conditionalFormatting>
  <conditionalFormatting sqref="B34:M35 B23:M32">
    <cfRule type="expression" dxfId="6943" priority="83">
      <formula>B23&gt;$AG23</formula>
    </cfRule>
  </conditionalFormatting>
  <conditionalFormatting sqref="B34:M34">
    <cfRule type="expression" dxfId="6942" priority="79">
      <formula>B$9&gt;=20/24</formula>
    </cfRule>
    <cfRule type="expression" dxfId="6941" priority="80">
      <formula>AND(B$9&gt;=14/24,B$9&lt;20/24)</formula>
    </cfRule>
    <cfRule type="expression" dxfId="6940" priority="81">
      <formula>AND(B$9&gt;=8/24,B$9&lt;14/24)</formula>
    </cfRule>
    <cfRule type="expression" dxfId="6939" priority="82">
      <formula>B$9&lt;8/24</formula>
    </cfRule>
  </conditionalFormatting>
  <conditionalFormatting sqref="B45:L48">
    <cfRule type="expression" dxfId="6938" priority="70">
      <formula>B$9&gt;=20/24</formula>
    </cfRule>
    <cfRule type="expression" dxfId="6937" priority="71">
      <formula>AND(B$9&gt;=14/24,B$9&lt;20/24)</formula>
    </cfRule>
    <cfRule type="expression" dxfId="6936" priority="72">
      <formula>AND(B$9&gt;=8/24,B$9&lt;14/24)</formula>
    </cfRule>
    <cfRule type="expression" dxfId="6935" priority="73">
      <formula>B$9&lt;8/24</formula>
    </cfRule>
  </conditionalFormatting>
  <conditionalFormatting sqref="B49:L49">
    <cfRule type="expression" dxfId="6934" priority="66">
      <formula>B$9&gt;=20/24</formula>
    </cfRule>
    <cfRule type="expression" dxfId="6933" priority="67">
      <formula>AND(B$9&gt;=14/24,B$9&lt;20/24)</formula>
    </cfRule>
    <cfRule type="expression" dxfId="6932" priority="68">
      <formula>AND(B$9&gt;=8/24,B$9&lt;14/24)</formula>
    </cfRule>
    <cfRule type="expression" dxfId="6931" priority="69">
      <formula>B$9&lt;8/24</formula>
    </cfRule>
  </conditionalFormatting>
  <conditionalFormatting sqref="B50:L50">
    <cfRule type="expression" dxfId="6930" priority="62">
      <formula>B$9&gt;=20/24</formula>
    </cfRule>
    <cfRule type="expression" dxfId="6929" priority="63">
      <formula>AND(B$9&gt;=14/24,B$9&lt;20/24)</formula>
    </cfRule>
    <cfRule type="expression" dxfId="6928" priority="64">
      <formula>AND(B$9&gt;=8/24,B$9&lt;14/24)</formula>
    </cfRule>
    <cfRule type="expression" dxfId="6927" priority="65">
      <formula>B$9&lt;8/24</formula>
    </cfRule>
  </conditionalFormatting>
  <conditionalFormatting sqref="B39:B51 C45:L50">
    <cfRule type="expression" dxfId="6926" priority="61">
      <formula>B39&gt;$AG39</formula>
    </cfRule>
  </conditionalFormatting>
  <conditionalFormatting sqref="B44">
    <cfRule type="expression" dxfId="6925" priority="57">
      <formula>B$9&gt;=20/24</formula>
    </cfRule>
    <cfRule type="expression" dxfId="6924" priority="58">
      <formula>AND(B$9&gt;=14/24,B$9&lt;20/24)</formula>
    </cfRule>
    <cfRule type="expression" dxfId="6923" priority="59">
      <formula>AND(B$9&gt;=8/24,B$9&lt;14/24)</formula>
    </cfRule>
    <cfRule type="expression" dxfId="6922" priority="60">
      <formula>B$9&lt;8/24</formula>
    </cfRule>
  </conditionalFormatting>
  <conditionalFormatting sqref="B44">
    <cfRule type="expression" dxfId="6921" priority="53">
      <formula>B$9&gt;=20/24</formula>
    </cfRule>
    <cfRule type="expression" dxfId="6920" priority="54">
      <formula>AND(B$9&gt;=14/24,B$9&lt;20/24)</formula>
    </cfRule>
    <cfRule type="expression" dxfId="6919" priority="55">
      <formula>AND(B$9&gt;=8/24,B$9&lt;14/24)</formula>
    </cfRule>
    <cfRule type="expression" dxfId="6918" priority="56">
      <formula>B$9&lt;8/24</formula>
    </cfRule>
  </conditionalFormatting>
  <conditionalFormatting sqref="M37">
    <cfRule type="expression" dxfId="6917" priority="49">
      <formula>M$9&gt;=20/24</formula>
    </cfRule>
    <cfRule type="expression" dxfId="6916" priority="50">
      <formula>AND(M$9&gt;=14/24,M$9&lt;20/24)</formula>
    </cfRule>
    <cfRule type="expression" dxfId="6915" priority="51">
      <formula>AND(M$9&gt;=8/24,M$9&lt;14/24)</formula>
    </cfRule>
    <cfRule type="expression" dxfId="6914" priority="52">
      <formula>M$9&lt;8/24</formula>
    </cfRule>
  </conditionalFormatting>
  <conditionalFormatting sqref="M37">
    <cfRule type="expression" dxfId="6913" priority="48">
      <formula>M37&gt;$AG37</formula>
    </cfRule>
  </conditionalFormatting>
  <conditionalFormatting sqref="M39:N42 M45:N48">
    <cfRule type="expression" dxfId="6912" priority="44">
      <formula>M$9&gt;=20/24</formula>
    </cfRule>
    <cfRule type="expression" dxfId="6911" priority="45">
      <formula>AND(M$9&gt;=14/24,M$9&lt;20/24)</formula>
    </cfRule>
    <cfRule type="expression" dxfId="6910" priority="46">
      <formula>AND(M$9&gt;=8/24,M$9&lt;14/24)</formula>
    </cfRule>
    <cfRule type="expression" dxfId="6909" priority="47">
      <formula>M$9&lt;8/24</formula>
    </cfRule>
  </conditionalFormatting>
  <conditionalFormatting sqref="M43:N43">
    <cfRule type="expression" dxfId="6908" priority="40">
      <formula>M$9&gt;=20/24</formula>
    </cfRule>
    <cfRule type="expression" dxfId="6907" priority="41">
      <formula>AND(M$9&gt;=14/24,M$9&lt;20/24)</formula>
    </cfRule>
    <cfRule type="expression" dxfId="6906" priority="42">
      <formula>AND(M$9&gt;=8/24,M$9&lt;14/24)</formula>
    </cfRule>
    <cfRule type="expression" dxfId="6905" priority="43">
      <formula>M$9&lt;8/24</formula>
    </cfRule>
  </conditionalFormatting>
  <conditionalFormatting sqref="M49:N49">
    <cfRule type="expression" dxfId="6904" priority="36">
      <formula>M$9&gt;=20/24</formula>
    </cfRule>
    <cfRule type="expression" dxfId="6903" priority="37">
      <formula>AND(M$9&gt;=14/24,M$9&lt;20/24)</formula>
    </cfRule>
    <cfRule type="expression" dxfId="6902" priority="38">
      <formula>AND(M$9&gt;=8/24,M$9&lt;14/24)</formula>
    </cfRule>
    <cfRule type="expression" dxfId="6901" priority="39">
      <formula>M$9&lt;8/24</formula>
    </cfRule>
  </conditionalFormatting>
  <conditionalFormatting sqref="M50:N50">
    <cfRule type="expression" dxfId="6900" priority="32">
      <formula>M$9&gt;=20/24</formula>
    </cfRule>
    <cfRule type="expression" dxfId="6899" priority="33">
      <formula>AND(M$9&gt;=14/24,M$9&lt;20/24)</formula>
    </cfRule>
    <cfRule type="expression" dxfId="6898" priority="34">
      <formula>AND(M$9&gt;=8/24,M$9&lt;14/24)</formula>
    </cfRule>
    <cfRule type="expression" dxfId="6897" priority="35">
      <formula>M$9&lt;8/24</formula>
    </cfRule>
  </conditionalFormatting>
  <conditionalFormatting sqref="M45:N48">
    <cfRule type="expression" dxfId="6896" priority="28">
      <formula>M$9&gt;=20/24</formula>
    </cfRule>
    <cfRule type="expression" dxfId="6895" priority="29">
      <formula>AND(M$9&gt;=14/24,M$9&lt;20/24)</formula>
    </cfRule>
    <cfRule type="expression" dxfId="6894" priority="30">
      <formula>AND(M$9&gt;=8/24,M$9&lt;14/24)</formula>
    </cfRule>
    <cfRule type="expression" dxfId="6893" priority="31">
      <formula>M$9&lt;8/24</formula>
    </cfRule>
  </conditionalFormatting>
  <conditionalFormatting sqref="M39:N50">
    <cfRule type="expression" dxfId="6892" priority="27">
      <formula>M39&gt;$AG39</formula>
    </cfRule>
  </conditionalFormatting>
  <conditionalFormatting sqref="M44:N44">
    <cfRule type="expression" dxfId="6891" priority="23">
      <formula>M$9&gt;=20/24</formula>
    </cfRule>
    <cfRule type="expression" dxfId="6890" priority="24">
      <formula>AND(M$9&gt;=14/24,M$9&lt;20/24)</formula>
    </cfRule>
    <cfRule type="expression" dxfId="6889" priority="25">
      <formula>AND(M$9&gt;=8/24,M$9&lt;14/24)</formula>
    </cfRule>
    <cfRule type="expression" dxfId="6888" priority="26">
      <formula>M$9&lt;8/24</formula>
    </cfRule>
  </conditionalFormatting>
  <conditionalFormatting sqref="N33:W33">
    <cfRule type="expression" dxfId="6887" priority="19">
      <formula>N$9&gt;=20/24</formula>
    </cfRule>
    <cfRule type="expression" dxfId="6886" priority="20">
      <formula>AND(N$9&gt;=14/24,N$9&lt;20/24)</formula>
    </cfRule>
    <cfRule type="expression" dxfId="6885" priority="21">
      <formula>AND(N$9&gt;=8/24,N$9&lt;14/24)</formula>
    </cfRule>
    <cfRule type="expression" dxfId="6884" priority="22">
      <formula>N$9&lt;8/24</formula>
    </cfRule>
  </conditionalFormatting>
  <conditionalFormatting sqref="X33:AF33">
    <cfRule type="expression" dxfId="6883" priority="11">
      <formula>X$9&gt;=20/24</formula>
    </cfRule>
    <cfRule type="expression" dxfId="6882" priority="12">
      <formula>AND(X$9&gt;=14/24,X$9&lt;20/24)</formula>
    </cfRule>
    <cfRule type="expression" dxfId="6881" priority="13">
      <formula>AND(X$9&gt;=8/24,X$9&lt;14/24)</formula>
    </cfRule>
    <cfRule type="expression" dxfId="6880" priority="14">
      <formula>X$9&lt;8/24</formula>
    </cfRule>
  </conditionalFormatting>
  <conditionalFormatting sqref="N33:AF33">
    <cfRule type="expression" dxfId="6879" priority="10">
      <formula>N33&gt;$AG33</formula>
    </cfRule>
  </conditionalFormatting>
  <conditionalFormatting sqref="B33:M33">
    <cfRule type="expression" dxfId="6878" priority="6">
      <formula>B$9&gt;=20/24</formula>
    </cfRule>
    <cfRule type="expression" dxfId="6877" priority="7">
      <formula>AND(B$9&gt;=14/24,B$9&lt;20/24)</formula>
    </cfRule>
    <cfRule type="expression" dxfId="6876" priority="8">
      <formula>AND(B$9&gt;=8/24,B$9&lt;14/24)</formula>
    </cfRule>
    <cfRule type="expression" dxfId="6875" priority="9">
      <formula>B$9&lt;8/24</formula>
    </cfRule>
  </conditionalFormatting>
  <conditionalFormatting sqref="B33:M33">
    <cfRule type="expression" dxfId="6874" priority="5">
      <formula>B33&gt;$AG33</formula>
    </cfRule>
  </conditionalFormatting>
  <conditionalFormatting sqref="AB58:AD59">
    <cfRule type="expression" dxfId="6873" priority="1">
      <formula>AB$9&gt;=20/24</formula>
    </cfRule>
    <cfRule type="expression" dxfId="6872" priority="2">
      <formula>AND(AB$9&gt;=14/24,AB$9&lt;20/24)</formula>
    </cfRule>
    <cfRule type="expression" dxfId="6871" priority="3">
      <formula>AND(AB$9&gt;=8/24,AB$9&lt;14/24)</formula>
    </cfRule>
    <cfRule type="expression" dxfId="6870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8" id="{FE5F8E2E-9686-4EFF-A136-C8ABCB05DF8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C29" activePane="bottomRight" state="frozen"/>
      <selection activeCell="AF88" sqref="AF88"/>
      <selection pane="topRight" activeCell="AF88" sqref="AF88"/>
      <selection pane="bottomLeft" activeCell="AF88" sqref="AF88"/>
      <selection pane="bottomRight" activeCell="K53" sqref="K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6.5" customHeight="1" x14ac:dyDescent="0.25">
      <c r="A4" s="27" t="s">
        <v>11</v>
      </c>
      <c r="B4" s="193" t="str">
        <f ca="1">"2078/"&amp;"08/"&amp;INT(MID(CELL("filename",D6),FIND("]",CELL("filename",D6))+1,200))</f>
        <v>2078/08/9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158</v>
      </c>
      <c r="C5" s="32">
        <f t="shared" si="0"/>
        <v>153.80000000000001</v>
      </c>
      <c r="D5" s="32">
        <f t="shared" si="0"/>
        <v>156.9</v>
      </c>
      <c r="E5" s="32">
        <f t="shared" si="0"/>
        <v>166</v>
      </c>
      <c r="F5" s="32">
        <f t="shared" si="0"/>
        <v>179.8</v>
      </c>
      <c r="G5" s="32">
        <f t="shared" si="0"/>
        <v>199.7</v>
      </c>
      <c r="H5" s="32">
        <f t="shared" si="0"/>
        <v>270</v>
      </c>
      <c r="I5" s="32">
        <f t="shared" si="0"/>
        <v>264.8</v>
      </c>
      <c r="J5" s="32">
        <f t="shared" si="0"/>
        <v>302</v>
      </c>
      <c r="K5" s="32">
        <f t="shared" si="0"/>
        <v>55</v>
      </c>
      <c r="L5" s="32">
        <f t="shared" si="0"/>
        <v>124.6</v>
      </c>
      <c r="M5" s="32">
        <f t="shared" si="0"/>
        <v>131.30000000000001</v>
      </c>
      <c r="N5" s="32">
        <f t="shared" si="0"/>
        <v>109.3</v>
      </c>
      <c r="O5" s="32">
        <f t="shared" si="0"/>
        <v>429.3</v>
      </c>
      <c r="P5" s="32">
        <f t="shared" si="0"/>
        <v>424</v>
      </c>
      <c r="Q5" s="32">
        <f t="shared" si="0"/>
        <v>392.4</v>
      </c>
      <c r="R5" s="32">
        <f t="shared" si="0"/>
        <v>393.4</v>
      </c>
      <c r="S5" s="32">
        <f t="shared" si="0"/>
        <v>381.4</v>
      </c>
      <c r="T5" s="32">
        <f t="shared" si="0"/>
        <v>367.4</v>
      </c>
      <c r="U5" s="32">
        <f t="shared" si="0"/>
        <v>306.39999999999998</v>
      </c>
      <c r="V5" s="32">
        <f t="shared" si="0"/>
        <v>126.5</v>
      </c>
      <c r="W5" s="32">
        <f t="shared" si="0"/>
        <v>225.2</v>
      </c>
      <c r="X5" s="32">
        <f t="shared" si="0"/>
        <v>136.69999999999999</v>
      </c>
      <c r="Y5" s="32">
        <f t="shared" si="0"/>
        <v>110.3</v>
      </c>
      <c r="Z5" s="32">
        <f t="shared" si="0"/>
        <v>110.30000000000001</v>
      </c>
      <c r="AA5" s="32">
        <f t="shared" si="0"/>
        <v>273.89999999999998</v>
      </c>
      <c r="AB5" s="32">
        <f t="shared" si="0"/>
        <v>286.60000000000002</v>
      </c>
      <c r="AC5" s="32">
        <f t="shared" si="0"/>
        <v>244.1</v>
      </c>
      <c r="AD5" s="32">
        <f t="shared" si="0"/>
        <v>249.1</v>
      </c>
      <c r="AE5" s="32">
        <f t="shared" si="0"/>
        <v>156</v>
      </c>
      <c r="AF5" s="32">
        <f>B68</f>
        <v>170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Load=864</v>
      </c>
      <c r="B7" s="37">
        <f>B75</f>
        <v>966.94</v>
      </c>
      <c r="C7" s="37">
        <f t="shared" ref="C7:AF7" si="1">C75</f>
        <v>874.74</v>
      </c>
      <c r="D7" s="37">
        <f t="shared" si="1"/>
        <v>863.64</v>
      </c>
      <c r="E7" s="37">
        <f t="shared" si="1"/>
        <v>865.84</v>
      </c>
      <c r="F7" s="37">
        <f t="shared" si="1"/>
        <v>884.64</v>
      </c>
      <c r="G7" s="37">
        <f t="shared" si="1"/>
        <v>931.94</v>
      </c>
      <c r="H7" s="37">
        <f t="shared" si="1"/>
        <v>1033.74</v>
      </c>
      <c r="I7" s="37">
        <f t="shared" si="1"/>
        <v>1134.8400000000001</v>
      </c>
      <c r="J7" s="37">
        <f t="shared" si="1"/>
        <v>1244.3400000000001</v>
      </c>
      <c r="K7" s="37">
        <f t="shared" si="1"/>
        <v>1360.14</v>
      </c>
      <c r="L7" s="37">
        <f t="shared" si="1"/>
        <v>1503.8400000000001</v>
      </c>
      <c r="M7" s="37">
        <f t="shared" si="1"/>
        <v>1516.44</v>
      </c>
      <c r="N7" s="37">
        <f t="shared" si="1"/>
        <v>1450.8400000000001</v>
      </c>
      <c r="O7" s="37">
        <f t="shared" si="1"/>
        <v>1363.6399999999999</v>
      </c>
      <c r="P7" s="37">
        <f t="shared" si="1"/>
        <v>1313.74</v>
      </c>
      <c r="Q7" s="37">
        <f t="shared" si="1"/>
        <v>1255.44</v>
      </c>
      <c r="R7" s="37">
        <f t="shared" si="1"/>
        <v>1216.94</v>
      </c>
      <c r="S7" s="37">
        <f t="shared" si="1"/>
        <v>1205.8399999999999</v>
      </c>
      <c r="T7" s="37">
        <f t="shared" si="1"/>
        <v>1240.44</v>
      </c>
      <c r="U7" s="37">
        <f t="shared" si="1"/>
        <v>1265.1399999999999</v>
      </c>
      <c r="V7" s="37">
        <f t="shared" si="1"/>
        <v>1370.54</v>
      </c>
      <c r="W7" s="37">
        <f t="shared" si="1"/>
        <v>1465.64</v>
      </c>
      <c r="X7" s="37">
        <f t="shared" si="1"/>
        <v>1578.2400000000002</v>
      </c>
      <c r="Y7" s="37">
        <f t="shared" si="1"/>
        <v>1565.7400000000002</v>
      </c>
      <c r="Z7" s="37">
        <f t="shared" si="1"/>
        <v>1493.1400000000003</v>
      </c>
      <c r="AA7" s="37">
        <f t="shared" si="1"/>
        <v>1468.5400000000002</v>
      </c>
      <c r="AB7" s="37">
        <f t="shared" si="1"/>
        <v>1370.6399999999999</v>
      </c>
      <c r="AC7" s="37">
        <f t="shared" si="1"/>
        <v>1298.6400000000001</v>
      </c>
      <c r="AD7" s="37">
        <f t="shared" si="1"/>
        <v>1233.94</v>
      </c>
      <c r="AE7" s="37">
        <f t="shared" si="1"/>
        <v>1074.6399999999999</v>
      </c>
      <c r="AF7" s="37">
        <f t="shared" si="1"/>
        <v>960.54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15</v>
      </c>
      <c r="D11" s="49">
        <v>17.899999999999999</v>
      </c>
      <c r="E11" s="49">
        <v>50</v>
      </c>
      <c r="F11" s="49">
        <v>60</v>
      </c>
      <c r="G11" s="49">
        <v>60</v>
      </c>
      <c r="H11" s="49">
        <v>100</v>
      </c>
      <c r="I11" s="49">
        <v>90</v>
      </c>
      <c r="J11" s="49">
        <v>85</v>
      </c>
      <c r="K11" s="49">
        <v>115</v>
      </c>
      <c r="L11" s="49">
        <v>456</v>
      </c>
      <c r="M11" s="50">
        <v>400</v>
      </c>
      <c r="N11" s="50">
        <v>345</v>
      </c>
      <c r="O11" s="50">
        <v>290</v>
      </c>
      <c r="P11" s="50">
        <v>50</v>
      </c>
      <c r="Q11" s="50">
        <v>20</v>
      </c>
      <c r="R11" s="50">
        <v>20</v>
      </c>
      <c r="S11" s="50">
        <v>20</v>
      </c>
      <c r="T11" s="50">
        <v>50</v>
      </c>
      <c r="U11" s="50">
        <v>50</v>
      </c>
      <c r="V11" s="50">
        <v>150</v>
      </c>
      <c r="W11" s="50">
        <v>380</v>
      </c>
      <c r="X11" s="50">
        <v>380</v>
      </c>
      <c r="Y11" s="50">
        <v>456</v>
      </c>
      <c r="Z11" s="52">
        <v>440</v>
      </c>
      <c r="AA11" s="50">
        <v>430</v>
      </c>
      <c r="AB11" s="50">
        <v>160</v>
      </c>
      <c r="AC11" s="50">
        <v>120</v>
      </c>
      <c r="AD11" s="50">
        <v>120</v>
      </c>
      <c r="AE11" s="50">
        <v>30</v>
      </c>
      <c r="AF11" s="49">
        <v>40</v>
      </c>
      <c r="AG11" s="53">
        <v>456</v>
      </c>
      <c r="AH11" s="54">
        <f>MAX(B11:AF11)</f>
        <v>456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47</v>
      </c>
      <c r="C12" s="49">
        <v>47</v>
      </c>
      <c r="D12" s="49">
        <v>47</v>
      </c>
      <c r="E12" s="49">
        <v>47</v>
      </c>
      <c r="F12" s="49">
        <v>47</v>
      </c>
      <c r="G12" s="49">
        <v>47</v>
      </c>
      <c r="H12" s="49">
        <v>47</v>
      </c>
      <c r="I12" s="49">
        <v>47</v>
      </c>
      <c r="J12" s="49">
        <v>47</v>
      </c>
      <c r="K12" s="49">
        <v>47</v>
      </c>
      <c r="L12" s="49">
        <v>47</v>
      </c>
      <c r="M12" s="49">
        <v>47</v>
      </c>
      <c r="N12" s="49">
        <v>47</v>
      </c>
      <c r="O12" s="49">
        <v>47</v>
      </c>
      <c r="P12" s="49">
        <v>47</v>
      </c>
      <c r="Q12" s="49">
        <v>47</v>
      </c>
      <c r="R12" s="49">
        <v>47</v>
      </c>
      <c r="S12" s="49">
        <v>47</v>
      </c>
      <c r="T12" s="49">
        <v>47</v>
      </c>
      <c r="U12" s="49">
        <v>47</v>
      </c>
      <c r="V12" s="49">
        <v>47</v>
      </c>
      <c r="W12" s="49">
        <v>47</v>
      </c>
      <c r="X12" s="58">
        <v>47</v>
      </c>
      <c r="Y12" s="58">
        <v>47</v>
      </c>
      <c r="Z12" s="58">
        <v>47</v>
      </c>
      <c r="AA12" s="58">
        <v>47</v>
      </c>
      <c r="AB12" s="50">
        <v>47</v>
      </c>
      <c r="AC12" s="50">
        <v>47</v>
      </c>
      <c r="AD12" s="50">
        <v>47</v>
      </c>
      <c r="AE12" s="50">
        <v>47</v>
      </c>
      <c r="AF12" s="50">
        <v>47</v>
      </c>
      <c r="AG12" s="59">
        <v>60</v>
      </c>
      <c r="AH12" s="54">
        <f t="shared" ref="AH12:AH75" si="2">MAX(B12:AF12)</f>
        <v>47</v>
      </c>
      <c r="AI12" s="55">
        <f t="shared" ref="AI12:AI75" si="3">MIN(B12:AF12)</f>
        <v>47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26.9</v>
      </c>
      <c r="C13" s="49">
        <v>26.9</v>
      </c>
      <c r="D13" s="49">
        <v>26.9</v>
      </c>
      <c r="E13" s="49">
        <v>26.9</v>
      </c>
      <c r="F13" s="49">
        <v>26.9</v>
      </c>
      <c r="G13" s="49">
        <v>26.9</v>
      </c>
      <c r="H13" s="49">
        <v>26.9</v>
      </c>
      <c r="I13" s="49">
        <v>26.9</v>
      </c>
      <c r="J13" s="49">
        <v>26.9</v>
      </c>
      <c r="K13" s="49">
        <v>26.9</v>
      </c>
      <c r="L13" s="49">
        <v>26.9</v>
      </c>
      <c r="M13" s="49">
        <v>26.9</v>
      </c>
      <c r="N13" s="49">
        <v>26.9</v>
      </c>
      <c r="O13" s="49">
        <v>27.1</v>
      </c>
      <c r="P13" s="49">
        <v>27.1</v>
      </c>
      <c r="Q13" s="49">
        <v>27.1</v>
      </c>
      <c r="R13" s="49">
        <v>27.1</v>
      </c>
      <c r="S13" s="49">
        <v>27.1</v>
      </c>
      <c r="T13" s="49">
        <v>27.1</v>
      </c>
      <c r="U13" s="49">
        <v>27.1</v>
      </c>
      <c r="V13" s="49">
        <v>27.1</v>
      </c>
      <c r="W13" s="49">
        <v>27.1</v>
      </c>
      <c r="X13" s="58">
        <v>27.1</v>
      </c>
      <c r="Y13" s="58">
        <v>27.1</v>
      </c>
      <c r="Z13" s="58">
        <v>27.1</v>
      </c>
      <c r="AA13" s="58">
        <v>27.1</v>
      </c>
      <c r="AB13" s="58">
        <v>26.5</v>
      </c>
      <c r="AC13" s="58">
        <v>26.5</v>
      </c>
      <c r="AD13" s="50">
        <v>26.8</v>
      </c>
      <c r="AE13" s="50">
        <v>26.8</v>
      </c>
      <c r="AF13" s="50">
        <v>26.8</v>
      </c>
      <c r="AG13" s="59">
        <v>52.4</v>
      </c>
      <c r="AH13" s="54">
        <f t="shared" si="2"/>
        <v>27.1</v>
      </c>
      <c r="AI13" s="55">
        <f t="shared" si="3"/>
        <v>26.5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50.3</v>
      </c>
      <c r="C14" s="49">
        <v>50.3</v>
      </c>
      <c r="D14" s="49">
        <v>50.3</v>
      </c>
      <c r="E14" s="49">
        <v>50.3</v>
      </c>
      <c r="F14" s="49">
        <v>50.3</v>
      </c>
      <c r="G14" s="49">
        <v>50.3</v>
      </c>
      <c r="H14" s="49">
        <v>50.3</v>
      </c>
      <c r="I14" s="49">
        <v>50.3</v>
      </c>
      <c r="J14" s="49">
        <v>50.3</v>
      </c>
      <c r="K14" s="49">
        <v>50.3</v>
      </c>
      <c r="L14" s="49">
        <v>50.3</v>
      </c>
      <c r="M14" s="50">
        <v>50.3</v>
      </c>
      <c r="N14" s="50">
        <v>50.3</v>
      </c>
      <c r="O14" s="50">
        <v>50.2</v>
      </c>
      <c r="P14" s="50">
        <v>50.2</v>
      </c>
      <c r="Q14" s="50">
        <v>50.2</v>
      </c>
      <c r="R14" s="50">
        <v>50.2</v>
      </c>
      <c r="S14" s="50">
        <v>50.2</v>
      </c>
      <c r="T14" s="50">
        <v>50.2</v>
      </c>
      <c r="U14" s="50">
        <v>50.2</v>
      </c>
      <c r="V14" s="50">
        <v>50.2</v>
      </c>
      <c r="W14" s="50">
        <v>50.2</v>
      </c>
      <c r="X14" s="60">
        <v>50.2</v>
      </c>
      <c r="Y14" s="60">
        <v>50.2</v>
      </c>
      <c r="Z14" s="60">
        <v>50.2</v>
      </c>
      <c r="AA14" s="60">
        <v>50.2</v>
      </c>
      <c r="AB14" s="60">
        <v>50.5</v>
      </c>
      <c r="AC14" s="60">
        <v>50.5</v>
      </c>
      <c r="AD14" s="50">
        <v>50.4</v>
      </c>
      <c r="AE14" s="50">
        <v>50.4</v>
      </c>
      <c r="AF14" s="50">
        <v>50.6</v>
      </c>
      <c r="AG14" s="59">
        <v>50</v>
      </c>
      <c r="AH14" s="54">
        <f t="shared" si="2"/>
        <v>50.6</v>
      </c>
      <c r="AI14" s="55">
        <f t="shared" si="3"/>
        <v>50.2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26.9</v>
      </c>
      <c r="C15" s="61">
        <v>26.9</v>
      </c>
      <c r="D15" s="61">
        <v>26.9</v>
      </c>
      <c r="E15" s="61">
        <v>26.9</v>
      </c>
      <c r="F15" s="61">
        <v>26.9</v>
      </c>
      <c r="G15" s="61">
        <v>26.9</v>
      </c>
      <c r="H15" s="61">
        <v>26.9</v>
      </c>
      <c r="I15" s="61">
        <v>26.9</v>
      </c>
      <c r="J15" s="61">
        <v>26.9</v>
      </c>
      <c r="K15" s="61">
        <v>26.9</v>
      </c>
      <c r="L15" s="61">
        <v>26.9</v>
      </c>
      <c r="M15" s="50">
        <v>26.9</v>
      </c>
      <c r="N15" s="50">
        <v>26.9</v>
      </c>
      <c r="O15" s="50">
        <v>22.7</v>
      </c>
      <c r="P15" s="50">
        <v>22.7</v>
      </c>
      <c r="Q15" s="50">
        <v>22.7</v>
      </c>
      <c r="R15" s="50">
        <v>22.7</v>
      </c>
      <c r="S15" s="50">
        <v>22.7</v>
      </c>
      <c r="T15" s="50">
        <v>22.7</v>
      </c>
      <c r="U15" s="50">
        <v>22.7</v>
      </c>
      <c r="V15" s="50">
        <v>22.7</v>
      </c>
      <c r="W15" s="50">
        <v>22.7</v>
      </c>
      <c r="X15" s="60">
        <v>22.7</v>
      </c>
      <c r="Y15" s="60">
        <v>22.7</v>
      </c>
      <c r="Z15" s="60">
        <v>22.7</v>
      </c>
      <c r="AA15" s="60">
        <v>22.7</v>
      </c>
      <c r="AB15" s="60">
        <v>26.9</v>
      </c>
      <c r="AC15" s="60">
        <v>26.9</v>
      </c>
      <c r="AD15" s="50">
        <v>25.7</v>
      </c>
      <c r="AE15" s="50">
        <v>23.3</v>
      </c>
      <c r="AF15" s="50">
        <v>22.8</v>
      </c>
      <c r="AG15" s="62">
        <v>45</v>
      </c>
      <c r="AH15" s="54">
        <f t="shared" si="2"/>
        <v>26.9</v>
      </c>
      <c r="AI15" s="55">
        <f t="shared" si="3"/>
        <v>22.7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50">
        <v>12</v>
      </c>
      <c r="AE16" s="50">
        <v>12</v>
      </c>
      <c r="AF16" s="50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50">
        <v>13</v>
      </c>
      <c r="AE17" s="50">
        <v>13</v>
      </c>
      <c r="AF17" s="5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12.2</v>
      </c>
      <c r="C19" s="49">
        <v>12.2</v>
      </c>
      <c r="D19" s="49">
        <v>12.2</v>
      </c>
      <c r="E19" s="49">
        <v>12.2</v>
      </c>
      <c r="F19" s="49">
        <v>12.2</v>
      </c>
      <c r="G19" s="49">
        <v>12.2</v>
      </c>
      <c r="H19" s="49">
        <v>12.2</v>
      </c>
      <c r="I19" s="49">
        <v>12.2</v>
      </c>
      <c r="J19" s="49">
        <v>12.2</v>
      </c>
      <c r="K19" s="49">
        <v>12.2</v>
      </c>
      <c r="L19" s="49">
        <v>12.2</v>
      </c>
      <c r="M19" s="50">
        <v>12.2</v>
      </c>
      <c r="N19" s="50">
        <v>12.2</v>
      </c>
      <c r="O19" s="50">
        <v>12.1</v>
      </c>
      <c r="P19" s="50">
        <v>12.1</v>
      </c>
      <c r="Q19" s="50">
        <v>12.1</v>
      </c>
      <c r="R19" s="50">
        <v>12.1</v>
      </c>
      <c r="S19" s="50">
        <v>12.1</v>
      </c>
      <c r="T19" s="50">
        <v>12.1</v>
      </c>
      <c r="U19" s="50">
        <v>12.1</v>
      </c>
      <c r="V19" s="50">
        <v>12.1</v>
      </c>
      <c r="W19" s="50">
        <v>12.1</v>
      </c>
      <c r="X19" s="50">
        <v>12.1</v>
      </c>
      <c r="Y19" s="50">
        <v>12.1</v>
      </c>
      <c r="Z19" s="50">
        <v>12.1</v>
      </c>
      <c r="AA19" s="50">
        <v>12.1</v>
      </c>
      <c r="AB19" s="50">
        <v>12.1</v>
      </c>
      <c r="AC19" s="50">
        <v>12.1</v>
      </c>
      <c r="AD19" s="50">
        <v>12.1</v>
      </c>
      <c r="AE19" s="50">
        <v>12.1</v>
      </c>
      <c r="AF19" s="50">
        <v>12</v>
      </c>
      <c r="AG19" s="59">
        <v>30</v>
      </c>
      <c r="AH19" s="54">
        <f t="shared" si="2"/>
        <v>12.2</v>
      </c>
      <c r="AI19" s="55">
        <f t="shared" si="3"/>
        <v>12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20</v>
      </c>
      <c r="C22" s="49">
        <v>20</v>
      </c>
      <c r="D22" s="49">
        <v>20</v>
      </c>
      <c r="E22" s="49">
        <v>20</v>
      </c>
      <c r="F22" s="49">
        <v>20</v>
      </c>
      <c r="G22" s="49">
        <v>20</v>
      </c>
      <c r="H22" s="49">
        <v>20</v>
      </c>
      <c r="I22" s="49">
        <v>20</v>
      </c>
      <c r="J22" s="49">
        <v>20</v>
      </c>
      <c r="K22" s="49">
        <v>20</v>
      </c>
      <c r="L22" s="49">
        <v>20</v>
      </c>
      <c r="M22" s="50">
        <v>20</v>
      </c>
      <c r="N22" s="50">
        <v>20</v>
      </c>
      <c r="O22" s="50">
        <v>20</v>
      </c>
      <c r="P22" s="50">
        <v>20</v>
      </c>
      <c r="Q22" s="50">
        <v>20</v>
      </c>
      <c r="R22" s="50">
        <v>20</v>
      </c>
      <c r="S22" s="50">
        <v>20</v>
      </c>
      <c r="T22" s="50">
        <v>13</v>
      </c>
      <c r="U22" s="50">
        <v>13</v>
      </c>
      <c r="V22" s="50">
        <v>13</v>
      </c>
      <c r="W22" s="50">
        <v>20</v>
      </c>
      <c r="X22" s="50">
        <v>19.5</v>
      </c>
      <c r="Y22" s="50">
        <v>19.5</v>
      </c>
      <c r="Z22" s="50">
        <v>19.5</v>
      </c>
      <c r="AA22" s="50">
        <v>19.5</v>
      </c>
      <c r="AB22" s="50">
        <v>19.5</v>
      </c>
      <c r="AC22" s="50">
        <v>19.5</v>
      </c>
      <c r="AD22" s="50">
        <v>14.8</v>
      </c>
      <c r="AE22" s="50">
        <v>14.8</v>
      </c>
      <c r="AF22" s="50">
        <v>14.8</v>
      </c>
      <c r="AG22" s="59">
        <v>25</v>
      </c>
      <c r="AH22" s="54">
        <f t="shared" si="2"/>
        <v>20</v>
      </c>
      <c r="AI22" s="55">
        <f t="shared" si="3"/>
        <v>13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49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6</v>
      </c>
      <c r="C29" s="49">
        <v>6</v>
      </c>
      <c r="D29" s="49">
        <v>6</v>
      </c>
      <c r="E29" s="49">
        <v>6</v>
      </c>
      <c r="F29" s="49">
        <v>6</v>
      </c>
      <c r="G29" s="49">
        <v>6</v>
      </c>
      <c r="H29" s="49">
        <v>6</v>
      </c>
      <c r="I29" s="49">
        <v>6</v>
      </c>
      <c r="J29" s="49">
        <v>6</v>
      </c>
      <c r="K29" s="49">
        <v>6</v>
      </c>
      <c r="L29" s="49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5</v>
      </c>
      <c r="AG29" s="59">
        <v>22.1</v>
      </c>
      <c r="AH29" s="54">
        <f t="shared" si="2"/>
        <v>6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v>58.5</v>
      </c>
      <c r="C37" s="61">
        <v>58.5</v>
      </c>
      <c r="D37" s="61">
        <v>58.5</v>
      </c>
      <c r="E37" s="61"/>
      <c r="F37" s="61"/>
      <c r="G37" s="61"/>
      <c r="H37" s="61"/>
      <c r="I37" s="61"/>
      <c r="J37" s="61"/>
      <c r="K37" s="61"/>
      <c r="L37" s="61"/>
      <c r="M37" s="70" t="s">
        <v>231</v>
      </c>
      <c r="N37" s="70" t="s">
        <v>231</v>
      </c>
      <c r="O37" s="70" t="s">
        <v>231</v>
      </c>
      <c r="P37" s="70" t="s">
        <v>231</v>
      </c>
      <c r="Q37" s="70" t="s">
        <v>231</v>
      </c>
      <c r="R37" s="70" t="s">
        <v>231</v>
      </c>
      <c r="S37" s="70" t="s">
        <v>231</v>
      </c>
      <c r="T37" s="70" t="s">
        <v>231</v>
      </c>
      <c r="U37" s="70" t="s">
        <v>231</v>
      </c>
      <c r="V37" s="70" t="s">
        <v>231</v>
      </c>
      <c r="W37" s="70" t="s">
        <v>231</v>
      </c>
      <c r="X37" s="70" t="s">
        <v>231</v>
      </c>
      <c r="Y37" s="70" t="s">
        <v>231</v>
      </c>
      <c r="Z37" s="70" t="s">
        <v>231</v>
      </c>
      <c r="AA37" s="70" t="s">
        <v>231</v>
      </c>
      <c r="AB37" s="70" t="s">
        <v>231</v>
      </c>
      <c r="AC37" s="70" t="s">
        <v>231</v>
      </c>
      <c r="AD37" s="70" t="s">
        <v>231</v>
      </c>
      <c r="AE37" s="70" t="s">
        <v>231</v>
      </c>
      <c r="AF37" s="70" t="s">
        <v>231</v>
      </c>
      <c r="AG37" s="67">
        <v>240</v>
      </c>
      <c r="AH37" s="54">
        <f t="shared" si="2"/>
        <v>58.5</v>
      </c>
      <c r="AI37" s="55">
        <f t="shared" si="3"/>
        <v>58.5</v>
      </c>
      <c r="AK37" s="56"/>
    </row>
    <row r="38" spans="1:88" ht="15.75" thickBot="1" x14ac:dyDescent="0.3">
      <c r="A38" s="71" t="s">
        <v>46</v>
      </c>
      <c r="B38" s="72">
        <f>SUM(B11:B36)</f>
        <v>491</v>
      </c>
      <c r="C38" s="72">
        <f t="shared" ref="C38:AF38" si="4">SUM(C11:C36)</f>
        <v>486</v>
      </c>
      <c r="D38" s="72">
        <f t="shared" si="4"/>
        <v>488.9</v>
      </c>
      <c r="E38" s="72">
        <f t="shared" si="4"/>
        <v>521</v>
      </c>
      <c r="F38" s="72">
        <f t="shared" si="4"/>
        <v>531</v>
      </c>
      <c r="G38" s="72">
        <f t="shared" si="4"/>
        <v>531</v>
      </c>
      <c r="H38" s="72">
        <f t="shared" si="4"/>
        <v>571</v>
      </c>
      <c r="I38" s="72">
        <f t="shared" si="4"/>
        <v>561</v>
      </c>
      <c r="J38" s="72">
        <f t="shared" si="4"/>
        <v>556</v>
      </c>
      <c r="K38" s="72">
        <f t="shared" si="4"/>
        <v>586</v>
      </c>
      <c r="L38" s="72">
        <f t="shared" si="4"/>
        <v>927</v>
      </c>
      <c r="M38" s="72">
        <f t="shared" si="4"/>
        <v>871</v>
      </c>
      <c r="N38" s="72">
        <f t="shared" si="4"/>
        <v>816</v>
      </c>
      <c r="O38" s="72">
        <f t="shared" si="4"/>
        <v>756.8</v>
      </c>
      <c r="P38" s="72">
        <f t="shared" si="4"/>
        <v>516.79999999999995</v>
      </c>
      <c r="Q38" s="72">
        <f t="shared" si="4"/>
        <v>486.79999999999995</v>
      </c>
      <c r="R38" s="72">
        <f t="shared" si="4"/>
        <v>486.79999999999995</v>
      </c>
      <c r="S38" s="72">
        <f t="shared" si="4"/>
        <v>486.79999999999995</v>
      </c>
      <c r="T38" s="72">
        <f t="shared" si="4"/>
        <v>509.79999999999995</v>
      </c>
      <c r="U38" s="72">
        <f t="shared" si="4"/>
        <v>509.79999999999995</v>
      </c>
      <c r="V38" s="72">
        <f t="shared" si="4"/>
        <v>609.79999999999995</v>
      </c>
      <c r="W38" s="72">
        <f t="shared" si="4"/>
        <v>846.80000000000007</v>
      </c>
      <c r="X38" s="72">
        <f t="shared" si="4"/>
        <v>846.30000000000007</v>
      </c>
      <c r="Y38" s="72">
        <f t="shared" si="4"/>
        <v>922.30000000000018</v>
      </c>
      <c r="Z38" s="72">
        <f t="shared" si="4"/>
        <v>906.30000000000018</v>
      </c>
      <c r="AA38" s="72">
        <f t="shared" si="4"/>
        <v>896.30000000000018</v>
      </c>
      <c r="AB38" s="72">
        <f t="shared" si="4"/>
        <v>630.20000000000005</v>
      </c>
      <c r="AC38" s="72">
        <f t="shared" si="4"/>
        <v>590.20000000000005</v>
      </c>
      <c r="AD38" s="72">
        <f t="shared" si="4"/>
        <v>584.5</v>
      </c>
      <c r="AE38" s="72">
        <f t="shared" si="4"/>
        <v>492.1</v>
      </c>
      <c r="AF38" s="72">
        <f t="shared" si="4"/>
        <v>500.7</v>
      </c>
      <c r="AG38" s="67">
        <f>SUM(AG11:AG37)</f>
        <v>1492.8299999999997</v>
      </c>
      <c r="AH38" s="54">
        <f t="shared" si="2"/>
        <v>927</v>
      </c>
      <c r="AI38" s="55">
        <f t="shared" si="3"/>
        <v>486</v>
      </c>
      <c r="AK38" s="56"/>
    </row>
    <row r="39" spans="1:88" x14ac:dyDescent="0.25">
      <c r="A39" s="57" t="s">
        <v>47</v>
      </c>
      <c r="B39" s="49">
        <v>84.4</v>
      </c>
      <c r="C39" s="61">
        <v>30.4</v>
      </c>
      <c r="D39" s="61">
        <v>25.9</v>
      </c>
      <c r="E39" s="61">
        <v>20.6</v>
      </c>
      <c r="F39" s="61">
        <v>20.8</v>
      </c>
      <c r="G39" s="61">
        <v>30.5</v>
      </c>
      <c r="H39" s="61">
        <v>71.599999999999994</v>
      </c>
      <c r="I39" s="61">
        <v>92</v>
      </c>
      <c r="J39" s="61">
        <v>141.9</v>
      </c>
      <c r="K39" s="61">
        <v>141.9</v>
      </c>
      <c r="L39" s="61">
        <v>141.9</v>
      </c>
      <c r="M39" s="50">
        <v>145.80000000000001</v>
      </c>
      <c r="N39" s="50">
        <v>145.80000000000001</v>
      </c>
      <c r="O39" s="50">
        <v>145.9</v>
      </c>
      <c r="P39" s="50">
        <v>100</v>
      </c>
      <c r="Q39" s="50">
        <v>100</v>
      </c>
      <c r="R39" s="50">
        <v>92</v>
      </c>
      <c r="S39" s="50">
        <v>91</v>
      </c>
      <c r="T39" s="50">
        <v>112</v>
      </c>
      <c r="U39" s="50">
        <v>130</v>
      </c>
      <c r="V39" s="50">
        <v>144</v>
      </c>
      <c r="W39" s="50">
        <v>144</v>
      </c>
      <c r="X39" s="50">
        <v>145.9</v>
      </c>
      <c r="Y39" s="50">
        <v>145.9</v>
      </c>
      <c r="Z39" s="50">
        <v>145.9</v>
      </c>
      <c r="AA39" s="50">
        <v>145.30000000000001</v>
      </c>
      <c r="AB39" s="50">
        <v>145</v>
      </c>
      <c r="AC39" s="50">
        <v>144.80000000000001</v>
      </c>
      <c r="AD39" s="50">
        <v>144.80000000000001</v>
      </c>
      <c r="AE39" s="50">
        <v>103.5</v>
      </c>
      <c r="AF39" s="49">
        <v>80.400000000000006</v>
      </c>
      <c r="AG39" s="62">
        <v>144</v>
      </c>
      <c r="AH39" s="54">
        <f t="shared" si="2"/>
        <v>145.9</v>
      </c>
      <c r="AI39" s="55">
        <f t="shared" si="3"/>
        <v>20.6</v>
      </c>
      <c r="AK39" s="56"/>
    </row>
    <row r="40" spans="1:88" x14ac:dyDescent="0.25">
      <c r="A40" s="66" t="s">
        <v>48</v>
      </c>
      <c r="B40" s="61">
        <v>49</v>
      </c>
      <c r="C40" s="61">
        <v>30</v>
      </c>
      <c r="D40" s="61">
        <v>25.3</v>
      </c>
      <c r="E40" s="61">
        <v>0</v>
      </c>
      <c r="F40" s="61">
        <v>0</v>
      </c>
      <c r="G40" s="61">
        <v>23.8</v>
      </c>
      <c r="H40" s="61">
        <v>34.6</v>
      </c>
      <c r="I40" s="61">
        <v>47</v>
      </c>
      <c r="J40" s="61">
        <v>72.2</v>
      </c>
      <c r="K40" s="61">
        <v>72</v>
      </c>
      <c r="L40" s="61">
        <v>72</v>
      </c>
      <c r="M40" s="73">
        <v>68.8</v>
      </c>
      <c r="N40" s="73">
        <v>68.8</v>
      </c>
      <c r="O40" s="73">
        <v>70.099999999999994</v>
      </c>
      <c r="P40" s="73">
        <v>48</v>
      </c>
      <c r="Q40" s="73">
        <v>45</v>
      </c>
      <c r="R40" s="73">
        <v>46.8</v>
      </c>
      <c r="S40" s="73">
        <v>45</v>
      </c>
      <c r="T40" s="73">
        <v>46.8</v>
      </c>
      <c r="U40" s="73">
        <v>47</v>
      </c>
      <c r="V40" s="73">
        <v>70</v>
      </c>
      <c r="W40" s="73">
        <v>70</v>
      </c>
      <c r="X40" s="73">
        <v>72</v>
      </c>
      <c r="Y40" s="73">
        <v>72</v>
      </c>
      <c r="Z40" s="73">
        <v>50.7</v>
      </c>
      <c r="AA40" s="73">
        <v>54</v>
      </c>
      <c r="AB40" s="73">
        <v>68.8</v>
      </c>
      <c r="AC40" s="73">
        <v>70</v>
      </c>
      <c r="AD40" s="73">
        <v>70</v>
      </c>
      <c r="AE40" s="73">
        <v>50</v>
      </c>
      <c r="AF40" s="61">
        <v>50.3</v>
      </c>
      <c r="AG40" s="67">
        <v>70</v>
      </c>
      <c r="AH40" s="54">
        <f t="shared" si="2"/>
        <v>72.2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51.9</v>
      </c>
      <c r="C41" s="61">
        <v>50.1</v>
      </c>
      <c r="D41" s="61">
        <v>49.5</v>
      </c>
      <c r="E41" s="61">
        <v>46.5</v>
      </c>
      <c r="F41" s="61">
        <v>46</v>
      </c>
      <c r="G41" s="61">
        <v>46</v>
      </c>
      <c r="H41" s="61">
        <v>31</v>
      </c>
      <c r="I41" s="61">
        <v>34</v>
      </c>
      <c r="J41" s="61">
        <v>68.599999999999994</v>
      </c>
      <c r="K41" s="61">
        <v>67.8</v>
      </c>
      <c r="L41" s="61">
        <v>67.8</v>
      </c>
      <c r="M41" s="73">
        <v>67.900000000000006</v>
      </c>
      <c r="N41" s="73">
        <v>67.900000000000006</v>
      </c>
      <c r="O41" s="73">
        <v>67.3</v>
      </c>
      <c r="P41" s="73">
        <v>60</v>
      </c>
      <c r="Q41" s="73">
        <v>62</v>
      </c>
      <c r="R41" s="73">
        <v>46.3</v>
      </c>
      <c r="S41" s="73">
        <v>46</v>
      </c>
      <c r="T41" s="73">
        <v>46.8</v>
      </c>
      <c r="U41" s="73">
        <v>46.8</v>
      </c>
      <c r="V41" s="73">
        <v>70</v>
      </c>
      <c r="W41" s="73">
        <v>70</v>
      </c>
      <c r="X41" s="73">
        <v>67.7</v>
      </c>
      <c r="Y41" s="73">
        <v>67.7</v>
      </c>
      <c r="Z41" s="73">
        <v>58.4</v>
      </c>
      <c r="AA41" s="73">
        <v>57</v>
      </c>
      <c r="AB41" s="73">
        <v>65.599999999999994</v>
      </c>
      <c r="AC41" s="73">
        <v>65.099999999999994</v>
      </c>
      <c r="AD41" s="73">
        <v>65.5</v>
      </c>
      <c r="AE41" s="73">
        <v>55</v>
      </c>
      <c r="AF41" s="61">
        <v>56.8</v>
      </c>
      <c r="AG41" s="67">
        <v>69</v>
      </c>
      <c r="AH41" s="54">
        <f t="shared" si="2"/>
        <v>70</v>
      </c>
      <c r="AI41" s="55">
        <f t="shared" si="3"/>
        <v>31</v>
      </c>
      <c r="AK41" s="56"/>
    </row>
    <row r="42" spans="1:88" x14ac:dyDescent="0.25">
      <c r="A42" s="66" t="s">
        <v>50</v>
      </c>
      <c r="B42" s="61">
        <v>60.7</v>
      </c>
      <c r="C42" s="61">
        <v>60.7</v>
      </c>
      <c r="D42" s="61">
        <v>60.7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60.9</v>
      </c>
      <c r="L42" s="61">
        <v>60.9</v>
      </c>
      <c r="M42" s="61">
        <v>60.9</v>
      </c>
      <c r="N42" s="61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61">
        <v>60.9</v>
      </c>
      <c r="AG42" s="67">
        <v>60</v>
      </c>
      <c r="AH42" s="54">
        <f t="shared" si="2"/>
        <v>60.9</v>
      </c>
      <c r="AI42" s="55">
        <f t="shared" si="3"/>
        <v>60.7</v>
      </c>
      <c r="AK42" s="56"/>
    </row>
    <row r="43" spans="1:88" x14ac:dyDescent="0.25">
      <c r="A43" s="66" t="s">
        <v>51</v>
      </c>
      <c r="B43" s="61">
        <v>10</v>
      </c>
      <c r="C43" s="61">
        <v>9.6</v>
      </c>
      <c r="D43" s="61">
        <v>9.6</v>
      </c>
      <c r="E43" s="61">
        <v>10</v>
      </c>
      <c r="F43" s="61">
        <v>10</v>
      </c>
      <c r="G43" s="61">
        <v>10</v>
      </c>
      <c r="H43" s="61">
        <v>15</v>
      </c>
      <c r="I43" s="61">
        <v>20</v>
      </c>
      <c r="J43" s="61">
        <v>30</v>
      </c>
      <c r="K43" s="61">
        <v>30</v>
      </c>
      <c r="L43" s="61">
        <v>30</v>
      </c>
      <c r="M43" s="61">
        <v>27.5</v>
      </c>
      <c r="N43" s="61">
        <v>27.5</v>
      </c>
      <c r="O43" s="50">
        <v>10.4</v>
      </c>
      <c r="P43" s="50">
        <v>10.4</v>
      </c>
      <c r="Q43" s="50">
        <v>10.4</v>
      </c>
      <c r="R43" s="50">
        <v>10.4</v>
      </c>
      <c r="S43" s="50">
        <v>10.4</v>
      </c>
      <c r="T43" s="50">
        <v>10.4</v>
      </c>
      <c r="U43" s="50">
        <v>10.6</v>
      </c>
      <c r="V43" s="50">
        <v>10.6</v>
      </c>
      <c r="W43" s="50">
        <v>28</v>
      </c>
      <c r="X43" s="50">
        <v>29</v>
      </c>
      <c r="Y43" s="50">
        <v>29</v>
      </c>
      <c r="Z43" s="50">
        <v>29</v>
      </c>
      <c r="AA43" s="50">
        <v>14</v>
      </c>
      <c r="AB43" s="50">
        <v>14.9</v>
      </c>
      <c r="AC43" s="50">
        <v>14.8</v>
      </c>
      <c r="AD43" s="50">
        <v>14.9</v>
      </c>
      <c r="AE43" s="73">
        <v>14.8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2.6</v>
      </c>
      <c r="C46" s="61">
        <v>2.6</v>
      </c>
      <c r="D46" s="61">
        <v>2.6</v>
      </c>
      <c r="E46" s="61">
        <v>2.6</v>
      </c>
      <c r="F46" s="61">
        <v>2.6</v>
      </c>
      <c r="G46" s="61">
        <v>2.6</v>
      </c>
      <c r="H46" s="61">
        <v>2.6</v>
      </c>
      <c r="I46" s="61">
        <v>2.6</v>
      </c>
      <c r="J46" s="61">
        <v>2.6</v>
      </c>
      <c r="K46" s="61">
        <v>2.6</v>
      </c>
      <c r="L46" s="61">
        <v>2.6</v>
      </c>
      <c r="M46" s="61">
        <v>2.6</v>
      </c>
      <c r="N46" s="61">
        <v>2.6</v>
      </c>
      <c r="O46" s="50">
        <v>2.6</v>
      </c>
      <c r="P46" s="50">
        <v>2.6</v>
      </c>
      <c r="Q46" s="50">
        <v>2.6</v>
      </c>
      <c r="R46" s="50">
        <v>2.6</v>
      </c>
      <c r="S46" s="50">
        <v>2.6</v>
      </c>
      <c r="T46" s="50">
        <v>2.6</v>
      </c>
      <c r="U46" s="50">
        <v>2.6</v>
      </c>
      <c r="V46" s="50">
        <v>2.6</v>
      </c>
      <c r="W46" s="50">
        <v>2.6</v>
      </c>
      <c r="X46" s="50">
        <v>2.6</v>
      </c>
      <c r="Y46" s="50">
        <v>2.6</v>
      </c>
      <c r="Z46" s="50">
        <v>2.6</v>
      </c>
      <c r="AA46" s="50">
        <v>2.6</v>
      </c>
      <c r="AB46" s="50">
        <v>2.5</v>
      </c>
      <c r="AC46" s="50">
        <v>2.5</v>
      </c>
      <c r="AD46" s="50">
        <v>2.5</v>
      </c>
      <c r="AE46" s="50">
        <v>2.5</v>
      </c>
      <c r="AF46" s="61">
        <v>2.5</v>
      </c>
      <c r="AG46" s="67">
        <v>15</v>
      </c>
      <c r="AH46" s="54">
        <f t="shared" si="2"/>
        <v>2.6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13.6</v>
      </c>
      <c r="C47" s="61">
        <v>13.6</v>
      </c>
      <c r="D47" s="61">
        <v>13.6</v>
      </c>
      <c r="E47" s="61">
        <v>13.6</v>
      </c>
      <c r="F47" s="61">
        <v>13.6</v>
      </c>
      <c r="G47" s="61">
        <v>13.6</v>
      </c>
      <c r="H47" s="61">
        <v>13.6</v>
      </c>
      <c r="I47" s="61">
        <v>13.6</v>
      </c>
      <c r="J47" s="61">
        <v>13.6</v>
      </c>
      <c r="K47" s="61">
        <v>13.6</v>
      </c>
      <c r="L47" s="61">
        <v>13.6</v>
      </c>
      <c r="M47" s="61">
        <v>13.6</v>
      </c>
      <c r="N47" s="61">
        <v>13.6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13.6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61">
        <v>6</v>
      </c>
      <c r="AG48" s="67">
        <v>14</v>
      </c>
      <c r="AH48" s="54">
        <f t="shared" si="2"/>
        <v>6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7.8</v>
      </c>
      <c r="C49" s="61">
        <v>7.8</v>
      </c>
      <c r="D49" s="61">
        <v>7.8</v>
      </c>
      <c r="E49" s="61">
        <v>7.8</v>
      </c>
      <c r="F49" s="61">
        <v>7.8</v>
      </c>
      <c r="G49" s="61">
        <v>7.8</v>
      </c>
      <c r="H49" s="61">
        <v>7.8</v>
      </c>
      <c r="I49" s="61">
        <v>7.8</v>
      </c>
      <c r="J49" s="61">
        <v>7.8</v>
      </c>
      <c r="K49" s="61">
        <v>7.8</v>
      </c>
      <c r="L49" s="61">
        <v>7.8</v>
      </c>
      <c r="M49" s="61">
        <v>7.8</v>
      </c>
      <c r="N49" s="61">
        <v>7.8</v>
      </c>
      <c r="O49" s="50">
        <v>7.8</v>
      </c>
      <c r="P49" s="50">
        <v>7.8</v>
      </c>
      <c r="Q49" s="50">
        <v>7.8</v>
      </c>
      <c r="R49" s="50">
        <v>7.8</v>
      </c>
      <c r="S49" s="50">
        <v>7.8</v>
      </c>
      <c r="T49" s="50">
        <v>7.8</v>
      </c>
      <c r="U49" s="50">
        <v>7.8</v>
      </c>
      <c r="V49" s="50">
        <v>7.8</v>
      </c>
      <c r="W49" s="50">
        <v>7.8</v>
      </c>
      <c r="X49" s="50">
        <v>7.8</v>
      </c>
      <c r="Y49" s="50">
        <v>7.8</v>
      </c>
      <c r="Z49" s="50">
        <v>7.8</v>
      </c>
      <c r="AA49" s="50">
        <v>7.8</v>
      </c>
      <c r="AB49" s="50">
        <v>7.8</v>
      </c>
      <c r="AC49" s="50">
        <v>7.8</v>
      </c>
      <c r="AD49" s="50">
        <v>7.8</v>
      </c>
      <c r="AE49" s="50">
        <v>7.8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7.8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305.94000000000005</v>
      </c>
      <c r="C52" s="72">
        <f t="shared" ref="C52:AF52" si="6">SUM(C39:C51)</f>
        <v>230.73999999999998</v>
      </c>
      <c r="D52" s="72">
        <f t="shared" si="6"/>
        <v>220.94</v>
      </c>
      <c r="E52" s="72">
        <f t="shared" si="6"/>
        <v>187.94</v>
      </c>
      <c r="F52" s="72">
        <f t="shared" si="6"/>
        <v>187.64</v>
      </c>
      <c r="G52" s="72">
        <f t="shared" si="6"/>
        <v>221.14</v>
      </c>
      <c r="H52" s="72">
        <f t="shared" si="6"/>
        <v>263.04000000000002</v>
      </c>
      <c r="I52" s="72">
        <f t="shared" si="6"/>
        <v>303.84000000000003</v>
      </c>
      <c r="J52" s="72">
        <f t="shared" si="6"/>
        <v>423.54000000000008</v>
      </c>
      <c r="K52" s="72">
        <f t="shared" si="6"/>
        <v>422.54</v>
      </c>
      <c r="L52" s="72">
        <f t="shared" si="6"/>
        <v>422.54</v>
      </c>
      <c r="M52" s="72">
        <f t="shared" si="6"/>
        <v>420.84000000000003</v>
      </c>
      <c r="N52" s="72">
        <f t="shared" si="6"/>
        <v>420.84000000000003</v>
      </c>
      <c r="O52" s="72">
        <f t="shared" si="6"/>
        <v>403.94</v>
      </c>
      <c r="P52" s="72">
        <f t="shared" si="6"/>
        <v>328.64</v>
      </c>
      <c r="Q52" s="72">
        <f t="shared" si="6"/>
        <v>327.64</v>
      </c>
      <c r="R52" s="72">
        <f t="shared" si="6"/>
        <v>305.74000000000007</v>
      </c>
      <c r="S52" s="72">
        <f t="shared" si="6"/>
        <v>302.64000000000004</v>
      </c>
      <c r="T52" s="72">
        <f t="shared" si="6"/>
        <v>326.24</v>
      </c>
      <c r="U52" s="72">
        <f t="shared" si="6"/>
        <v>344.64000000000004</v>
      </c>
      <c r="V52" s="72">
        <f t="shared" si="6"/>
        <v>404.84000000000003</v>
      </c>
      <c r="W52" s="72">
        <f t="shared" si="6"/>
        <v>422.24</v>
      </c>
      <c r="X52" s="72">
        <f t="shared" si="6"/>
        <v>424.84000000000003</v>
      </c>
      <c r="Y52" s="72">
        <f t="shared" si="6"/>
        <v>424.84000000000003</v>
      </c>
      <c r="Z52" s="72">
        <f t="shared" si="6"/>
        <v>394.24000000000007</v>
      </c>
      <c r="AA52" s="72">
        <f t="shared" si="6"/>
        <v>380.54</v>
      </c>
      <c r="AB52" s="72">
        <f t="shared" si="6"/>
        <v>404.43999999999994</v>
      </c>
      <c r="AC52" s="72">
        <f t="shared" si="6"/>
        <v>404.84</v>
      </c>
      <c r="AD52" s="72">
        <f t="shared" si="6"/>
        <v>405.34</v>
      </c>
      <c r="AE52" s="72">
        <f t="shared" si="6"/>
        <v>333.44</v>
      </c>
      <c r="AF52" s="72">
        <f t="shared" si="6"/>
        <v>303.83999999999997</v>
      </c>
      <c r="AG52" s="78">
        <f>SUM(AG39:AG51)</f>
        <v>489.91</v>
      </c>
      <c r="AH52" s="54">
        <f t="shared" si="2"/>
        <v>424.84000000000003</v>
      </c>
      <c r="AI52" s="55">
        <f t="shared" si="3"/>
        <v>187.64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30.6</v>
      </c>
      <c r="L53" s="61">
        <v>59.3</v>
      </c>
      <c r="M53" s="79">
        <v>59.7</v>
      </c>
      <c r="N53" s="79">
        <v>50</v>
      </c>
      <c r="O53" s="79">
        <v>55</v>
      </c>
      <c r="P53" s="79">
        <v>20</v>
      </c>
      <c r="Q53" s="50">
        <v>10</v>
      </c>
      <c r="R53" s="50">
        <v>25</v>
      </c>
      <c r="S53" s="50">
        <v>14</v>
      </c>
      <c r="T53" s="50">
        <v>14</v>
      </c>
      <c r="U53" s="50">
        <v>29.4</v>
      </c>
      <c r="V53" s="50">
        <v>29.5</v>
      </c>
      <c r="W53" s="50">
        <v>45</v>
      </c>
      <c r="X53" s="50">
        <v>50</v>
      </c>
      <c r="Y53" s="50">
        <v>50</v>
      </c>
      <c r="Z53" s="50">
        <v>50.4</v>
      </c>
      <c r="AA53" s="50">
        <v>49.5</v>
      </c>
      <c r="AB53" s="50">
        <v>39.4</v>
      </c>
      <c r="AC53" s="50">
        <v>10.3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59.7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14</v>
      </c>
      <c r="L54" s="61">
        <v>29</v>
      </c>
      <c r="M54" s="79">
        <v>29.3</v>
      </c>
      <c r="N54" s="79">
        <v>23.7</v>
      </c>
      <c r="O54" s="79">
        <v>28.3</v>
      </c>
      <c r="P54" s="79">
        <v>13</v>
      </c>
      <c r="Q54" s="73">
        <v>5</v>
      </c>
      <c r="R54" s="73">
        <v>5</v>
      </c>
      <c r="S54" s="50">
        <v>6.6</v>
      </c>
      <c r="T54" s="50">
        <v>6.6</v>
      </c>
      <c r="U54" s="50">
        <v>10.199999999999999</v>
      </c>
      <c r="V54" s="73">
        <v>14.7</v>
      </c>
      <c r="W54" s="73">
        <v>18.399999999999999</v>
      </c>
      <c r="X54" s="73">
        <v>23.4</v>
      </c>
      <c r="Y54" s="73">
        <v>23.4</v>
      </c>
      <c r="Z54" s="73">
        <v>23.4</v>
      </c>
      <c r="AA54" s="73">
        <v>23.4</v>
      </c>
      <c r="AB54" s="73">
        <v>16.600000000000001</v>
      </c>
      <c r="AC54" s="73">
        <v>4.9000000000000004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29.3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5</v>
      </c>
      <c r="L55" s="74">
        <v>11</v>
      </c>
      <c r="M55" s="81">
        <v>11</v>
      </c>
      <c r="N55" s="81">
        <v>9</v>
      </c>
      <c r="O55" s="81">
        <v>10.3</v>
      </c>
      <c r="P55" s="81">
        <v>6</v>
      </c>
      <c r="Q55" s="80">
        <v>2</v>
      </c>
      <c r="R55" s="80">
        <v>2</v>
      </c>
      <c r="S55" s="50">
        <v>2.4</v>
      </c>
      <c r="T55" s="50">
        <v>2.4</v>
      </c>
      <c r="U55" s="50">
        <v>3.7</v>
      </c>
      <c r="V55" s="80">
        <v>5.3</v>
      </c>
      <c r="W55" s="80">
        <v>6.7</v>
      </c>
      <c r="X55" s="80">
        <v>8.5</v>
      </c>
      <c r="Y55" s="80">
        <v>8.5</v>
      </c>
      <c r="Z55" s="80">
        <v>8.5</v>
      </c>
      <c r="AA55" s="80">
        <v>8.5</v>
      </c>
      <c r="AB55" s="80">
        <v>6.1</v>
      </c>
      <c r="AC55" s="80">
        <v>1.8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49.6</v>
      </c>
      <c r="L56" s="72">
        <f t="shared" si="7"/>
        <v>99.3</v>
      </c>
      <c r="M56" s="72">
        <f t="shared" si="7"/>
        <v>100</v>
      </c>
      <c r="N56" s="72">
        <f t="shared" si="7"/>
        <v>82.7</v>
      </c>
      <c r="O56" s="72">
        <f t="shared" si="7"/>
        <v>93.6</v>
      </c>
      <c r="P56" s="72">
        <f t="shared" si="7"/>
        <v>39</v>
      </c>
      <c r="Q56" s="72">
        <f t="shared" si="7"/>
        <v>17</v>
      </c>
      <c r="R56" s="72">
        <f t="shared" si="7"/>
        <v>32</v>
      </c>
      <c r="S56" s="72">
        <f t="shared" si="7"/>
        <v>23</v>
      </c>
      <c r="T56" s="72">
        <f t="shared" si="7"/>
        <v>23</v>
      </c>
      <c r="U56" s="72">
        <f t="shared" si="7"/>
        <v>43.3</v>
      </c>
      <c r="V56" s="72">
        <f t="shared" si="7"/>
        <v>49.5</v>
      </c>
      <c r="W56" s="72">
        <f t="shared" si="7"/>
        <v>70.099999999999994</v>
      </c>
      <c r="X56" s="72">
        <f t="shared" si="7"/>
        <v>81.900000000000006</v>
      </c>
      <c r="Y56" s="72">
        <f t="shared" si="7"/>
        <v>81.900000000000006</v>
      </c>
      <c r="Z56" s="72">
        <f t="shared" si="7"/>
        <v>82.3</v>
      </c>
      <c r="AA56" s="72">
        <f t="shared" si="7"/>
        <v>81.400000000000006</v>
      </c>
      <c r="AB56" s="72">
        <f t="shared" si="7"/>
        <v>62.1</v>
      </c>
      <c r="AC56" s="72">
        <f t="shared" si="7"/>
        <v>17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100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50</v>
      </c>
      <c r="C57" s="50">
        <v>58</v>
      </c>
      <c r="D57" s="50">
        <v>58.3</v>
      </c>
      <c r="E57" s="50">
        <v>58.9</v>
      </c>
      <c r="F57" s="50">
        <v>59</v>
      </c>
      <c r="G57" s="50">
        <v>55</v>
      </c>
      <c r="H57" s="50">
        <v>59.7</v>
      </c>
      <c r="I57" s="50">
        <v>66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66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76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76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120</v>
      </c>
      <c r="C59" s="73">
        <v>100</v>
      </c>
      <c r="D59" s="73">
        <v>95.5</v>
      </c>
      <c r="E59" s="73">
        <v>98</v>
      </c>
      <c r="F59" s="73">
        <v>107</v>
      </c>
      <c r="G59" s="73">
        <v>124.8</v>
      </c>
      <c r="H59" s="50">
        <v>140</v>
      </c>
      <c r="I59" s="50">
        <v>204</v>
      </c>
      <c r="J59" s="50">
        <v>264.8</v>
      </c>
      <c r="K59" s="50">
        <v>265</v>
      </c>
      <c r="L59" s="50">
        <v>14</v>
      </c>
      <c r="M59" s="50">
        <v>15</v>
      </c>
      <c r="N59" s="50">
        <v>25</v>
      </c>
      <c r="O59" s="73">
        <v>0</v>
      </c>
      <c r="P59" s="73">
        <v>320</v>
      </c>
      <c r="Q59" s="73">
        <v>320</v>
      </c>
      <c r="R59" s="73">
        <v>342</v>
      </c>
      <c r="S59" s="73">
        <v>343</v>
      </c>
      <c r="T59" s="73">
        <v>331</v>
      </c>
      <c r="U59" s="73">
        <v>317</v>
      </c>
      <c r="V59" s="73">
        <v>168</v>
      </c>
      <c r="W59" s="73">
        <v>-2.1</v>
      </c>
      <c r="X59" s="84">
        <v>14.7</v>
      </c>
      <c r="Y59" s="84">
        <v>3.8</v>
      </c>
      <c r="Z59" s="84">
        <v>-3.2</v>
      </c>
      <c r="AA59" s="84">
        <v>-0.9</v>
      </c>
      <c r="AB59" s="73">
        <v>218.9</v>
      </c>
      <c r="AC59" s="73">
        <v>231.6</v>
      </c>
      <c r="AD59" s="73">
        <v>192.1</v>
      </c>
      <c r="AE59" s="73">
        <v>249.1</v>
      </c>
      <c r="AF59" s="73">
        <v>156</v>
      </c>
      <c r="AG59" s="85"/>
      <c r="AH59" s="54">
        <f t="shared" si="2"/>
        <v>343</v>
      </c>
      <c r="AI59" s="55">
        <f t="shared" si="3"/>
        <v>-3.2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37</v>
      </c>
      <c r="L60" s="58">
        <v>41</v>
      </c>
      <c r="M60" s="58">
        <v>46</v>
      </c>
      <c r="N60" s="58">
        <v>43</v>
      </c>
      <c r="O60" s="73">
        <v>47</v>
      </c>
      <c r="P60" s="73">
        <v>47</v>
      </c>
      <c r="Q60" s="73">
        <v>50</v>
      </c>
      <c r="R60" s="73">
        <v>50.4</v>
      </c>
      <c r="S60" s="73">
        <v>50.4</v>
      </c>
      <c r="T60" s="73">
        <v>50.4</v>
      </c>
      <c r="U60" s="73">
        <v>50.4</v>
      </c>
      <c r="V60" s="73">
        <v>56</v>
      </c>
      <c r="W60" s="73">
        <v>56</v>
      </c>
      <c r="X60" s="73">
        <v>56</v>
      </c>
      <c r="Y60" s="73">
        <v>56</v>
      </c>
      <c r="Z60" s="73">
        <v>56</v>
      </c>
      <c r="AA60" s="73">
        <v>56</v>
      </c>
      <c r="AB60" s="73">
        <v>55</v>
      </c>
      <c r="AC60" s="73">
        <v>55</v>
      </c>
      <c r="AD60" s="73">
        <v>52</v>
      </c>
      <c r="AE60" s="73">
        <v>0</v>
      </c>
      <c r="AF60" s="58">
        <v>0</v>
      </c>
      <c r="AG60" s="85"/>
      <c r="AH60" s="54">
        <f t="shared" si="2"/>
        <v>56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63.6</v>
      </c>
      <c r="N61" s="58">
        <v>63.3</v>
      </c>
      <c r="O61" s="50">
        <v>62.3</v>
      </c>
      <c r="P61" s="50">
        <v>62.3</v>
      </c>
      <c r="Q61" s="50">
        <v>54</v>
      </c>
      <c r="R61" s="50">
        <v>0</v>
      </c>
      <c r="S61" s="50">
        <v>0</v>
      </c>
      <c r="T61" s="50">
        <v>0</v>
      </c>
      <c r="U61" s="50">
        <v>0</v>
      </c>
      <c r="V61" s="50">
        <v>82.4</v>
      </c>
      <c r="W61" s="50">
        <v>72.599999999999994</v>
      </c>
      <c r="X61" s="50">
        <v>78.5</v>
      </c>
      <c r="Y61" s="50">
        <v>76.900000000000006</v>
      </c>
      <c r="Z61" s="50">
        <v>57.5</v>
      </c>
      <c r="AA61" s="50">
        <v>55.2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82.4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170</v>
      </c>
      <c r="C68" s="72">
        <f>SUM(C57:C67)</f>
        <v>158</v>
      </c>
      <c r="D68" s="72">
        <f t="shared" ref="D68:AF68" si="8">SUM(D57:D67)</f>
        <v>153.80000000000001</v>
      </c>
      <c r="E68" s="72">
        <f t="shared" si="8"/>
        <v>156.9</v>
      </c>
      <c r="F68" s="72">
        <f t="shared" si="8"/>
        <v>166</v>
      </c>
      <c r="G68" s="72">
        <f t="shared" si="8"/>
        <v>179.8</v>
      </c>
      <c r="H68" s="72">
        <f t="shared" si="8"/>
        <v>199.7</v>
      </c>
      <c r="I68" s="72">
        <f t="shared" si="8"/>
        <v>270</v>
      </c>
      <c r="J68" s="72">
        <f t="shared" si="8"/>
        <v>264.8</v>
      </c>
      <c r="K68" s="72">
        <f t="shared" si="8"/>
        <v>302</v>
      </c>
      <c r="L68" s="72">
        <f t="shared" si="8"/>
        <v>55</v>
      </c>
      <c r="M68" s="72">
        <f t="shared" si="8"/>
        <v>124.6</v>
      </c>
      <c r="N68" s="72">
        <f t="shared" si="8"/>
        <v>131.30000000000001</v>
      </c>
      <c r="O68" s="72">
        <f t="shared" si="8"/>
        <v>109.3</v>
      </c>
      <c r="P68" s="72">
        <f t="shared" si="8"/>
        <v>429.3</v>
      </c>
      <c r="Q68" s="72">
        <f t="shared" si="8"/>
        <v>424</v>
      </c>
      <c r="R68" s="72">
        <f t="shared" si="8"/>
        <v>392.4</v>
      </c>
      <c r="S68" s="72">
        <f t="shared" si="8"/>
        <v>393.4</v>
      </c>
      <c r="T68" s="72">
        <f t="shared" si="8"/>
        <v>381.4</v>
      </c>
      <c r="U68" s="72">
        <f t="shared" si="8"/>
        <v>367.4</v>
      </c>
      <c r="V68" s="72">
        <f t="shared" si="8"/>
        <v>306.39999999999998</v>
      </c>
      <c r="W68" s="72">
        <f t="shared" si="8"/>
        <v>126.5</v>
      </c>
      <c r="X68" s="72">
        <f t="shared" si="8"/>
        <v>225.2</v>
      </c>
      <c r="Y68" s="72">
        <f t="shared" si="8"/>
        <v>136.69999999999999</v>
      </c>
      <c r="Z68" s="72">
        <f t="shared" si="8"/>
        <v>110.3</v>
      </c>
      <c r="AA68" s="72">
        <f t="shared" si="8"/>
        <v>110.30000000000001</v>
      </c>
      <c r="AB68" s="72">
        <f t="shared" si="8"/>
        <v>273.89999999999998</v>
      </c>
      <c r="AC68" s="72">
        <f t="shared" si="8"/>
        <v>286.60000000000002</v>
      </c>
      <c r="AD68" s="72">
        <f t="shared" si="8"/>
        <v>244.1</v>
      </c>
      <c r="AE68" s="72">
        <f t="shared" si="8"/>
        <v>249.1</v>
      </c>
      <c r="AF68" s="72">
        <f t="shared" si="8"/>
        <v>156</v>
      </c>
      <c r="AG68" s="78">
        <f>SUM(AG57:AG67)</f>
        <v>0</v>
      </c>
      <c r="AH68" s="54">
        <f t="shared" si="2"/>
        <v>429.3</v>
      </c>
      <c r="AI68" s="55">
        <f t="shared" si="3"/>
        <v>55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966.94</v>
      </c>
      <c r="C73" s="89">
        <f>C68+C56+C52+C38+C72</f>
        <v>874.74</v>
      </c>
      <c r="D73" s="89">
        <f t="shared" ref="D73:AG73" si="10">D68+D56+D52+D38+D72</f>
        <v>863.64</v>
      </c>
      <c r="E73" s="89">
        <f t="shared" si="10"/>
        <v>865.84</v>
      </c>
      <c r="F73" s="89">
        <f t="shared" si="10"/>
        <v>884.64</v>
      </c>
      <c r="G73" s="89">
        <f t="shared" si="10"/>
        <v>931.94</v>
      </c>
      <c r="H73" s="89">
        <f t="shared" si="10"/>
        <v>1033.74</v>
      </c>
      <c r="I73" s="89">
        <f t="shared" si="10"/>
        <v>1134.8400000000001</v>
      </c>
      <c r="J73" s="89">
        <f t="shared" si="10"/>
        <v>1244.3400000000001</v>
      </c>
      <c r="K73" s="89">
        <f t="shared" si="10"/>
        <v>1360.14</v>
      </c>
      <c r="L73" s="89">
        <f t="shared" si="10"/>
        <v>1503.8400000000001</v>
      </c>
      <c r="M73" s="89">
        <f t="shared" si="10"/>
        <v>1516.44</v>
      </c>
      <c r="N73" s="89">
        <f t="shared" si="10"/>
        <v>1450.8400000000001</v>
      </c>
      <c r="O73" s="89">
        <f t="shared" si="10"/>
        <v>1363.6399999999999</v>
      </c>
      <c r="P73" s="89">
        <f t="shared" si="10"/>
        <v>1313.74</v>
      </c>
      <c r="Q73" s="89">
        <f t="shared" si="10"/>
        <v>1255.44</v>
      </c>
      <c r="R73" s="89">
        <f t="shared" si="10"/>
        <v>1216.94</v>
      </c>
      <c r="S73" s="89">
        <f t="shared" si="10"/>
        <v>1205.8399999999999</v>
      </c>
      <c r="T73" s="89">
        <f t="shared" si="10"/>
        <v>1240.44</v>
      </c>
      <c r="U73" s="89">
        <f t="shared" si="10"/>
        <v>1265.1399999999999</v>
      </c>
      <c r="V73" s="89">
        <f t="shared" si="10"/>
        <v>1370.54</v>
      </c>
      <c r="W73" s="89">
        <f t="shared" si="10"/>
        <v>1465.64</v>
      </c>
      <c r="X73" s="89">
        <f t="shared" si="10"/>
        <v>1578.2400000000002</v>
      </c>
      <c r="Y73" s="89">
        <f t="shared" si="10"/>
        <v>1565.7400000000002</v>
      </c>
      <c r="Z73" s="89">
        <f t="shared" si="10"/>
        <v>1493.1400000000003</v>
      </c>
      <c r="AA73" s="89">
        <f t="shared" si="10"/>
        <v>1468.5400000000002</v>
      </c>
      <c r="AB73" s="89">
        <f t="shared" si="10"/>
        <v>1370.6399999999999</v>
      </c>
      <c r="AC73" s="89">
        <f t="shared" si="10"/>
        <v>1298.6400000000001</v>
      </c>
      <c r="AD73" s="89">
        <f t="shared" si="10"/>
        <v>1233.94</v>
      </c>
      <c r="AE73" s="89">
        <f t="shared" si="10"/>
        <v>1074.6399999999999</v>
      </c>
      <c r="AF73" s="89">
        <f t="shared" si="10"/>
        <v>960.54</v>
      </c>
      <c r="AG73" s="89">
        <f t="shared" si="10"/>
        <v>2144.14</v>
      </c>
      <c r="AH73" s="54">
        <f t="shared" si="2"/>
        <v>1578.2400000000002</v>
      </c>
      <c r="AI73" s="55">
        <f t="shared" si="3"/>
        <v>863.64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966.94</v>
      </c>
      <c r="C75" s="89">
        <f>C73+C74</f>
        <v>874.74</v>
      </c>
      <c r="D75" s="89">
        <f t="shared" ref="D75:AF75" si="11">D72+D68+D56+D52+D38+D74</f>
        <v>863.64</v>
      </c>
      <c r="E75" s="89">
        <f t="shared" si="11"/>
        <v>865.84</v>
      </c>
      <c r="F75" s="89">
        <f t="shared" si="11"/>
        <v>884.64</v>
      </c>
      <c r="G75" s="89">
        <f t="shared" si="11"/>
        <v>931.94</v>
      </c>
      <c r="H75" s="89">
        <f t="shared" si="11"/>
        <v>1033.74</v>
      </c>
      <c r="I75" s="89">
        <f t="shared" si="11"/>
        <v>1134.8400000000001</v>
      </c>
      <c r="J75" s="89">
        <f t="shared" si="11"/>
        <v>1244.3400000000001</v>
      </c>
      <c r="K75" s="89">
        <f t="shared" si="11"/>
        <v>1360.14</v>
      </c>
      <c r="L75" s="89">
        <f t="shared" si="11"/>
        <v>1503.8400000000001</v>
      </c>
      <c r="M75" s="89">
        <f t="shared" si="11"/>
        <v>1516.44</v>
      </c>
      <c r="N75" s="89">
        <f t="shared" si="11"/>
        <v>1450.8400000000001</v>
      </c>
      <c r="O75" s="89">
        <f t="shared" si="11"/>
        <v>1363.6399999999999</v>
      </c>
      <c r="P75" s="89">
        <f t="shared" si="11"/>
        <v>1313.74</v>
      </c>
      <c r="Q75" s="89">
        <f t="shared" si="11"/>
        <v>1255.44</v>
      </c>
      <c r="R75" s="89">
        <f t="shared" si="11"/>
        <v>1216.94</v>
      </c>
      <c r="S75" s="89">
        <f t="shared" si="11"/>
        <v>1205.8399999999999</v>
      </c>
      <c r="T75" s="89">
        <f t="shared" si="11"/>
        <v>1240.44</v>
      </c>
      <c r="U75" s="89">
        <f t="shared" si="11"/>
        <v>1265.1399999999999</v>
      </c>
      <c r="V75" s="89">
        <f t="shared" si="11"/>
        <v>1370.54</v>
      </c>
      <c r="W75" s="89">
        <f t="shared" si="11"/>
        <v>1465.64</v>
      </c>
      <c r="X75" s="89">
        <f t="shared" si="11"/>
        <v>1578.2400000000002</v>
      </c>
      <c r="Y75" s="89">
        <f t="shared" si="11"/>
        <v>1565.7400000000002</v>
      </c>
      <c r="Z75" s="89">
        <f t="shared" si="11"/>
        <v>1493.1400000000003</v>
      </c>
      <c r="AA75" s="89">
        <f t="shared" si="11"/>
        <v>1468.5400000000002</v>
      </c>
      <c r="AB75" s="89">
        <f t="shared" si="11"/>
        <v>1370.6399999999999</v>
      </c>
      <c r="AC75" s="89">
        <f t="shared" si="11"/>
        <v>1298.6400000000001</v>
      </c>
      <c r="AD75" s="89">
        <f t="shared" si="11"/>
        <v>1233.94</v>
      </c>
      <c r="AE75" s="89">
        <f t="shared" si="11"/>
        <v>1074.6399999999999</v>
      </c>
      <c r="AF75" s="89">
        <f t="shared" si="11"/>
        <v>960.54</v>
      </c>
      <c r="AG75" s="78">
        <f>AG72+AG68+AG56+AG52+AG38+AG74</f>
        <v>2144.14</v>
      </c>
      <c r="AH75" s="54">
        <f t="shared" si="2"/>
        <v>1578.2400000000002</v>
      </c>
      <c r="AI75" s="55">
        <f t="shared" si="3"/>
        <v>863.64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2.1</v>
      </c>
      <c r="X79" s="58">
        <f t="shared" si="17"/>
        <v>0</v>
      </c>
      <c r="Y79" s="58">
        <f t="shared" si="17"/>
        <v>0</v>
      </c>
      <c r="Z79" s="58">
        <f t="shared" si="17"/>
        <v>3.2</v>
      </c>
      <c r="AA79" s="58">
        <f t="shared" si="17"/>
        <v>0.9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3.2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2.1</v>
      </c>
      <c r="X82" s="72">
        <f t="shared" si="19"/>
        <v>0</v>
      </c>
      <c r="Y82" s="72">
        <f t="shared" si="19"/>
        <v>0</v>
      </c>
      <c r="Z82" s="72">
        <f t="shared" si="19"/>
        <v>3.2</v>
      </c>
      <c r="AA82" s="72">
        <f t="shared" si="19"/>
        <v>0.9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3.2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1933.88</v>
      </c>
      <c r="C83" s="72">
        <f t="shared" ref="C83:AG83" si="20">SUM(C70:C82)</f>
        <v>1749.48</v>
      </c>
      <c r="D83" s="72">
        <f t="shared" si="20"/>
        <v>1727.28</v>
      </c>
      <c r="E83" s="72">
        <f t="shared" si="20"/>
        <v>1731.68</v>
      </c>
      <c r="F83" s="72">
        <f t="shared" si="20"/>
        <v>1769.28</v>
      </c>
      <c r="G83" s="72">
        <f t="shared" si="20"/>
        <v>1863.88</v>
      </c>
      <c r="H83" s="72">
        <f t="shared" si="20"/>
        <v>2067.48</v>
      </c>
      <c r="I83" s="72">
        <f t="shared" si="20"/>
        <v>2269.6800000000003</v>
      </c>
      <c r="J83" s="72">
        <f t="shared" si="20"/>
        <v>2488.6800000000003</v>
      </c>
      <c r="K83" s="72">
        <f t="shared" si="20"/>
        <v>2720.28</v>
      </c>
      <c r="L83" s="72">
        <f t="shared" si="20"/>
        <v>3007.6800000000003</v>
      </c>
      <c r="M83" s="72">
        <f t="shared" si="20"/>
        <v>3032.88</v>
      </c>
      <c r="N83" s="72">
        <f t="shared" si="20"/>
        <v>2901.6800000000003</v>
      </c>
      <c r="O83" s="72">
        <f t="shared" si="20"/>
        <v>2727.2799999999997</v>
      </c>
      <c r="P83" s="72">
        <f t="shared" si="20"/>
        <v>2627.48</v>
      </c>
      <c r="Q83" s="72">
        <f t="shared" si="20"/>
        <v>2510.88</v>
      </c>
      <c r="R83" s="72">
        <f t="shared" si="20"/>
        <v>2433.88</v>
      </c>
      <c r="S83" s="72">
        <f t="shared" si="20"/>
        <v>2411.6799999999998</v>
      </c>
      <c r="T83" s="72">
        <f t="shared" si="20"/>
        <v>2480.88</v>
      </c>
      <c r="U83" s="72">
        <f t="shared" si="20"/>
        <v>2530.2799999999997</v>
      </c>
      <c r="V83" s="72">
        <f t="shared" si="20"/>
        <v>2741.08</v>
      </c>
      <c r="W83" s="72">
        <f t="shared" si="20"/>
        <v>2935.48</v>
      </c>
      <c r="X83" s="72">
        <f t="shared" si="20"/>
        <v>3156.4800000000005</v>
      </c>
      <c r="Y83" s="72">
        <f t="shared" si="20"/>
        <v>3131.4800000000005</v>
      </c>
      <c r="Z83" s="72">
        <f t="shared" si="20"/>
        <v>2992.6800000000003</v>
      </c>
      <c r="AA83" s="72">
        <f t="shared" si="20"/>
        <v>2938.8800000000006</v>
      </c>
      <c r="AB83" s="72">
        <f t="shared" si="20"/>
        <v>2741.2799999999997</v>
      </c>
      <c r="AC83" s="72">
        <f t="shared" si="20"/>
        <v>2597.2800000000002</v>
      </c>
      <c r="AD83" s="72">
        <f t="shared" si="20"/>
        <v>2467.88</v>
      </c>
      <c r="AE83" s="72">
        <f t="shared" si="20"/>
        <v>2149.2799999999997</v>
      </c>
      <c r="AF83" s="72">
        <f t="shared" si="20"/>
        <v>1921.08</v>
      </c>
      <c r="AG83" s="78">
        <f t="shared" si="20"/>
        <v>4360.08</v>
      </c>
      <c r="AH83" s="54">
        <f t="shared" si="13"/>
        <v>3156.4800000000005</v>
      </c>
      <c r="AI83" s="55">
        <f t="shared" si="14"/>
        <v>1727.28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50.02</v>
      </c>
      <c r="C84" s="171">
        <v>50.02</v>
      </c>
      <c r="D84" s="171">
        <v>49.96</v>
      </c>
      <c r="E84" s="171">
        <v>49.99</v>
      </c>
      <c r="F84" s="95">
        <v>49.984000000000002</v>
      </c>
      <c r="G84" s="95">
        <v>50.09</v>
      </c>
      <c r="H84" s="95">
        <v>50.143999999999998</v>
      </c>
      <c r="I84" s="95">
        <v>50.015000000000001</v>
      </c>
      <c r="J84" s="95">
        <v>50.06</v>
      </c>
      <c r="K84" s="95">
        <v>50.03</v>
      </c>
      <c r="L84" s="95">
        <v>49.96</v>
      </c>
      <c r="M84" s="95">
        <v>50.002000000000002</v>
      </c>
      <c r="N84" s="95">
        <v>49.883000000000003</v>
      </c>
      <c r="O84" s="95">
        <v>49.8</v>
      </c>
      <c r="P84" s="95">
        <v>49.851999999999997</v>
      </c>
      <c r="Q84" s="95">
        <v>50.113</v>
      </c>
      <c r="R84" s="95">
        <v>50.036999999999999</v>
      </c>
      <c r="S84" s="95">
        <v>50.101999999999997</v>
      </c>
      <c r="T84" s="95">
        <v>50.036999999999999</v>
      </c>
      <c r="U84" s="95">
        <v>50.024999999999999</v>
      </c>
      <c r="V84" s="95">
        <v>50.030999999999999</v>
      </c>
      <c r="W84" s="95">
        <v>50.034999999999997</v>
      </c>
      <c r="X84" s="95">
        <v>50.015999999999998</v>
      </c>
      <c r="Y84" s="95">
        <v>50.003999999999998</v>
      </c>
      <c r="Z84" s="95">
        <v>50.078000000000003</v>
      </c>
      <c r="AA84" s="95">
        <v>50.027999999999999</v>
      </c>
      <c r="AB84" s="95">
        <v>50.07</v>
      </c>
      <c r="AC84" s="95">
        <v>50.051000000000002</v>
      </c>
      <c r="AD84" s="95">
        <v>49.996000000000002</v>
      </c>
      <c r="AE84" s="95">
        <v>50.076000000000001</v>
      </c>
      <c r="AF84" s="95">
        <v>50.012999999999998</v>
      </c>
      <c r="AG84" s="96"/>
      <c r="AH84" s="54">
        <f t="shared" si="13"/>
        <v>50.143999999999998</v>
      </c>
      <c r="AI84" s="55">
        <f t="shared" si="14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126.1</v>
      </c>
      <c r="C85" s="172">
        <v>127.2</v>
      </c>
      <c r="D85" s="172">
        <v>130</v>
      </c>
      <c r="E85" s="172">
        <v>126</v>
      </c>
      <c r="F85" s="73">
        <v>127</v>
      </c>
      <c r="G85" s="73">
        <v>126.4</v>
      </c>
      <c r="H85" s="73">
        <v>125</v>
      </c>
      <c r="I85" s="73">
        <v>125</v>
      </c>
      <c r="J85" s="73">
        <v>123</v>
      </c>
      <c r="K85" s="73">
        <v>123.6</v>
      </c>
      <c r="L85" s="73">
        <v>122</v>
      </c>
      <c r="M85" s="73">
        <v>125.8</v>
      </c>
      <c r="N85" s="73">
        <v>125.1</v>
      </c>
      <c r="O85" s="73">
        <v>124.7</v>
      </c>
      <c r="P85" s="73">
        <v>123.6</v>
      </c>
      <c r="Q85" s="73">
        <v>124.6</v>
      </c>
      <c r="R85" s="73">
        <v>125</v>
      </c>
      <c r="S85" s="73">
        <v>123.8</v>
      </c>
      <c r="T85" s="73">
        <v>122.7</v>
      </c>
      <c r="U85" s="98">
        <v>124.1</v>
      </c>
      <c r="V85" s="98">
        <v>125.9</v>
      </c>
      <c r="W85" s="98">
        <v>126.9</v>
      </c>
      <c r="X85" s="98">
        <v>123.5</v>
      </c>
      <c r="Y85" s="98">
        <v>124.1</v>
      </c>
      <c r="Z85" s="98">
        <v>125.7</v>
      </c>
      <c r="AA85" s="98">
        <v>125.9</v>
      </c>
      <c r="AB85" s="73">
        <v>123.9</v>
      </c>
      <c r="AC85" s="73">
        <v>123.7</v>
      </c>
      <c r="AD85" s="73">
        <v>121.7</v>
      </c>
      <c r="AE85" s="73">
        <v>123.4</v>
      </c>
      <c r="AF85" s="73">
        <v>125.3</v>
      </c>
      <c r="AG85" s="99"/>
      <c r="AH85" s="54">
        <f t="shared" si="13"/>
        <v>130</v>
      </c>
      <c r="AI85" s="55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129.80000000000001</v>
      </c>
      <c r="C86" s="172">
        <v>130.9</v>
      </c>
      <c r="D86" s="172">
        <v>130.9</v>
      </c>
      <c r="E86" s="172">
        <v>130</v>
      </c>
      <c r="F86" s="73">
        <v>131</v>
      </c>
      <c r="G86" s="73">
        <v>130</v>
      </c>
      <c r="H86" s="73">
        <v>128</v>
      </c>
      <c r="I86" s="73">
        <v>128</v>
      </c>
      <c r="J86" s="73">
        <v>127.5</v>
      </c>
      <c r="K86" s="73">
        <v>126</v>
      </c>
      <c r="L86" s="73">
        <v>125</v>
      </c>
      <c r="M86" s="73">
        <v>127.3</v>
      </c>
      <c r="N86" s="73">
        <v>126.8</v>
      </c>
      <c r="O86" s="73">
        <v>125.8</v>
      </c>
      <c r="P86" s="73">
        <v>125.7</v>
      </c>
      <c r="Q86" s="73">
        <v>126.6</v>
      </c>
      <c r="R86" s="73">
        <v>127</v>
      </c>
      <c r="S86" s="73">
        <v>126.6</v>
      </c>
      <c r="T86" s="73">
        <v>125.3</v>
      </c>
      <c r="U86" s="98">
        <v>126.8</v>
      </c>
      <c r="V86" s="98">
        <v>127.2</v>
      </c>
      <c r="W86" s="98">
        <v>127.4</v>
      </c>
      <c r="X86" s="98">
        <v>124.3</v>
      </c>
      <c r="Y86" s="98">
        <v>124.6</v>
      </c>
      <c r="Z86" s="98">
        <v>126.1</v>
      </c>
      <c r="AA86" s="98">
        <v>126.5</v>
      </c>
      <c r="AB86" s="73">
        <v>125</v>
      </c>
      <c r="AC86" s="73">
        <v>125</v>
      </c>
      <c r="AD86" s="73">
        <v>123.2</v>
      </c>
      <c r="AE86" s="73">
        <v>125.9</v>
      </c>
      <c r="AF86" s="73">
        <v>127.6</v>
      </c>
      <c r="AG86" s="99"/>
      <c r="AH86" s="54">
        <f t="shared" si="13"/>
        <v>131</v>
      </c>
      <c r="AI86" s="55">
        <f t="shared" si="14"/>
        <v>123.2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/>
      <c r="C87" s="172"/>
      <c r="D87" s="172"/>
      <c r="E87" s="172"/>
      <c r="F87" s="73"/>
      <c r="G87" s="73"/>
      <c r="H87" s="73"/>
      <c r="I87" s="73"/>
      <c r="J87" s="73"/>
      <c r="K87" s="73"/>
      <c r="L87" s="73"/>
      <c r="M87" s="73" t="s">
        <v>231</v>
      </c>
      <c r="N87" s="73" t="s">
        <v>231</v>
      </c>
      <c r="O87" s="73" t="s">
        <v>231</v>
      </c>
      <c r="P87" s="73" t="s">
        <v>231</v>
      </c>
      <c r="Q87" s="73" t="s">
        <v>231</v>
      </c>
      <c r="R87" s="73" t="s">
        <v>231</v>
      </c>
      <c r="S87" s="73"/>
      <c r="T87" s="73"/>
      <c r="U87" s="73"/>
      <c r="V87" s="73"/>
      <c r="W87" s="73"/>
      <c r="X87" s="98"/>
      <c r="Y87" s="98"/>
      <c r="Z87" s="98"/>
      <c r="AA87" s="98"/>
      <c r="AB87" s="73"/>
      <c r="AC87" s="73"/>
      <c r="AD87" s="73"/>
      <c r="AE87" s="73"/>
      <c r="AF87" s="73"/>
      <c r="AG87" s="99"/>
      <c r="AH87" s="54">
        <f t="shared" si="13"/>
        <v>0</v>
      </c>
      <c r="AI87" s="55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/>
      <c r="C88" s="172"/>
      <c r="D88" s="172"/>
      <c r="E88" s="172"/>
      <c r="F88" s="73"/>
      <c r="G88" s="73"/>
      <c r="H88" s="73"/>
      <c r="I88" s="73"/>
      <c r="J88" s="73"/>
      <c r="K88" s="73"/>
      <c r="L88" s="73"/>
      <c r="M88" s="73" t="s">
        <v>231</v>
      </c>
      <c r="N88" s="73" t="s">
        <v>231</v>
      </c>
      <c r="O88" s="73" t="s">
        <v>231</v>
      </c>
      <c r="P88" s="73" t="s">
        <v>231</v>
      </c>
      <c r="Q88" s="73" t="s">
        <v>231</v>
      </c>
      <c r="R88" s="73" t="s">
        <v>231</v>
      </c>
      <c r="S88" s="73"/>
      <c r="T88" s="73"/>
      <c r="U88" s="73"/>
      <c r="V88" s="73"/>
      <c r="W88" s="73"/>
      <c r="X88" s="98"/>
      <c r="Y88" s="98"/>
      <c r="Z88" s="98"/>
      <c r="AA88" s="98"/>
      <c r="AB88" s="73"/>
      <c r="AC88" s="73"/>
      <c r="AD88" s="73"/>
      <c r="AE88" s="73"/>
      <c r="AF88" s="73"/>
      <c r="AG88" s="99"/>
      <c r="AH88" s="54">
        <f t="shared" si="13"/>
        <v>0</v>
      </c>
      <c r="AI88" s="55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132.69999999999999</v>
      </c>
      <c r="C89" s="173">
        <v>131</v>
      </c>
      <c r="D89" s="173">
        <v>130.6</v>
      </c>
      <c r="E89" s="173">
        <v>130.6</v>
      </c>
      <c r="F89" s="101">
        <v>133.5</v>
      </c>
      <c r="G89" s="101">
        <v>132.9</v>
      </c>
      <c r="H89" s="101">
        <v>134</v>
      </c>
      <c r="I89" s="101">
        <v>134</v>
      </c>
      <c r="J89" s="101">
        <v>133.5</v>
      </c>
      <c r="K89" s="101">
        <v>133.80000000000001</v>
      </c>
      <c r="L89" s="101">
        <v>131</v>
      </c>
      <c r="M89" s="101">
        <v>132.9</v>
      </c>
      <c r="N89" s="101">
        <v>133.9</v>
      </c>
      <c r="O89" s="101">
        <v>134.1</v>
      </c>
      <c r="P89" s="101">
        <v>131.19999999999999</v>
      </c>
      <c r="Q89" s="101">
        <v>135.30000000000001</v>
      </c>
      <c r="R89" s="101">
        <v>136</v>
      </c>
      <c r="S89" s="101">
        <v>134.19999999999999</v>
      </c>
      <c r="T89" s="101">
        <v>133.69999999999999</v>
      </c>
      <c r="U89" s="101">
        <v>130.5</v>
      </c>
      <c r="V89" s="101">
        <v>136.9</v>
      </c>
      <c r="W89" s="101">
        <v>133.80000000000001</v>
      </c>
      <c r="X89" s="98">
        <v>129</v>
      </c>
      <c r="Y89" s="98">
        <v>133.4</v>
      </c>
      <c r="Z89" s="98">
        <v>134.80000000000001</v>
      </c>
      <c r="AA89" s="98">
        <v>135.19999999999999</v>
      </c>
      <c r="AB89" s="101">
        <v>134.30000000000001</v>
      </c>
      <c r="AC89" s="101">
        <v>135.69999999999999</v>
      </c>
      <c r="AD89" s="101">
        <v>132.9</v>
      </c>
      <c r="AE89" s="101">
        <v>133.80000000000001</v>
      </c>
      <c r="AF89" s="101">
        <v>131.19999999999999</v>
      </c>
      <c r="AG89" s="102"/>
      <c r="AH89" s="54">
        <f t="shared" si="13"/>
        <v>136.9</v>
      </c>
      <c r="AI89" s="55">
        <f t="shared" si="14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138.4</v>
      </c>
      <c r="C90" s="172">
        <v>136.6</v>
      </c>
      <c r="D90" s="172">
        <v>136.6</v>
      </c>
      <c r="E90" s="172">
        <v>136.6</v>
      </c>
      <c r="F90" s="73">
        <v>137</v>
      </c>
      <c r="G90" s="73">
        <v>138</v>
      </c>
      <c r="H90" s="73">
        <v>136.5</v>
      </c>
      <c r="I90" s="73">
        <v>136.5</v>
      </c>
      <c r="J90" s="73">
        <v>130</v>
      </c>
      <c r="K90" s="73">
        <v>129</v>
      </c>
      <c r="L90" s="73">
        <v>128</v>
      </c>
      <c r="M90" s="73">
        <v>130.30000000000001</v>
      </c>
      <c r="N90" s="73">
        <v>131.5</v>
      </c>
      <c r="O90" s="73">
        <v>132</v>
      </c>
      <c r="P90" s="73">
        <v>130.69999999999999</v>
      </c>
      <c r="Q90" s="73">
        <v>134.30000000000001</v>
      </c>
      <c r="R90" s="73">
        <v>134.69999999999999</v>
      </c>
      <c r="S90" s="73">
        <v>132</v>
      </c>
      <c r="T90" s="73">
        <v>132.5</v>
      </c>
      <c r="U90" s="73">
        <v>134.1</v>
      </c>
      <c r="V90" s="73">
        <v>137.6</v>
      </c>
      <c r="W90" s="73">
        <v>131.19999999999999</v>
      </c>
      <c r="X90" s="98">
        <v>126.5</v>
      </c>
      <c r="Y90" s="98">
        <v>131.69999999999999</v>
      </c>
      <c r="Z90" s="98">
        <v>133.4</v>
      </c>
      <c r="AA90" s="98">
        <v>134.6</v>
      </c>
      <c r="AB90" s="73">
        <v>133.19999999999999</v>
      </c>
      <c r="AC90" s="73">
        <v>135.69999999999999</v>
      </c>
      <c r="AD90" s="73">
        <v>130.69999999999999</v>
      </c>
      <c r="AE90" s="73">
        <v>133.6</v>
      </c>
      <c r="AF90" s="73">
        <v>130.80000000000001</v>
      </c>
      <c r="AG90" s="99"/>
      <c r="AH90" s="54">
        <f t="shared" si="13"/>
        <v>138.4</v>
      </c>
      <c r="AI90" s="55">
        <f t="shared" si="14"/>
        <v>126.5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65.8</v>
      </c>
      <c r="C91" s="174">
        <v>66.400000000000006</v>
      </c>
      <c r="D91" s="174">
        <v>66.400000000000006</v>
      </c>
      <c r="E91" s="174">
        <v>66</v>
      </c>
      <c r="F91" s="103">
        <v>66</v>
      </c>
      <c r="G91" s="103">
        <v>66</v>
      </c>
      <c r="H91" s="103">
        <v>65</v>
      </c>
      <c r="I91" s="103">
        <v>65</v>
      </c>
      <c r="J91" s="103">
        <v>64.900000000000006</v>
      </c>
      <c r="K91" s="103">
        <v>64.400000000000006</v>
      </c>
      <c r="L91" s="103">
        <v>64.8</v>
      </c>
      <c r="M91" s="103">
        <v>64.900000000000006</v>
      </c>
      <c r="N91" s="103">
        <v>64.599999999999994</v>
      </c>
      <c r="O91" s="103">
        <v>64.099999999999994</v>
      </c>
      <c r="P91" s="103">
        <v>63.4</v>
      </c>
      <c r="Q91" s="103">
        <v>64.3</v>
      </c>
      <c r="R91" s="103">
        <v>63.9</v>
      </c>
      <c r="S91" s="103">
        <v>64.400000000000006</v>
      </c>
      <c r="T91" s="103">
        <v>63.9</v>
      </c>
      <c r="U91" s="103">
        <v>64.400000000000006</v>
      </c>
      <c r="V91" s="103">
        <v>64.900000000000006</v>
      </c>
      <c r="W91" s="103">
        <v>64.7</v>
      </c>
      <c r="X91" s="103">
        <v>63.3</v>
      </c>
      <c r="Y91" s="103">
        <v>63.5</v>
      </c>
      <c r="Z91" s="103">
        <v>64.2</v>
      </c>
      <c r="AA91" s="103">
        <v>64.5</v>
      </c>
      <c r="AB91" s="103">
        <v>63.5</v>
      </c>
      <c r="AC91" s="103">
        <v>63.5</v>
      </c>
      <c r="AD91" s="103">
        <v>62.8</v>
      </c>
      <c r="AE91" s="103">
        <v>64.3</v>
      </c>
      <c r="AF91" s="103">
        <v>64.900000000000006</v>
      </c>
      <c r="AG91" s="104"/>
      <c r="AH91" s="54">
        <f t="shared" si="13"/>
        <v>66.400000000000006</v>
      </c>
      <c r="AI91" s="55">
        <f t="shared" si="14"/>
        <v>62.8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202.64000000000001</v>
      </c>
      <c r="C93" s="110">
        <f>SUM(C15,C18,C21:C22,C42,C44:C45,C47,C49,C94:C97,C102,C108,C114,C123,C125,C137,C144,C147:C148,C155,C157,C159,C163:C165,C167:C169,C174,C180:C181,C183:C185,C193,C198)</f>
        <v>186.14</v>
      </c>
      <c r="D93" s="110">
        <f t="shared" ref="D93:AF93" si="21">SUM(D15,D18,D21:D22,D42,D44:D45,D47,D49,D94:D97,D102,D108,D114,D123,D125,D137,D144,D147:D148,D155,D157,D159,D163:D165,D167:D169,D174,D180:D181,D183:D185,D193,D198)</f>
        <v>184.04</v>
      </c>
      <c r="E93" s="110">
        <f t="shared" si="21"/>
        <v>175.54</v>
      </c>
      <c r="F93" s="110">
        <f t="shared" si="21"/>
        <v>187.54</v>
      </c>
      <c r="G93" s="109">
        <f t="shared" si="21"/>
        <v>211.74</v>
      </c>
      <c r="H93" s="109">
        <f t="shared" si="21"/>
        <v>246.14</v>
      </c>
      <c r="I93" s="109">
        <f t="shared" si="21"/>
        <v>284.64000000000004</v>
      </c>
      <c r="J93" s="109">
        <f t="shared" si="21"/>
        <v>334.04000000000008</v>
      </c>
      <c r="K93" s="109">
        <f t="shared" si="21"/>
        <v>393.94000000000005</v>
      </c>
      <c r="L93" s="109">
        <f t="shared" si="21"/>
        <v>459.54000000000008</v>
      </c>
      <c r="M93" s="109">
        <f t="shared" si="21"/>
        <v>445.54000000000008</v>
      </c>
      <c r="N93" s="109">
        <f t="shared" si="21"/>
        <v>374.54000000000008</v>
      </c>
      <c r="O93" s="109">
        <f t="shared" si="21"/>
        <v>407.24</v>
      </c>
      <c r="P93" s="109">
        <f t="shared" si="21"/>
        <v>333.14000000000004</v>
      </c>
      <c r="Q93" s="109">
        <f t="shared" si="21"/>
        <v>361.74</v>
      </c>
      <c r="R93" s="109">
        <f t="shared" si="21"/>
        <v>355.14000000000004</v>
      </c>
      <c r="S93" s="109">
        <f t="shared" si="21"/>
        <v>343.94</v>
      </c>
      <c r="T93" s="109">
        <f t="shared" si="21"/>
        <v>349.14000000000004</v>
      </c>
      <c r="U93" s="109">
        <f t="shared" si="21"/>
        <v>353.34000000000003</v>
      </c>
      <c r="V93" s="109">
        <f t="shared" si="21"/>
        <v>351.34000000000009</v>
      </c>
      <c r="W93" s="109">
        <f t="shared" si="21"/>
        <v>448.64</v>
      </c>
      <c r="X93" s="109">
        <f t="shared" si="21"/>
        <v>478.74</v>
      </c>
      <c r="Y93" s="109">
        <f t="shared" si="21"/>
        <v>486.54</v>
      </c>
      <c r="Z93" s="109">
        <f t="shared" si="21"/>
        <v>479.24</v>
      </c>
      <c r="AA93" s="109">
        <f t="shared" si="21"/>
        <v>464.34000000000003</v>
      </c>
      <c r="AB93" s="109">
        <f t="shared" si="21"/>
        <v>434.24</v>
      </c>
      <c r="AC93" s="109">
        <f t="shared" si="21"/>
        <v>414.04000000000008</v>
      </c>
      <c r="AD93" s="109">
        <f t="shared" si="21"/>
        <v>372.74000000000007</v>
      </c>
      <c r="AE93" s="109">
        <f t="shared" si="21"/>
        <v>289.44</v>
      </c>
      <c r="AF93" s="109">
        <f t="shared" si="21"/>
        <v>224.14</v>
      </c>
      <c r="AG93" s="111"/>
      <c r="AH93" s="54">
        <f>MAX(C93:AF93)</f>
        <v>486.54</v>
      </c>
      <c r="AI93" s="55">
        <f>MIN(C93:AF93)</f>
        <v>175.54</v>
      </c>
    </row>
    <row r="94" spans="1:88" x14ac:dyDescent="0.25">
      <c r="A94" s="112" t="s">
        <v>98</v>
      </c>
      <c r="B94" s="175">
        <v>37.200000000000003</v>
      </c>
      <c r="C94" s="58">
        <v>35.299999999999997</v>
      </c>
      <c r="D94" s="58">
        <v>29.7</v>
      </c>
      <c r="E94" s="58">
        <v>16</v>
      </c>
      <c r="F94" s="58">
        <v>14.4</v>
      </c>
      <c r="G94" s="114">
        <v>23.9</v>
      </c>
      <c r="H94" s="114">
        <v>31</v>
      </c>
      <c r="I94" s="114">
        <v>34.5</v>
      </c>
      <c r="J94" s="114">
        <v>46.7</v>
      </c>
      <c r="K94" s="114">
        <v>51.7</v>
      </c>
      <c r="L94" s="114">
        <v>55</v>
      </c>
      <c r="M94" s="113">
        <v>38</v>
      </c>
      <c r="N94" s="114">
        <v>56</v>
      </c>
      <c r="O94" s="114">
        <v>60.5</v>
      </c>
      <c r="P94" s="114">
        <v>31.4</v>
      </c>
      <c r="Q94" s="114">
        <v>40</v>
      </c>
      <c r="R94" s="114">
        <v>34</v>
      </c>
      <c r="S94" s="114">
        <v>27.7</v>
      </c>
      <c r="T94" s="114">
        <v>31.1</v>
      </c>
      <c r="U94" s="113">
        <v>35.1</v>
      </c>
      <c r="V94" s="113">
        <v>54.4</v>
      </c>
      <c r="W94" s="113">
        <v>53.3</v>
      </c>
      <c r="X94" s="114">
        <v>31.9</v>
      </c>
      <c r="Y94" s="114">
        <v>35.6</v>
      </c>
      <c r="Z94" s="114">
        <v>31.5</v>
      </c>
      <c r="AA94" s="114">
        <v>35.200000000000003</v>
      </c>
      <c r="AB94" s="113">
        <v>57.1</v>
      </c>
      <c r="AC94" s="113">
        <v>65.900000000000006</v>
      </c>
      <c r="AD94" s="113">
        <v>73.2</v>
      </c>
      <c r="AE94" s="113">
        <v>37.200000000000003</v>
      </c>
      <c r="AF94" s="113">
        <v>32.5</v>
      </c>
      <c r="AG94" s="115">
        <v>75</v>
      </c>
      <c r="AH94" s="54">
        <f t="shared" ref="AH94:AH99" si="22">IF(ABS(MAX(C94:AF94))&gt;ABS(MIN(C94:AF94)),MAX(C94:AF94),MIN(C94:AF94))</f>
        <v>73.2</v>
      </c>
      <c r="AI94" s="116">
        <f t="shared" ref="AI94:AI99" si="23">INDEX($C$9:$AF$9,1,MATCH(AH94,C94:AF94,0))</f>
        <v>0.875</v>
      </c>
    </row>
    <row r="95" spans="1:88" x14ac:dyDescent="0.25">
      <c r="A95" s="117" t="s">
        <v>99</v>
      </c>
      <c r="B95" s="176">
        <f>-27.1-32.3</f>
        <v>-59.4</v>
      </c>
      <c r="C95" s="60">
        <f>-29.3-34.7</f>
        <v>-64</v>
      </c>
      <c r="D95" s="60">
        <f>-29.5-35.1</f>
        <v>-64.599999999999994</v>
      </c>
      <c r="E95" s="60">
        <v>-63</v>
      </c>
      <c r="F95" s="60">
        <v>-61.5</v>
      </c>
      <c r="G95" s="60">
        <v>-54.2</v>
      </c>
      <c r="H95" s="60">
        <v>-44</v>
      </c>
      <c r="I95" s="60">
        <v>-29</v>
      </c>
      <c r="J95" s="60">
        <v>-15.8</v>
      </c>
      <c r="K95" s="60">
        <v>4.9000000000000004</v>
      </c>
      <c r="L95" s="60">
        <v>44</v>
      </c>
      <c r="M95" s="60">
        <v>36.700000000000003</v>
      </c>
      <c r="N95" s="60">
        <v>-25</v>
      </c>
      <c r="O95" s="60">
        <f>14.8+9.4</f>
        <v>24.200000000000003</v>
      </c>
      <c r="P95" s="60">
        <v>-26</v>
      </c>
      <c r="Q95" s="60">
        <v>14</v>
      </c>
      <c r="R95" s="60">
        <v>1.4</v>
      </c>
      <c r="S95" s="60">
        <v>1</v>
      </c>
      <c r="T95" s="60">
        <v>3.3</v>
      </c>
      <c r="U95" s="60">
        <v>2.9</v>
      </c>
      <c r="V95" s="60">
        <v>36</v>
      </c>
      <c r="W95" s="60">
        <v>40</v>
      </c>
      <c r="X95" s="60">
        <v>72</v>
      </c>
      <c r="Y95" s="60">
        <v>76</v>
      </c>
      <c r="Z95" s="60">
        <v>76</v>
      </c>
      <c r="AA95" s="60">
        <v>62</v>
      </c>
      <c r="AB95" s="73">
        <v>40.299999999999997</v>
      </c>
      <c r="AC95" s="73">
        <v>31</v>
      </c>
      <c r="AD95" s="73">
        <v>18.8</v>
      </c>
      <c r="AE95" s="73">
        <v>13.2</v>
      </c>
      <c r="AF95" s="73">
        <v>-10</v>
      </c>
      <c r="AG95" s="115">
        <v>240</v>
      </c>
      <c r="AH95" s="54">
        <f t="shared" si="22"/>
        <v>76</v>
      </c>
      <c r="AI95" s="116">
        <f t="shared" si="23"/>
        <v>0.77083333333333337</v>
      </c>
    </row>
    <row r="96" spans="1:88" x14ac:dyDescent="0.25">
      <c r="A96" s="117" t="s">
        <v>100</v>
      </c>
      <c r="B96" s="176">
        <v>-7.1</v>
      </c>
      <c r="C96" s="60">
        <v>-6.8</v>
      </c>
      <c r="D96" s="60">
        <v>-5.6</v>
      </c>
      <c r="E96" s="60">
        <v>-7</v>
      </c>
      <c r="F96" s="60">
        <v>-7.9</v>
      </c>
      <c r="G96" s="60">
        <v>-6.3</v>
      </c>
      <c r="H96" s="60">
        <v>-3.4</v>
      </c>
      <c r="I96" s="60">
        <v>3.8</v>
      </c>
      <c r="J96" s="60">
        <v>5.0999999999999996</v>
      </c>
      <c r="K96" s="60">
        <v>27.8</v>
      </c>
      <c r="L96" s="60">
        <v>45</v>
      </c>
      <c r="M96" s="60">
        <v>55.3</v>
      </c>
      <c r="N96" s="60">
        <v>44</v>
      </c>
      <c r="O96" s="60">
        <v>45.9</v>
      </c>
      <c r="P96" s="60">
        <v>28</v>
      </c>
      <c r="Q96" s="60">
        <v>21</v>
      </c>
      <c r="R96" s="60">
        <v>25</v>
      </c>
      <c r="S96" s="60">
        <v>16.7</v>
      </c>
      <c r="T96" s="60">
        <v>17.2</v>
      </c>
      <c r="U96" s="60">
        <v>26</v>
      </c>
      <c r="V96" s="60">
        <v>35.6</v>
      </c>
      <c r="W96" s="60">
        <v>56</v>
      </c>
      <c r="X96" s="60">
        <v>60.5</v>
      </c>
      <c r="Y96" s="60">
        <v>60.5</v>
      </c>
      <c r="Z96" s="60">
        <v>60.9</v>
      </c>
      <c r="AA96" s="60">
        <v>60.9</v>
      </c>
      <c r="AB96" s="73">
        <v>43.3</v>
      </c>
      <c r="AC96" s="73">
        <v>29.3</v>
      </c>
      <c r="AD96" s="73">
        <v>17.899999999999999</v>
      </c>
      <c r="AE96" s="73">
        <v>12.8</v>
      </c>
      <c r="AF96" s="73">
        <v>5</v>
      </c>
      <c r="AG96" s="115">
        <v>60</v>
      </c>
      <c r="AH96" s="54">
        <f t="shared" si="22"/>
        <v>60.9</v>
      </c>
      <c r="AI96" s="116">
        <f t="shared" si="23"/>
        <v>0.79166666666666663</v>
      </c>
    </row>
    <row r="97" spans="1:37" x14ac:dyDescent="0.25">
      <c r="A97" s="118" t="s">
        <v>101</v>
      </c>
      <c r="B97" s="177">
        <v>30.6</v>
      </c>
      <c r="C97" s="63">
        <v>20.3</v>
      </c>
      <c r="D97" s="63">
        <v>23.2</v>
      </c>
      <c r="E97" s="63">
        <v>28</v>
      </c>
      <c r="F97" s="63">
        <v>41</v>
      </c>
      <c r="G97" s="63">
        <v>46.8</v>
      </c>
      <c r="H97" s="63">
        <v>61</v>
      </c>
      <c r="I97" s="63">
        <v>73.8</v>
      </c>
      <c r="J97" s="63">
        <v>96.5</v>
      </c>
      <c r="K97" s="63">
        <v>108</v>
      </c>
      <c r="L97" s="63">
        <v>114</v>
      </c>
      <c r="M97" s="63">
        <v>114</v>
      </c>
      <c r="N97" s="63">
        <v>98</v>
      </c>
      <c r="O97" s="63">
        <v>79.900000000000006</v>
      </c>
      <c r="P97" s="63">
        <v>103</v>
      </c>
      <c r="Q97" s="63">
        <v>90</v>
      </c>
      <c r="R97" s="63">
        <v>98</v>
      </c>
      <c r="S97" s="63">
        <v>101.8</v>
      </c>
      <c r="T97" s="63">
        <v>107.8</v>
      </c>
      <c r="U97" s="63">
        <v>99.6</v>
      </c>
      <c r="V97" s="63">
        <v>35.6</v>
      </c>
      <c r="W97" s="63">
        <v>102.6</v>
      </c>
      <c r="X97" s="63">
        <v>118.1</v>
      </c>
      <c r="Y97" s="63">
        <v>118.2</v>
      </c>
      <c r="Z97" s="63">
        <v>114.6</v>
      </c>
      <c r="AA97" s="63">
        <v>110</v>
      </c>
      <c r="AB97" s="119">
        <v>93.1</v>
      </c>
      <c r="AC97" s="119">
        <v>87.4</v>
      </c>
      <c r="AD97" s="119">
        <v>68.3</v>
      </c>
      <c r="AE97" s="119">
        <v>34.1</v>
      </c>
      <c r="AF97" s="119">
        <v>4.8</v>
      </c>
      <c r="AG97" s="120">
        <v>120</v>
      </c>
      <c r="AH97" s="54">
        <f t="shared" si="22"/>
        <v>118.2</v>
      </c>
      <c r="AI97" s="116">
        <f t="shared" si="23"/>
        <v>0.77083333333333337</v>
      </c>
    </row>
    <row r="98" spans="1:37" x14ac:dyDescent="0.25">
      <c r="A98" s="118" t="s">
        <v>102</v>
      </c>
      <c r="B98" s="177">
        <v>40.200000000000003</v>
      </c>
      <c r="C98" s="63">
        <v>31.1</v>
      </c>
      <c r="D98" s="63">
        <v>32.5</v>
      </c>
      <c r="E98" s="63">
        <v>36</v>
      </c>
      <c r="F98" s="63">
        <v>48.5</v>
      </c>
      <c r="G98" s="63">
        <v>49.9</v>
      </c>
      <c r="H98" s="63">
        <v>58.6</v>
      </c>
      <c r="I98" s="63">
        <v>68</v>
      </c>
      <c r="J98" s="63">
        <v>83.9</v>
      </c>
      <c r="K98" s="63">
        <v>81</v>
      </c>
      <c r="L98" s="63">
        <v>105</v>
      </c>
      <c r="M98" s="63">
        <v>58</v>
      </c>
      <c r="N98" s="63">
        <v>55</v>
      </c>
      <c r="O98" s="63">
        <v>44.4</v>
      </c>
      <c r="P98" s="63">
        <v>78</v>
      </c>
      <c r="Q98" s="63">
        <v>74</v>
      </c>
      <c r="R98" s="63">
        <v>88</v>
      </c>
      <c r="S98" s="63">
        <v>93.1</v>
      </c>
      <c r="T98" s="63">
        <v>96.8</v>
      </c>
      <c r="U98" s="63">
        <v>89.8</v>
      </c>
      <c r="V98" s="63">
        <v>59.3</v>
      </c>
      <c r="W98" s="63">
        <v>57.2</v>
      </c>
      <c r="X98" s="63">
        <v>97.8</v>
      </c>
      <c r="Y98" s="63">
        <v>94.7</v>
      </c>
      <c r="Z98" s="63">
        <v>95.8</v>
      </c>
      <c r="AA98" s="63">
        <v>87</v>
      </c>
      <c r="AB98" s="119">
        <v>92.7</v>
      </c>
      <c r="AC98" s="119">
        <v>87.6</v>
      </c>
      <c r="AD98" s="119">
        <v>82.3</v>
      </c>
      <c r="AE98" s="119">
        <v>95</v>
      </c>
      <c r="AF98" s="119">
        <v>79.2</v>
      </c>
      <c r="AG98" s="120"/>
      <c r="AH98" s="54">
        <f t="shared" si="22"/>
        <v>105</v>
      </c>
      <c r="AI98" s="116">
        <f t="shared" si="23"/>
        <v>0.3125</v>
      </c>
    </row>
    <row r="99" spans="1:37" ht="15.75" thickBot="1" x14ac:dyDescent="0.3">
      <c r="A99" s="118" t="s">
        <v>217</v>
      </c>
      <c r="B99" s="177">
        <v>45.1</v>
      </c>
      <c r="C99" s="63">
        <v>40.1</v>
      </c>
      <c r="D99" s="63">
        <v>42.7</v>
      </c>
      <c r="E99" s="63">
        <v>42</v>
      </c>
      <c r="F99" s="63">
        <v>43.2</v>
      </c>
      <c r="G99" s="63">
        <v>49.3</v>
      </c>
      <c r="H99" s="63">
        <v>36.799999999999997</v>
      </c>
      <c r="I99" s="63">
        <v>39.5</v>
      </c>
      <c r="J99" s="63">
        <v>60.6</v>
      </c>
      <c r="K99" s="63">
        <v>46.7</v>
      </c>
      <c r="L99" s="63">
        <v>61.4</v>
      </c>
      <c r="M99" s="63">
        <v>57</v>
      </c>
      <c r="N99" s="63">
        <v>45</v>
      </c>
      <c r="O99" s="63">
        <v>42</v>
      </c>
      <c r="P99" s="63">
        <v>61</v>
      </c>
      <c r="Q99" s="63">
        <v>49</v>
      </c>
      <c r="R99" s="63">
        <v>47</v>
      </c>
      <c r="S99" s="63">
        <v>51.2</v>
      </c>
      <c r="T99" s="63">
        <v>51.4</v>
      </c>
      <c r="U99" s="63">
        <v>43.9</v>
      </c>
      <c r="V99" s="63">
        <v>41.7</v>
      </c>
      <c r="W99" s="63">
        <v>38</v>
      </c>
      <c r="X99" s="63">
        <v>68</v>
      </c>
      <c r="Y99" s="63">
        <v>67</v>
      </c>
      <c r="Z99" s="63">
        <v>63.5</v>
      </c>
      <c r="AA99" s="63">
        <v>58.1</v>
      </c>
      <c r="AB99" s="119">
        <v>47.4</v>
      </c>
      <c r="AC99" s="119">
        <v>36.1</v>
      </c>
      <c r="AD99" s="119">
        <v>29</v>
      </c>
      <c r="AE99" s="119">
        <v>59.7</v>
      </c>
      <c r="AF99" s="119">
        <v>75.3</v>
      </c>
      <c r="AG99" s="121"/>
      <c r="AH99" s="54">
        <f t="shared" si="22"/>
        <v>75.3</v>
      </c>
      <c r="AI99" s="116">
        <f t="shared" si="23"/>
        <v>0.95833333333333304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1516.44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2078/08/9)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966.94</v>
      </c>
      <c r="U213" s="167">
        <f t="shared" si="60"/>
        <v>874.74</v>
      </c>
      <c r="V213" s="167">
        <f t="shared" si="60"/>
        <v>863.64</v>
      </c>
      <c r="W213" s="167">
        <f t="shared" si="60"/>
        <v>865.84</v>
      </c>
      <c r="X213" s="167">
        <f t="shared" si="60"/>
        <v>884.64</v>
      </c>
      <c r="Y213" s="167">
        <f t="shared" si="60"/>
        <v>931.94</v>
      </c>
      <c r="Z213" s="167">
        <f t="shared" si="60"/>
        <v>1033.74</v>
      </c>
      <c r="AA213" s="167">
        <f t="shared" si="60"/>
        <v>1134.8400000000001</v>
      </c>
      <c r="AB213" s="167">
        <f t="shared" si="60"/>
        <v>1244.3400000000001</v>
      </c>
      <c r="AC213" s="167">
        <f t="shared" si="60"/>
        <v>1360.14</v>
      </c>
      <c r="AD213" s="167">
        <f t="shared" si="60"/>
        <v>1503.8400000000001</v>
      </c>
      <c r="AE213" s="167">
        <f t="shared" si="60"/>
        <v>1516.44</v>
      </c>
      <c r="AF213" s="167">
        <f t="shared" si="60"/>
        <v>1450.8400000000001</v>
      </c>
      <c r="AG213" s="167">
        <f t="shared" si="60"/>
        <v>1363.6399999999999</v>
      </c>
      <c r="AH213" s="167">
        <f t="shared" si="60"/>
        <v>1313.74</v>
      </c>
      <c r="AI213" s="167">
        <f t="shared" si="60"/>
        <v>1255.44</v>
      </c>
      <c r="AJ213" s="167">
        <f t="shared" si="60"/>
        <v>1216.94</v>
      </c>
      <c r="AK213" s="167">
        <f t="shared" si="60"/>
        <v>1205.8399999999999</v>
      </c>
      <c r="AL213" s="167">
        <f t="shared" si="60"/>
        <v>1240.44</v>
      </c>
      <c r="AM213" s="167">
        <f t="shared" si="60"/>
        <v>1265.1399999999999</v>
      </c>
      <c r="AN213" s="167">
        <f t="shared" si="60"/>
        <v>1370.54</v>
      </c>
      <c r="AO213" s="167">
        <f t="shared" si="60"/>
        <v>1465.64</v>
      </c>
      <c r="AP213" s="167">
        <f t="shared" si="60"/>
        <v>1578.2400000000002</v>
      </c>
      <c r="AQ213" s="167">
        <f t="shared" si="60"/>
        <v>1565.7400000000002</v>
      </c>
      <c r="AR213" s="167">
        <f t="shared" si="60"/>
        <v>1493.1400000000003</v>
      </c>
      <c r="AS213" s="167">
        <f t="shared" si="60"/>
        <v>1468.5400000000002</v>
      </c>
      <c r="AT213" s="167">
        <f t="shared" si="60"/>
        <v>1370.6399999999999</v>
      </c>
      <c r="AU213" s="167">
        <f t="shared" si="60"/>
        <v>1298.6400000000001</v>
      </c>
      <c r="AV213" s="167">
        <f t="shared" si="60"/>
        <v>1233.94</v>
      </c>
      <c r="AW213" s="167">
        <f t="shared" si="60"/>
        <v>1074.6399999999999</v>
      </c>
      <c r="AX213" s="167">
        <f t="shared" si="60"/>
        <v>960.54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P39:R39 X85:AA91 AB81:AF81 B81:R81 C56:AF56 B82:AF83 D193:AF199 B193:B199 C68:AF72 B73:AF80 B9:AF10 B191:AF191 AF57:AF67 B53:B72 AG73 B94:B99 U212:AF212 C53:C55 B84:E91 B36:N36 M37:N37 M39:O42 C57:N67 Q39:Q42 M11:AE11 O58:U67 O36:W37 N45:W48 V58:W59 V62:W67 M53:AF55 P40:AB42 AB12:AC12 X18:AC30 AB84:AF91 AB94:AF99 Z40:AE43 AD16:AF26 AD28:AF31 AD12:AF14 X36:AF36">
    <cfRule type="expression" dxfId="6868" priority="261">
      <formula>B$9&gt;=20/24</formula>
    </cfRule>
    <cfRule type="expression" dxfId="6867" priority="262">
      <formula>AND(B$9&gt;=14/24,B$9&lt;20/24)</formula>
    </cfRule>
    <cfRule type="expression" dxfId="6866" priority="263">
      <formula>AND(B$9&gt;=8/24,B$9&lt;14/24)</formula>
    </cfRule>
    <cfRule type="expression" dxfId="6865" priority="264">
      <formula>B$9&lt;8/24</formula>
    </cfRule>
  </conditionalFormatting>
  <conditionalFormatting sqref="AL4:AL6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O57:U57">
    <cfRule type="expression" dxfId="6864" priority="256">
      <formula>O$9&gt;=20/24</formula>
    </cfRule>
    <cfRule type="expression" dxfId="6863" priority="257">
      <formula>AND(O$9&gt;=14/24,O$9&lt;20/24)</formula>
    </cfRule>
    <cfRule type="expression" dxfId="6862" priority="258">
      <formula>AND(O$9&gt;=8/24,O$9&lt;14/24)</formula>
    </cfRule>
    <cfRule type="expression" dxfId="6861" priority="259">
      <formula>O$9&lt;8/24</formula>
    </cfRule>
  </conditionalFormatting>
  <conditionalFormatting sqref="M43:T43">
    <cfRule type="expression" dxfId="6860" priority="252">
      <formula>M$9&gt;=20/24</formula>
    </cfRule>
    <cfRule type="expression" dxfId="6859" priority="253">
      <formula>AND(M$9&gt;=14/24,M$9&lt;20/24)</formula>
    </cfRule>
    <cfRule type="expression" dxfId="6858" priority="254">
      <formula>AND(M$9&gt;=8/24,M$9&lt;14/24)</formula>
    </cfRule>
    <cfRule type="expression" dxfId="6857" priority="255">
      <formula>M$9&lt;8/24</formula>
    </cfRule>
  </conditionalFormatting>
  <conditionalFormatting sqref="AD32:AF33">
    <cfRule type="expression" dxfId="6856" priority="248">
      <formula>AD$9&gt;=20/24</formula>
    </cfRule>
    <cfRule type="expression" dxfId="6855" priority="249">
      <formula>AND(AD$9&gt;=14/24,AD$9&lt;20/24)</formula>
    </cfRule>
    <cfRule type="expression" dxfId="6854" priority="250">
      <formula>AND(AD$9&gt;=8/24,AD$9&lt;14/24)</formula>
    </cfRule>
    <cfRule type="expression" dxfId="6853" priority="251">
      <formula>AD$9&lt;8/24</formula>
    </cfRule>
  </conditionalFormatting>
  <conditionalFormatting sqref="S39:AE39">
    <cfRule type="expression" dxfId="6852" priority="244">
      <formula>S$9&gt;=20/24</formula>
    </cfRule>
    <cfRule type="expression" dxfId="6851" priority="245">
      <formula>AND(S$9&gt;=14/24,S$9&lt;20/24)</formula>
    </cfRule>
    <cfRule type="expression" dxfId="6850" priority="246">
      <formula>AND(S$9&gt;=8/24,S$9&lt;14/24)</formula>
    </cfRule>
    <cfRule type="expression" dxfId="6849" priority="247">
      <formula>S$9&lt;8/24</formula>
    </cfRule>
  </conditionalFormatting>
  <conditionalFormatting sqref="V57:AE57">
    <cfRule type="expression" dxfId="6848" priority="240">
      <formula>V$9&gt;=20/24</formula>
    </cfRule>
    <cfRule type="expression" dxfId="6847" priority="241">
      <formula>AND(V$9&gt;=14/24,V$9&lt;20/24)</formula>
    </cfRule>
    <cfRule type="expression" dxfId="6846" priority="242">
      <formula>AND(V$9&gt;=8/24,V$9&lt;14/24)</formula>
    </cfRule>
    <cfRule type="expression" dxfId="6845" priority="243">
      <formula>V$9&lt;8/24</formula>
    </cfRule>
  </conditionalFormatting>
  <conditionalFormatting sqref="S81:AA81">
    <cfRule type="expression" dxfId="6844" priority="236">
      <formula>S$9&gt;=20/24</formula>
    </cfRule>
    <cfRule type="expression" dxfId="6843" priority="237">
      <formula>AND(S$9&gt;=14/24,S$9&lt;20/24)</formula>
    </cfRule>
    <cfRule type="expression" dxfId="6842" priority="238">
      <formula>AND(S$9&gt;=8/24,S$9&lt;14/24)</formula>
    </cfRule>
    <cfRule type="expression" dxfId="6841" priority="239">
      <formula>S$9&lt;8/24</formula>
    </cfRule>
  </conditionalFormatting>
  <conditionalFormatting sqref="U84:AA84">
    <cfRule type="expression" dxfId="6840" priority="232">
      <formula>U$9&gt;=20/24</formula>
    </cfRule>
    <cfRule type="expression" dxfId="6839" priority="233">
      <formula>AND(U$9&gt;=14/24,U$9&lt;20/24)</formula>
    </cfRule>
    <cfRule type="expression" dxfId="6838" priority="234">
      <formula>AND(U$9&gt;=8/24,U$9&lt;14/24)</formula>
    </cfRule>
    <cfRule type="expression" dxfId="6837" priority="235">
      <formula>U$9&lt;8/24</formula>
    </cfRule>
  </conditionalFormatting>
  <conditionalFormatting sqref="M49:W49">
    <cfRule type="expression" dxfId="6836" priority="224">
      <formula>M$9&gt;=20/24</formula>
    </cfRule>
    <cfRule type="expression" dxfId="6835" priority="225">
      <formula>AND(M$9&gt;=14/24,M$9&lt;20/24)</formula>
    </cfRule>
    <cfRule type="expression" dxfId="6834" priority="226">
      <formula>AND(M$9&gt;=8/24,M$9&lt;14/24)</formula>
    </cfRule>
    <cfRule type="expression" dxfId="6833" priority="227">
      <formula>M$9&lt;8/24</formula>
    </cfRule>
  </conditionalFormatting>
  <conditionalFormatting sqref="M50:W50">
    <cfRule type="expression" dxfId="6832" priority="220">
      <formula>M$9&gt;=20/24</formula>
    </cfRule>
    <cfRule type="expression" dxfId="6831" priority="221">
      <formula>AND(M$9&gt;=14/24,M$9&lt;20/24)</formula>
    </cfRule>
    <cfRule type="expression" dxfId="6830" priority="222">
      <formula>AND(M$9&gt;=8/24,M$9&lt;14/24)</formula>
    </cfRule>
    <cfRule type="expression" dxfId="6829" priority="223">
      <formula>M$9&lt;8/24</formula>
    </cfRule>
  </conditionalFormatting>
  <conditionalFormatting sqref="M45:W48">
    <cfRule type="expression" dxfId="6828" priority="216">
      <formula>M$9&gt;=20/24</formula>
    </cfRule>
    <cfRule type="expression" dxfId="6827" priority="217">
      <formula>AND(M$9&gt;=14/24,M$9&lt;20/24)</formula>
    </cfRule>
    <cfRule type="expression" dxfId="6826" priority="218">
      <formula>AND(M$9&gt;=8/24,M$9&lt;14/24)</formula>
    </cfRule>
    <cfRule type="expression" dxfId="6825" priority="219">
      <formula>M$9&lt;8/24</formula>
    </cfRule>
  </conditionalFormatting>
  <conditionalFormatting sqref="X37:AF37">
    <cfRule type="expression" dxfId="6824" priority="212">
      <formula>X$9&gt;=20/24</formula>
    </cfRule>
    <cfRule type="expression" dxfId="6823" priority="213">
      <formula>AND(X$9&gt;=14/24,X$9&lt;20/24)</formula>
    </cfRule>
    <cfRule type="expression" dxfId="6822" priority="214">
      <formula>AND(X$9&gt;=8/24,X$9&lt;14/24)</formula>
    </cfRule>
    <cfRule type="expression" dxfId="6821" priority="215">
      <formula>X$9&lt;8/24</formula>
    </cfRule>
  </conditionalFormatting>
  <conditionalFormatting sqref="X31:AC33 X35:AF35">
    <cfRule type="expression" dxfId="6820" priority="208">
      <formula>X$9&gt;=20/24</formula>
    </cfRule>
    <cfRule type="expression" dxfId="6819" priority="209">
      <formula>AND(X$9&gt;=14/24,X$9&lt;20/24)</formula>
    </cfRule>
    <cfRule type="expression" dxfId="6818" priority="210">
      <formula>AND(X$9&gt;=8/24,X$9&lt;14/24)</formula>
    </cfRule>
    <cfRule type="expression" dxfId="6817" priority="211">
      <formula>X$9&lt;8/24</formula>
    </cfRule>
  </conditionalFormatting>
  <conditionalFormatting sqref="S42:T43 U43:AD43 S45:AE48">
    <cfRule type="expression" dxfId="6816" priority="204">
      <formula>S$9&gt;=20/24</formula>
    </cfRule>
    <cfRule type="expression" dxfId="6815" priority="205">
      <formula>AND(S$9&gt;=14/24,S$9&lt;20/24)</formula>
    </cfRule>
    <cfRule type="expression" dxfId="6814" priority="206">
      <formula>AND(S$9&gt;=8/24,S$9&lt;14/24)</formula>
    </cfRule>
    <cfRule type="expression" dxfId="6813" priority="207">
      <formula>S$9&lt;8/24</formula>
    </cfRule>
  </conditionalFormatting>
  <conditionalFormatting sqref="S49:AE49">
    <cfRule type="expression" dxfId="6812" priority="200">
      <formula>S$9&gt;=20/24</formula>
    </cfRule>
    <cfRule type="expression" dxfId="6811" priority="201">
      <formula>AND(S$9&gt;=14/24,S$9&lt;20/24)</formula>
    </cfRule>
    <cfRule type="expression" dxfId="6810" priority="202">
      <formula>AND(S$9&gt;=8/24,S$9&lt;14/24)</formula>
    </cfRule>
    <cfRule type="expression" dxfId="6809" priority="203">
      <formula>S$9&lt;8/24</formula>
    </cfRule>
  </conditionalFormatting>
  <conditionalFormatting sqref="S50:AE50">
    <cfRule type="expression" dxfId="6808" priority="196">
      <formula>S$9&gt;=20/24</formula>
    </cfRule>
    <cfRule type="expression" dxfId="6807" priority="197">
      <formula>AND(S$9&gt;=14/24,S$9&lt;20/24)</formula>
    </cfRule>
    <cfRule type="expression" dxfId="6806" priority="198">
      <formula>AND(S$9&gt;=8/24,S$9&lt;14/24)</formula>
    </cfRule>
    <cfRule type="expression" dxfId="6805" priority="199">
      <formula>S$9&lt;8/24</formula>
    </cfRule>
  </conditionalFormatting>
  <conditionalFormatting sqref="X60:AE67">
    <cfRule type="expression" dxfId="6804" priority="192">
      <formula>X$9&gt;=20/24</formula>
    </cfRule>
    <cfRule type="expression" dxfId="6803" priority="193">
      <formula>AND(X$9&gt;=14/24,X$9&lt;20/24)</formula>
    </cfRule>
    <cfRule type="expression" dxfId="6802" priority="194">
      <formula>AND(X$9&gt;=8/24,X$9&lt;14/24)</formula>
    </cfRule>
    <cfRule type="expression" dxfId="6801" priority="195">
      <formula>X$9&lt;8/24</formula>
    </cfRule>
  </conditionalFormatting>
  <conditionalFormatting sqref="U94:AA97">
    <cfRule type="expression" dxfId="6800" priority="184">
      <formula>U$9&gt;=20/24</formula>
    </cfRule>
    <cfRule type="expression" dxfId="6799" priority="185">
      <formula>AND(U$9&gt;=14/24,U$9&lt;20/24)</formula>
    </cfRule>
    <cfRule type="expression" dxfId="6798" priority="186">
      <formula>AND(U$9&gt;=8/24,U$9&lt;14/24)</formula>
    </cfRule>
    <cfRule type="expression" dxfId="6797" priority="187">
      <formula>U$9&lt;8/24</formula>
    </cfRule>
  </conditionalFormatting>
  <conditionalFormatting sqref="AG51 B11:G12 H12 B13:H32 I12:L32 B34:L35 H11:AF11 B36:W37 AD12:AD36 AB12:AC12 X18:AC37 AB37:AD37 B38:AF56 AE12:AF37">
    <cfRule type="expression" dxfId="6796" priority="183">
      <formula>B11&gt;$AG11</formula>
    </cfRule>
  </conditionalFormatting>
  <conditionalFormatting sqref="A100:A156 A84:A97 A11:A14 A16:A32 A45:A72 A80:A82 A74:A78 A35:A43 A169:A199">
    <cfRule type="expression" dxfId="6795" priority="182">
      <formula>$AH11=0</formula>
    </cfRule>
  </conditionalFormatting>
  <conditionalFormatting sqref="U98:AA98">
    <cfRule type="expression" dxfId="6794" priority="178">
      <formula>U$9&gt;=20/24</formula>
    </cfRule>
    <cfRule type="expression" dxfId="6793" priority="179">
      <formula>AND(U$9&gt;=14/24,U$9&lt;20/24)</formula>
    </cfRule>
    <cfRule type="expression" dxfId="6792" priority="180">
      <formula>AND(U$9&gt;=8/24,U$9&lt;14/24)</formula>
    </cfRule>
    <cfRule type="expression" dxfId="6791" priority="181">
      <formula>U$9&lt;8/24</formula>
    </cfRule>
  </conditionalFormatting>
  <conditionalFormatting sqref="A98">
    <cfRule type="expression" dxfId="6790" priority="177">
      <formula>$AH98=0</formula>
    </cfRule>
  </conditionalFormatting>
  <conditionalFormatting sqref="AL32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D34:AF34">
    <cfRule type="expression" dxfId="6789" priority="160">
      <formula>AD$9&gt;=20/24</formula>
    </cfRule>
    <cfRule type="expression" dxfId="6788" priority="161">
      <formula>AND(AD$9&gt;=14/24,AD$9&lt;20/24)</formula>
    </cfRule>
    <cfRule type="expression" dxfId="6787" priority="162">
      <formula>AND(AD$9&gt;=8/24,AD$9&lt;14/24)</formula>
    </cfRule>
    <cfRule type="expression" dxfId="6786" priority="163">
      <formula>AD$9&lt;8/24</formula>
    </cfRule>
  </conditionalFormatting>
  <conditionalFormatting sqref="X34:AC34">
    <cfRule type="expression" dxfId="6785" priority="152">
      <formula>X$9&gt;=20/24</formula>
    </cfRule>
    <cfRule type="expression" dxfId="6784" priority="153">
      <formula>AND(X$9&gt;=14/24,X$9&lt;20/24)</formula>
    </cfRule>
    <cfRule type="expression" dxfId="6783" priority="154">
      <formula>AND(X$9&gt;=8/24,X$9&lt;14/24)</formula>
    </cfRule>
    <cfRule type="expression" dxfId="6782" priority="155">
      <formula>X$9&lt;8/24</formula>
    </cfRule>
  </conditionalFormatting>
  <conditionalFormatting sqref="A34">
    <cfRule type="expression" dxfId="6781" priority="151">
      <formula>$AH34=0</formula>
    </cfRule>
  </conditionalFormatting>
  <conditionalFormatting sqref="A83">
    <cfRule type="expression" dxfId="6780" priority="150">
      <formula>$AH83=0</formula>
    </cfRule>
  </conditionalFormatting>
  <conditionalFormatting sqref="AD15:AF15">
    <cfRule type="expression" dxfId="6779" priority="146">
      <formula>AD$9&gt;=20/24</formula>
    </cfRule>
    <cfRule type="expression" dxfId="6778" priority="147">
      <formula>AND(AD$9&gt;=14/24,AD$9&lt;20/24)</formula>
    </cfRule>
    <cfRule type="expression" dxfId="6777" priority="148">
      <formula>AND(AD$9&gt;=8/24,AD$9&lt;14/24)</formula>
    </cfRule>
    <cfRule type="expression" dxfId="6776" priority="149">
      <formula>AD$9&lt;8/24</formula>
    </cfRule>
  </conditionalFormatting>
  <conditionalFormatting sqref="A15">
    <cfRule type="expression" dxfId="6775" priority="140">
      <formula>$AH15=0</formula>
    </cfRule>
  </conditionalFormatting>
  <conditionalFormatting sqref="A163:A168">
    <cfRule type="expression" dxfId="6774" priority="139">
      <formula>$AH163=0</formula>
    </cfRule>
  </conditionalFormatting>
  <conditionalFormatting sqref="A157:A162">
    <cfRule type="expression" dxfId="6773" priority="138">
      <formula>$AH157=0</formula>
    </cfRule>
  </conditionalFormatting>
  <conditionalFormatting sqref="Z44:AE44">
    <cfRule type="expression" dxfId="6772" priority="134">
      <formula>Z$9&gt;=20/24</formula>
    </cfRule>
    <cfRule type="expression" dxfId="6771" priority="135">
      <formula>AND(Z$9&gt;=14/24,Z$9&lt;20/24)</formula>
    </cfRule>
    <cfRule type="expression" dxfId="6770" priority="136">
      <formula>AND(Z$9&gt;=8/24,Z$9&lt;14/24)</formula>
    </cfRule>
    <cfRule type="expression" dxfId="6769" priority="137">
      <formula>Z$9&lt;8/24</formula>
    </cfRule>
  </conditionalFormatting>
  <conditionalFormatting sqref="M44:W44">
    <cfRule type="expression" dxfId="6768" priority="130">
      <formula>M$9&gt;=20/24</formula>
    </cfRule>
    <cfRule type="expression" dxfId="6767" priority="131">
      <formula>AND(M$9&gt;=14/24,M$9&lt;20/24)</formula>
    </cfRule>
    <cfRule type="expression" dxfId="6766" priority="132">
      <formula>AND(M$9&gt;=8/24,M$9&lt;14/24)</formula>
    </cfRule>
    <cfRule type="expression" dxfId="6765" priority="133">
      <formula>M$9&lt;8/24</formula>
    </cfRule>
  </conditionalFormatting>
  <conditionalFormatting sqref="S44:AD44">
    <cfRule type="expression" dxfId="6764" priority="126">
      <formula>S$9&gt;=20/24</formula>
    </cfRule>
    <cfRule type="expression" dxfId="6763" priority="127">
      <formula>AND(S$9&gt;=14/24,S$9&lt;20/24)</formula>
    </cfRule>
    <cfRule type="expression" dxfId="6762" priority="128">
      <formula>AND(S$9&gt;=8/24,S$9&lt;14/24)</formula>
    </cfRule>
    <cfRule type="expression" dxfId="6761" priority="129">
      <formula>S$9&lt;8/24</formula>
    </cfRule>
  </conditionalFormatting>
  <conditionalFormatting sqref="A44">
    <cfRule type="expression" dxfId="6760" priority="125">
      <formula>$AH44=0</formula>
    </cfRule>
  </conditionalFormatting>
  <conditionalFormatting sqref="A79">
    <cfRule type="expression" dxfId="6759" priority="124">
      <formula>$AH79=0</formula>
    </cfRule>
  </conditionalFormatting>
  <conditionalFormatting sqref="A73">
    <cfRule type="expression" dxfId="6758" priority="123">
      <formula>$AH73=0</formula>
    </cfRule>
  </conditionalFormatting>
  <conditionalFormatting sqref="AL34:AL35 AL7:AL31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V60:W61">
    <cfRule type="expression" dxfId="6757" priority="119">
      <formula>V$9&gt;=20/24</formula>
    </cfRule>
    <cfRule type="expression" dxfId="6756" priority="120">
      <formula>AND(V$9&gt;=14/24,V$9&lt;20/24)</formula>
    </cfRule>
    <cfRule type="expression" dxfId="6755" priority="121">
      <formula>AND(V$9&gt;=8/24,V$9&lt;14/24)</formula>
    </cfRule>
    <cfRule type="expression" dxfId="6754" priority="122">
      <formula>V$9&lt;8/24</formula>
    </cfRule>
  </conditionalFormatting>
  <conditionalFormatting sqref="U85:W91">
    <cfRule type="expression" dxfId="6753" priority="115">
      <formula>U$9&gt;=20/24</formula>
    </cfRule>
    <cfRule type="expression" dxfId="6752" priority="116">
      <formula>AND(U$9&gt;=14/24,U$9&lt;20/24)</formula>
    </cfRule>
    <cfRule type="expression" dxfId="6751" priority="117">
      <formula>AND(U$9&gt;=8/24,U$9&lt;14/24)</formula>
    </cfRule>
    <cfRule type="expression" dxfId="6750" priority="118">
      <formula>U$9&lt;8/24</formula>
    </cfRule>
  </conditionalFormatting>
  <conditionalFormatting sqref="S85:T91 F84:R91">
    <cfRule type="expression" dxfId="6749" priority="111">
      <formula>F$9&gt;=20/24</formula>
    </cfRule>
    <cfRule type="expression" dxfId="6748" priority="112">
      <formula>AND(F$9&gt;=14/24,F$9&lt;20/24)</formula>
    </cfRule>
    <cfRule type="expression" dxfId="6747" priority="113">
      <formula>AND(F$9&gt;=8/24,F$9&lt;14/24)</formula>
    </cfRule>
    <cfRule type="expression" dxfId="6746" priority="114">
      <formula>F$9&lt;8/24</formula>
    </cfRule>
  </conditionalFormatting>
  <conditionalFormatting sqref="S84:T84">
    <cfRule type="expression" dxfId="6745" priority="107">
      <formula>S$9&gt;=20/24</formula>
    </cfRule>
    <cfRule type="expression" dxfId="6744" priority="108">
      <formula>AND(S$9&gt;=14/24,S$9&lt;20/24)</formula>
    </cfRule>
    <cfRule type="expression" dxfId="6743" priority="109">
      <formula>AND(S$9&gt;=8/24,S$9&lt;14/24)</formula>
    </cfRule>
    <cfRule type="expression" dxfId="6742" priority="110">
      <formula>S$9&lt;8/24</formula>
    </cfRule>
  </conditionalFormatting>
  <conditionalFormatting sqref="E94:F94 E95:M97 C94:D97">
    <cfRule type="expression" dxfId="6741" priority="103">
      <formula>C$9&gt;=20/24</formula>
    </cfRule>
    <cfRule type="expression" dxfId="6740" priority="104">
      <formula>AND(C$9&gt;=14/24,C$9&lt;20/24)</formula>
    </cfRule>
    <cfRule type="expression" dxfId="6739" priority="105">
      <formula>AND(C$9&gt;=8/24,C$9&lt;14/24)</formula>
    </cfRule>
    <cfRule type="expression" dxfId="6738" priority="106">
      <formula>C$9&lt;8/24</formula>
    </cfRule>
  </conditionalFormatting>
  <conditionalFormatting sqref="N95:R97 O94:R94">
    <cfRule type="expression" dxfId="6737" priority="99">
      <formula>N$9&gt;=20/24</formula>
    </cfRule>
    <cfRule type="expression" dxfId="6736" priority="100">
      <formula>AND(N$9&gt;=14/24,N$9&lt;20/24)</formula>
    </cfRule>
    <cfRule type="expression" dxfId="6735" priority="101">
      <formula>AND(N$9&gt;=8/24,N$9&lt;14/24)</formula>
    </cfRule>
    <cfRule type="expression" dxfId="6734" priority="102">
      <formula>N$9&lt;8/24</formula>
    </cfRule>
  </conditionalFormatting>
  <conditionalFormatting sqref="S94:T97">
    <cfRule type="expression" dxfId="6733" priority="95">
      <formula>S$9&gt;=20/24</formula>
    </cfRule>
    <cfRule type="expression" dxfId="6732" priority="96">
      <formula>AND(S$9&gt;=14/24,S$9&lt;20/24)</formula>
    </cfRule>
    <cfRule type="expression" dxfId="6731" priority="97">
      <formula>AND(S$9&gt;=8/24,S$9&lt;14/24)</formula>
    </cfRule>
    <cfRule type="expression" dxfId="6730" priority="98">
      <formula>S$9&lt;8/24</formula>
    </cfRule>
  </conditionalFormatting>
  <conditionalFormatting sqref="C98:M98">
    <cfRule type="expression" dxfId="6729" priority="91">
      <formula>C$9&gt;=20/24</formula>
    </cfRule>
    <cfRule type="expression" dxfId="6728" priority="92">
      <formula>AND(C$9&gt;=14/24,C$9&lt;20/24)</formula>
    </cfRule>
    <cfRule type="expression" dxfId="6727" priority="93">
      <formula>AND(C$9&gt;=8/24,C$9&lt;14/24)</formula>
    </cfRule>
    <cfRule type="expression" dxfId="6726" priority="94">
      <formula>C$9&lt;8/24</formula>
    </cfRule>
  </conditionalFormatting>
  <conditionalFormatting sqref="N98:R98">
    <cfRule type="expression" dxfId="6725" priority="87">
      <formula>N$9&gt;=20/24</formula>
    </cfRule>
    <cfRule type="expression" dxfId="6724" priority="88">
      <formula>AND(N$9&gt;=14/24,N$9&lt;20/24)</formula>
    </cfRule>
    <cfRule type="expression" dxfId="6723" priority="89">
      <formula>AND(N$9&gt;=8/24,N$9&lt;14/24)</formula>
    </cfRule>
    <cfRule type="expression" dxfId="6722" priority="90">
      <formula>N$9&lt;8/24</formula>
    </cfRule>
  </conditionalFormatting>
  <conditionalFormatting sqref="S98:T98">
    <cfRule type="expression" dxfId="6721" priority="83">
      <formula>S$9&gt;=20/24</formula>
    </cfRule>
    <cfRule type="expression" dxfId="6720" priority="84">
      <formula>AND(S$9&gt;=14/24,S$9&lt;20/24)</formula>
    </cfRule>
    <cfRule type="expression" dxfId="6719" priority="85">
      <formula>AND(S$9&gt;=8/24,S$9&lt;14/24)</formula>
    </cfRule>
    <cfRule type="expression" dxfId="6718" priority="86">
      <formula>S$9&lt;8/24</formula>
    </cfRule>
  </conditionalFormatting>
  <conditionalFormatting sqref="M94:N94">
    <cfRule type="expression" dxfId="6717" priority="79">
      <formula>M$9&gt;=20/24</formula>
    </cfRule>
    <cfRule type="expression" dxfId="6716" priority="80">
      <formula>AND(M$9&gt;=14/24,M$9&lt;20/24)</formula>
    </cfRule>
    <cfRule type="expression" dxfId="6715" priority="81">
      <formula>AND(M$9&gt;=8/24,M$9&lt;14/24)</formula>
    </cfRule>
    <cfRule type="expression" dxfId="6714" priority="82">
      <formula>M$9&lt;8/24</formula>
    </cfRule>
  </conditionalFormatting>
  <conditionalFormatting sqref="G94:L94">
    <cfRule type="expression" dxfId="6713" priority="75">
      <formula>G$9&gt;=20/24</formula>
    </cfRule>
    <cfRule type="expression" dxfId="6712" priority="76">
      <formula>AND(G$9&gt;=14/24,G$9&lt;20/24)</formula>
    </cfRule>
    <cfRule type="expression" dxfId="6711" priority="77">
      <formula>AND(G$9&gt;=8/24,G$9&lt;14/24)</formula>
    </cfRule>
    <cfRule type="expression" dxfId="6710" priority="78">
      <formula>G$9&lt;8/24</formula>
    </cfRule>
  </conditionalFormatting>
  <conditionalFormatting sqref="U94:W94">
    <cfRule type="expression" dxfId="6709" priority="71">
      <formula>U$9&gt;=20/24</formula>
    </cfRule>
    <cfRule type="expression" dxfId="6708" priority="72">
      <formula>AND(U$9&gt;=14/24,U$9&lt;20/24)</formula>
    </cfRule>
    <cfRule type="expression" dxfId="6707" priority="73">
      <formula>AND(U$9&gt;=8/24,U$9&lt;14/24)</formula>
    </cfRule>
    <cfRule type="expression" dxfId="6706" priority="74">
      <formula>U$9&lt;8/24</formula>
    </cfRule>
  </conditionalFormatting>
  <conditionalFormatting sqref="N94:T94">
    <cfRule type="expression" dxfId="6705" priority="67">
      <formula>N$9&gt;=20/24</formula>
    </cfRule>
    <cfRule type="expression" dxfId="6704" priority="68">
      <formula>AND(N$9&gt;=14/24,N$9&lt;20/24)</formula>
    </cfRule>
    <cfRule type="expression" dxfId="6703" priority="69">
      <formula>AND(N$9&gt;=8/24,N$9&lt;14/24)</formula>
    </cfRule>
    <cfRule type="expression" dxfId="6702" priority="70">
      <formula>N$9&lt;8/24</formula>
    </cfRule>
  </conditionalFormatting>
  <conditionalFormatting sqref="U99:AA99">
    <cfRule type="expression" dxfId="6701" priority="63">
      <formula>U$9&gt;=20/24</formula>
    </cfRule>
    <cfRule type="expression" dxfId="6700" priority="64">
      <formula>AND(U$9&gt;=14/24,U$9&lt;20/24)</formula>
    </cfRule>
    <cfRule type="expression" dxfId="6699" priority="65">
      <formula>AND(U$9&gt;=8/24,U$9&lt;14/24)</formula>
    </cfRule>
    <cfRule type="expression" dxfId="6698" priority="66">
      <formula>U$9&lt;8/24</formula>
    </cfRule>
  </conditionalFormatting>
  <conditionalFormatting sqref="C99:M99">
    <cfRule type="expression" dxfId="6697" priority="59">
      <formula>C$9&gt;=20/24</formula>
    </cfRule>
    <cfRule type="expression" dxfId="6696" priority="60">
      <formula>AND(C$9&gt;=14/24,C$9&lt;20/24)</formula>
    </cfRule>
    <cfRule type="expression" dxfId="6695" priority="61">
      <formula>AND(C$9&gt;=8/24,C$9&lt;14/24)</formula>
    </cfRule>
    <cfRule type="expression" dxfId="6694" priority="62">
      <formula>C$9&lt;8/24</formula>
    </cfRule>
  </conditionalFormatting>
  <conditionalFormatting sqref="N99:R99">
    <cfRule type="expression" dxfId="6693" priority="55">
      <formula>N$9&gt;=20/24</formula>
    </cfRule>
    <cfRule type="expression" dxfId="6692" priority="56">
      <formula>AND(N$9&gt;=14/24,N$9&lt;20/24)</formula>
    </cfRule>
    <cfRule type="expression" dxfId="6691" priority="57">
      <formula>AND(N$9&gt;=8/24,N$9&lt;14/24)</formula>
    </cfRule>
    <cfRule type="expression" dxfId="6690" priority="58">
      <formula>N$9&lt;8/24</formula>
    </cfRule>
  </conditionalFormatting>
  <conditionalFormatting sqref="S99:T99">
    <cfRule type="expression" dxfId="6689" priority="51">
      <formula>S$9&gt;=20/24</formula>
    </cfRule>
    <cfRule type="expression" dxfId="6688" priority="52">
      <formula>AND(S$9&gt;=14/24,S$9&lt;20/24)</formula>
    </cfRule>
    <cfRule type="expression" dxfId="6687" priority="53">
      <formula>AND(S$9&gt;=8/24,S$9&lt;14/24)</formula>
    </cfRule>
    <cfRule type="expression" dxfId="6686" priority="54">
      <formula>S$9&lt;8/24</formula>
    </cfRule>
  </conditionalFormatting>
  <conditionalFormatting sqref="X12:AA16 AB13:AC16">
    <cfRule type="expression" dxfId="6685" priority="47">
      <formula>X$9&gt;=20/24</formula>
    </cfRule>
    <cfRule type="expression" dxfId="6684" priority="48">
      <formula>AND(X$9&gt;=14/24,X$9&lt;20/24)</formula>
    </cfRule>
    <cfRule type="expression" dxfId="6683" priority="49">
      <formula>AND(X$9&gt;=8/24,X$9&lt;14/24)</formula>
    </cfRule>
    <cfRule type="expression" dxfId="6682" priority="50">
      <formula>X$9&lt;8/24</formula>
    </cfRule>
  </conditionalFormatting>
  <conditionalFormatting sqref="X17:AC17">
    <cfRule type="expression" dxfId="6681" priority="43">
      <formula>X$9&gt;=20/24</formula>
    </cfRule>
    <cfRule type="expression" dxfId="6680" priority="44">
      <formula>AND(X$9&gt;=14/24,X$9&lt;20/24)</formula>
    </cfRule>
    <cfRule type="expression" dxfId="6679" priority="45">
      <formula>AND(X$9&gt;=8/24,X$9&lt;14/24)</formula>
    </cfRule>
    <cfRule type="expression" dxfId="6678" priority="46">
      <formula>X$9&lt;8/24</formula>
    </cfRule>
  </conditionalFormatting>
  <conditionalFormatting sqref="X12:AA13 AB13:AC13">
    <cfRule type="expression" dxfId="6677" priority="39">
      <formula>X$9&gt;=20/24</formula>
    </cfRule>
    <cfRule type="expression" dxfId="6676" priority="40">
      <formula>AND(X$9&gt;=14/24,X$9&lt;20/24)</formula>
    </cfRule>
    <cfRule type="expression" dxfId="6675" priority="41">
      <formula>AND(X$9&gt;=8/24,X$9&lt;14/24)</formula>
    </cfRule>
    <cfRule type="expression" dxfId="6674" priority="42">
      <formula>X$9&lt;8/24</formula>
    </cfRule>
  </conditionalFormatting>
  <conditionalFormatting sqref="AB58:AE59">
    <cfRule type="expression" dxfId="6673" priority="35">
      <formula>AB$9&gt;=20/24</formula>
    </cfRule>
    <cfRule type="expression" dxfId="6672" priority="36">
      <formula>AND(AB$9&gt;=14/24,AB$9&lt;20/24)</formula>
    </cfRule>
    <cfRule type="expression" dxfId="6671" priority="37">
      <formula>AND(AB$9&gt;=8/24,AB$9&lt;14/24)</formula>
    </cfRule>
    <cfRule type="expression" dxfId="6670" priority="38">
      <formula>AB$9&lt;8/24</formula>
    </cfRule>
  </conditionalFormatting>
  <conditionalFormatting sqref="AL33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669" priority="268">
      <formula>C$9&gt;=20/24</formula>
    </cfRule>
    <cfRule type="expression" dxfId="6668" priority="269">
      <formula>AND(C$9&gt;=14/24,C$9&lt;20/24)</formula>
    </cfRule>
    <cfRule type="expression" dxfId="6667" priority="270">
      <formula>AND(C$9&gt;=8/24,C$9&lt;14/24)</formula>
    </cfRule>
    <cfRule type="expression" dxfId="6666" priority="271">
      <formula>C$9&lt;8/24</formula>
    </cfRule>
  </conditionalFormatting>
  <conditionalFormatting sqref="A200">
    <cfRule type="expression" dxfId="6665" priority="272">
      <formula>$AH200=0</formula>
    </cfRule>
  </conditionalFormatting>
  <conditionalFormatting sqref="AG212">
    <cfRule type="expression" dxfId="6664" priority="274">
      <formula>B$9&gt;=20/24</formula>
    </cfRule>
    <cfRule type="expression" dxfId="6663" priority="275">
      <formula>AND(B$9&gt;=14/24,B$9&lt;20/24)</formula>
    </cfRule>
    <cfRule type="expression" dxfId="6662" priority="276">
      <formula>AND(B$9&gt;=8/24,B$9&lt;14/24)</formula>
    </cfRule>
    <cfRule type="expression" dxfId="6661" priority="277">
      <formula>B$9&lt;8/24</formula>
    </cfRule>
  </conditionalFormatting>
  <conditionalFormatting sqref="S8">
    <cfRule type="expression" dxfId="6660" priority="24">
      <formula>U$9&gt;=20/24</formula>
    </cfRule>
    <cfRule type="expression" dxfId="6659" priority="25">
      <formula>AND(U$9&gt;=14/24,U$9&lt;20/24)</formula>
    </cfRule>
    <cfRule type="expression" dxfId="6658" priority="26">
      <formula>AND(U$9&gt;=8/24,U$9&lt;14/24)</formula>
    </cfRule>
    <cfRule type="expression" dxfId="6657" priority="27">
      <formula>U$9&lt;8/24</formula>
    </cfRule>
  </conditionalFormatting>
  <conditionalFormatting sqref="AB8">
    <cfRule type="expression" dxfId="6656" priority="20">
      <formula>AD$9&gt;=20/24</formula>
    </cfRule>
    <cfRule type="expression" dxfId="6655" priority="21">
      <formula>AND(AD$9&gt;=14/24,AD$9&lt;20/24)</formula>
    </cfRule>
    <cfRule type="expression" dxfId="6654" priority="22">
      <formula>AND(AD$9&gt;=8/24,AD$9&lt;14/24)</formula>
    </cfRule>
    <cfRule type="expression" dxfId="6653" priority="23">
      <formula>AD$9&lt;8/24</formula>
    </cfRule>
  </conditionalFormatting>
  <conditionalFormatting sqref="AH212:AX212">
    <cfRule type="expression" dxfId="6652" priority="278">
      <formula>AG$9&gt;=20/24</formula>
    </cfRule>
    <cfRule type="expression" dxfId="6651" priority="279">
      <formula>AND(AG$9&gt;=14/24,AG$9&lt;20/24)</formula>
    </cfRule>
    <cfRule type="expression" dxfId="6650" priority="280">
      <formula>AND(AG$9&gt;=8/24,AG$9&lt;14/24)</formula>
    </cfRule>
    <cfRule type="expression" dxfId="6649" priority="281">
      <formula>AG$9&lt;8/24</formula>
    </cfRule>
  </conditionalFormatting>
  <conditionalFormatting sqref="T212">
    <cfRule type="expression" dxfId="6648" priority="282">
      <formula>AX$9&gt;=20/24</formula>
    </cfRule>
    <cfRule type="expression" dxfId="6647" priority="283">
      <formula>AND(AX$9&gt;=14/24,AX$9&lt;20/24)</formula>
    </cfRule>
    <cfRule type="expression" dxfId="6646" priority="284">
      <formula>AND(AX$9&gt;=8/24,AX$9&lt;14/24)</formula>
    </cfRule>
    <cfRule type="expression" dxfId="6645" priority="285">
      <formula>AX$9&lt;8/24</formula>
    </cfRule>
  </conditionalFormatting>
  <conditionalFormatting sqref="A99">
    <cfRule type="expression" dxfId="6644" priority="19">
      <formula>$AH99=0</formula>
    </cfRule>
  </conditionalFormatting>
  <conditionalFormatting sqref="M12:W14 M16:W33">
    <cfRule type="expression" dxfId="6643" priority="15">
      <formula>M$9&gt;=20/24</formula>
    </cfRule>
    <cfRule type="expression" dxfId="6642" priority="16">
      <formula>AND(M$9&gt;=14/24,M$9&lt;20/24)</formula>
    </cfRule>
    <cfRule type="expression" dxfId="6641" priority="17">
      <formula>AND(M$9&gt;=8/24,M$9&lt;14/24)</formula>
    </cfRule>
    <cfRule type="expression" dxfId="6640" priority="18">
      <formula>M$9&lt;8/24</formula>
    </cfRule>
  </conditionalFormatting>
  <conditionalFormatting sqref="M35:W35">
    <cfRule type="expression" dxfId="6639" priority="11">
      <formula>M$9&gt;=20/24</formula>
    </cfRule>
    <cfRule type="expression" dxfId="6638" priority="12">
      <formula>AND(M$9&gt;=14/24,M$9&lt;20/24)</formula>
    </cfRule>
    <cfRule type="expression" dxfId="6637" priority="13">
      <formula>AND(M$9&gt;=8/24,M$9&lt;14/24)</formula>
    </cfRule>
    <cfRule type="expression" dxfId="6636" priority="14">
      <formula>M$9&lt;8/24</formula>
    </cfRule>
  </conditionalFormatting>
  <conditionalFormatting sqref="M12:W14 M16:W35">
    <cfRule type="expression" dxfId="6635" priority="10">
      <formula>M12&gt;$AG12</formula>
    </cfRule>
  </conditionalFormatting>
  <conditionalFormatting sqref="M34:W34">
    <cfRule type="expression" dxfId="6634" priority="6">
      <formula>M$9&gt;=20/24</formula>
    </cfRule>
    <cfRule type="expression" dxfId="6633" priority="7">
      <formula>AND(M$9&gt;=14/24,M$9&lt;20/24)</formula>
    </cfRule>
    <cfRule type="expression" dxfId="6632" priority="8">
      <formula>AND(M$9&gt;=8/24,M$9&lt;14/24)</formula>
    </cfRule>
    <cfRule type="expression" dxfId="6631" priority="9">
      <formula>M$9&lt;8/24</formula>
    </cfRule>
  </conditionalFormatting>
  <conditionalFormatting sqref="M15:W15">
    <cfRule type="expression" dxfId="6630" priority="2">
      <formula>M$9&gt;=20/24</formula>
    </cfRule>
    <cfRule type="expression" dxfId="6629" priority="3">
      <formula>AND(M$9&gt;=14/24,M$9&lt;20/24)</formula>
    </cfRule>
    <cfRule type="expression" dxfId="6628" priority="4">
      <formula>AND(M$9&gt;=8/24,M$9&lt;14/24)</formula>
    </cfRule>
    <cfRule type="expression" dxfId="6627" priority="5">
      <formula>M$9&lt;8/24</formula>
    </cfRule>
  </conditionalFormatting>
  <conditionalFormatting sqref="M15:W15">
    <cfRule type="expression" dxfId="6626" priority="1">
      <formula>M15&gt;$AG15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2F3CAB61-9856-465E-AD22-2727F245CE4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73" id="{2D26719C-206B-4168-BE82-EB8C16B1BF5E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L94" sqref="L94:L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2078/08/10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144.69999999999999</v>
      </c>
      <c r="C5" s="32">
        <f t="shared" si="0"/>
        <v>139.1</v>
      </c>
      <c r="D5" s="32">
        <f t="shared" si="0"/>
        <v>151</v>
      </c>
      <c r="E5" s="32">
        <f t="shared" si="0"/>
        <v>157</v>
      </c>
      <c r="F5" s="32">
        <f t="shared" si="0"/>
        <v>175</v>
      </c>
      <c r="G5" s="32">
        <f t="shared" si="0"/>
        <v>189.1</v>
      </c>
      <c r="H5" s="32">
        <f t="shared" si="0"/>
        <v>240</v>
      </c>
      <c r="I5" s="32">
        <f t="shared" si="0"/>
        <v>189</v>
      </c>
      <c r="J5" s="32">
        <f t="shared" si="0"/>
        <v>221</v>
      </c>
      <c r="K5" s="32">
        <f t="shared" si="0"/>
        <v>173.4</v>
      </c>
      <c r="L5" s="32">
        <f t="shared" si="0"/>
        <v>182</v>
      </c>
      <c r="M5" s="32">
        <f t="shared" si="0"/>
        <v>262</v>
      </c>
      <c r="N5" s="32">
        <f t="shared" si="0"/>
        <v>258</v>
      </c>
      <c r="O5" s="32">
        <f t="shared" si="0"/>
        <v>263</v>
      </c>
      <c r="P5" s="32">
        <f t="shared" si="0"/>
        <v>238</v>
      </c>
      <c r="Q5" s="32">
        <f t="shared" si="0"/>
        <v>220</v>
      </c>
      <c r="R5" s="32">
        <f t="shared" si="0"/>
        <v>200</v>
      </c>
      <c r="S5" s="32">
        <f t="shared" si="0"/>
        <v>285</v>
      </c>
      <c r="T5" s="32">
        <f t="shared" si="0"/>
        <v>316.5</v>
      </c>
      <c r="U5" s="32">
        <f t="shared" si="0"/>
        <v>360</v>
      </c>
      <c r="V5" s="32">
        <f t="shared" si="0"/>
        <v>285</v>
      </c>
      <c r="W5" s="32">
        <f t="shared" si="0"/>
        <v>257</v>
      </c>
      <c r="X5" s="32">
        <f t="shared" si="0"/>
        <v>171.3</v>
      </c>
      <c r="Y5" s="32">
        <f t="shared" si="0"/>
        <v>222</v>
      </c>
      <c r="Z5" s="32">
        <f t="shared" si="0"/>
        <v>174.4</v>
      </c>
      <c r="AA5" s="32">
        <f t="shared" si="0"/>
        <v>291</v>
      </c>
      <c r="AB5" s="32">
        <f t="shared" si="0"/>
        <v>290</v>
      </c>
      <c r="AC5" s="32">
        <f t="shared" si="0"/>
        <v>267</v>
      </c>
      <c r="AD5" s="32">
        <f t="shared" si="0"/>
        <v>241</v>
      </c>
      <c r="AE5" s="32">
        <f t="shared" si="0"/>
        <v>125</v>
      </c>
      <c r="AF5" s="32">
        <f>B68</f>
        <v>161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3">
      <c r="A6" s="31"/>
      <c r="B6" s="178" t="s">
        <v>230</v>
      </c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Load=817</v>
      </c>
      <c r="B7" s="37">
        <f>B75</f>
        <v>889.74</v>
      </c>
      <c r="C7" s="37">
        <f t="shared" ref="C7:AF7" si="1">C75</f>
        <v>885.34</v>
      </c>
      <c r="D7" s="37">
        <f t="shared" si="1"/>
        <v>838.34</v>
      </c>
      <c r="E7" s="37">
        <f t="shared" si="1"/>
        <v>817.44</v>
      </c>
      <c r="F7" s="37">
        <f t="shared" si="1"/>
        <v>823.44</v>
      </c>
      <c r="G7" s="37">
        <f t="shared" si="1"/>
        <v>876.44</v>
      </c>
      <c r="H7" s="37">
        <f t="shared" si="1"/>
        <v>978.54000000000008</v>
      </c>
      <c r="I7" s="37">
        <f t="shared" si="1"/>
        <v>1097.44</v>
      </c>
      <c r="J7" s="37">
        <f t="shared" si="1"/>
        <v>1162.4399999999998</v>
      </c>
      <c r="K7" s="37">
        <f t="shared" si="1"/>
        <v>1221.4399999999998</v>
      </c>
      <c r="L7" s="37">
        <f t="shared" si="1"/>
        <v>1310.8400000000001</v>
      </c>
      <c r="M7" s="37">
        <f t="shared" si="1"/>
        <v>1347.54</v>
      </c>
      <c r="N7" s="37">
        <f t="shared" si="1"/>
        <v>1348.04</v>
      </c>
      <c r="O7" s="37">
        <f t="shared" si="1"/>
        <v>1256.1399999999999</v>
      </c>
      <c r="P7" s="37">
        <f t="shared" si="1"/>
        <v>1179.54</v>
      </c>
      <c r="Q7" s="37">
        <f t="shared" si="1"/>
        <v>1104.24</v>
      </c>
      <c r="R7" s="37">
        <f t="shared" si="1"/>
        <v>1056.1399999999999</v>
      </c>
      <c r="S7" s="37">
        <f t="shared" si="1"/>
        <v>1066.1399999999999</v>
      </c>
      <c r="T7" s="37">
        <f t="shared" si="1"/>
        <v>1066.24</v>
      </c>
      <c r="U7" s="37">
        <f t="shared" si="1"/>
        <v>1112.6399999999999</v>
      </c>
      <c r="V7" s="37">
        <f t="shared" si="1"/>
        <v>1201.1399999999999</v>
      </c>
      <c r="W7" s="37">
        <f t="shared" si="1"/>
        <v>1310.2399999999998</v>
      </c>
      <c r="X7" s="37">
        <f t="shared" si="1"/>
        <v>1436.3400000000001</v>
      </c>
      <c r="Y7" s="37">
        <f t="shared" si="1"/>
        <v>1447.24</v>
      </c>
      <c r="Z7" s="37">
        <f t="shared" si="1"/>
        <v>1432.8400000000001</v>
      </c>
      <c r="AA7" s="37">
        <f t="shared" si="1"/>
        <v>1405.54</v>
      </c>
      <c r="AB7" s="37">
        <f t="shared" si="1"/>
        <v>1306.6399999999999</v>
      </c>
      <c r="AC7" s="37">
        <f t="shared" si="1"/>
        <v>1283.1399999999999</v>
      </c>
      <c r="AD7" s="37">
        <f t="shared" si="1"/>
        <v>1227.74</v>
      </c>
      <c r="AE7" s="37">
        <f t="shared" si="1"/>
        <v>1034.24</v>
      </c>
      <c r="AF7" s="37">
        <f t="shared" si="1"/>
        <v>900.74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30</v>
      </c>
      <c r="D11" s="49">
        <v>10</v>
      </c>
      <c r="E11" s="49">
        <v>10</v>
      </c>
      <c r="F11" s="49">
        <v>40</v>
      </c>
      <c r="G11" s="49">
        <v>75</v>
      </c>
      <c r="H11" s="49">
        <v>80</v>
      </c>
      <c r="I11" s="49">
        <v>100</v>
      </c>
      <c r="J11" s="49">
        <v>190</v>
      </c>
      <c r="K11" s="49">
        <v>160</v>
      </c>
      <c r="L11" s="49">
        <v>280</v>
      </c>
      <c r="M11" s="50">
        <v>320</v>
      </c>
      <c r="N11" s="50">
        <v>200</v>
      </c>
      <c r="O11" s="50">
        <v>160</v>
      </c>
      <c r="P11" s="50">
        <v>130</v>
      </c>
      <c r="Q11" s="50">
        <v>125</v>
      </c>
      <c r="R11" s="50">
        <v>125</v>
      </c>
      <c r="S11" s="50">
        <v>130</v>
      </c>
      <c r="T11" s="50">
        <v>30</v>
      </c>
      <c r="U11" s="50">
        <v>20</v>
      </c>
      <c r="V11" s="50">
        <v>41</v>
      </c>
      <c r="W11" s="50">
        <v>120</v>
      </c>
      <c r="X11" s="50">
        <v>250</v>
      </c>
      <c r="Y11" s="50">
        <v>370</v>
      </c>
      <c r="Z11" s="52">
        <v>260</v>
      </c>
      <c r="AA11" s="50">
        <v>290</v>
      </c>
      <c r="AB11" s="50">
        <v>100</v>
      </c>
      <c r="AC11" s="50">
        <v>100</v>
      </c>
      <c r="AD11" s="50">
        <v>80</v>
      </c>
      <c r="AE11" s="50">
        <v>40</v>
      </c>
      <c r="AF11" s="49">
        <v>75</v>
      </c>
      <c r="AG11" s="53">
        <v>456</v>
      </c>
      <c r="AH11" s="54">
        <f>MAX(B11:AF11)</f>
        <v>370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47</v>
      </c>
      <c r="C12" s="49">
        <v>47</v>
      </c>
      <c r="D12" s="49">
        <v>47</v>
      </c>
      <c r="E12" s="49">
        <v>47</v>
      </c>
      <c r="F12" s="49">
        <v>47</v>
      </c>
      <c r="G12" s="49">
        <v>47</v>
      </c>
      <c r="H12" s="49">
        <v>47</v>
      </c>
      <c r="I12" s="49">
        <v>47</v>
      </c>
      <c r="J12" s="49">
        <v>47</v>
      </c>
      <c r="K12" s="49">
        <v>47</v>
      </c>
      <c r="L12" s="49">
        <v>47</v>
      </c>
      <c r="M12" s="49">
        <v>47</v>
      </c>
      <c r="N12" s="49">
        <v>47</v>
      </c>
      <c r="O12" s="49">
        <v>47</v>
      </c>
      <c r="P12" s="49">
        <v>47</v>
      </c>
      <c r="Q12" s="49">
        <v>47</v>
      </c>
      <c r="R12" s="49">
        <v>47</v>
      </c>
      <c r="S12" s="49">
        <v>47</v>
      </c>
      <c r="T12" s="49">
        <v>47</v>
      </c>
      <c r="U12" s="49">
        <v>47</v>
      </c>
      <c r="V12" s="49">
        <v>47</v>
      </c>
      <c r="W12" s="49">
        <v>47</v>
      </c>
      <c r="X12" s="58">
        <v>47</v>
      </c>
      <c r="Y12" s="58">
        <v>47</v>
      </c>
      <c r="Z12" s="58">
        <v>47</v>
      </c>
      <c r="AA12" s="58">
        <v>47</v>
      </c>
      <c r="AB12" s="58">
        <v>47</v>
      </c>
      <c r="AC12" s="58">
        <v>47</v>
      </c>
      <c r="AD12" s="58">
        <v>47</v>
      </c>
      <c r="AE12" s="58">
        <v>47</v>
      </c>
      <c r="AF12" s="58">
        <v>47</v>
      </c>
      <c r="AG12" s="59">
        <v>60</v>
      </c>
      <c r="AH12" s="54">
        <f t="shared" ref="AH12:AH75" si="2">MAX(B12:AF12)</f>
        <v>47</v>
      </c>
      <c r="AI12" s="55">
        <f t="shared" ref="AI12:AI75" si="3">MIN(B12:AF12)</f>
        <v>47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26.8</v>
      </c>
      <c r="C13" s="49">
        <v>26.8</v>
      </c>
      <c r="D13" s="49">
        <v>26.8</v>
      </c>
      <c r="E13" s="49">
        <v>26.8</v>
      </c>
      <c r="F13" s="49">
        <v>26.8</v>
      </c>
      <c r="G13" s="49">
        <v>26.8</v>
      </c>
      <c r="H13" s="49">
        <v>26.8</v>
      </c>
      <c r="I13" s="49">
        <v>26.8</v>
      </c>
      <c r="J13" s="49">
        <v>26.8</v>
      </c>
      <c r="K13" s="49">
        <v>26.8</v>
      </c>
      <c r="L13" s="49">
        <v>27.3</v>
      </c>
      <c r="M13" s="49">
        <v>27.3</v>
      </c>
      <c r="N13" s="49">
        <v>27.3</v>
      </c>
      <c r="O13" s="49">
        <v>27.3</v>
      </c>
      <c r="P13" s="49">
        <v>27.3</v>
      </c>
      <c r="Q13" s="49">
        <v>27.3</v>
      </c>
      <c r="R13" s="49">
        <v>27.3</v>
      </c>
      <c r="S13" s="49">
        <v>27.3</v>
      </c>
      <c r="T13" s="49">
        <v>27.3</v>
      </c>
      <c r="U13" s="49">
        <v>27.3</v>
      </c>
      <c r="V13" s="49">
        <v>27.3</v>
      </c>
      <c r="W13" s="49">
        <v>27.3</v>
      </c>
      <c r="X13" s="58">
        <v>27.3</v>
      </c>
      <c r="Y13" s="58">
        <v>27.3</v>
      </c>
      <c r="Z13" s="58">
        <v>27.3</v>
      </c>
      <c r="AA13" s="58">
        <v>27.3</v>
      </c>
      <c r="AB13" s="58">
        <v>27.3</v>
      </c>
      <c r="AC13" s="58">
        <v>27.3</v>
      </c>
      <c r="AD13" s="58">
        <v>27.3</v>
      </c>
      <c r="AE13" s="58">
        <v>27.3</v>
      </c>
      <c r="AF13" s="58">
        <v>27.3</v>
      </c>
      <c r="AG13" s="59">
        <v>52.4</v>
      </c>
      <c r="AH13" s="54">
        <f t="shared" si="2"/>
        <v>27.3</v>
      </c>
      <c r="AI13" s="55">
        <f t="shared" si="3"/>
        <v>26.8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50.4</v>
      </c>
      <c r="C14" s="49">
        <v>50.4</v>
      </c>
      <c r="D14" s="49">
        <v>50.4</v>
      </c>
      <c r="E14" s="49">
        <v>50.4</v>
      </c>
      <c r="F14" s="49">
        <v>50.4</v>
      </c>
      <c r="G14" s="49">
        <v>50.4</v>
      </c>
      <c r="H14" s="49">
        <v>50.4</v>
      </c>
      <c r="I14" s="49">
        <v>50.4</v>
      </c>
      <c r="J14" s="49">
        <v>50.4</v>
      </c>
      <c r="K14" s="49">
        <v>50.4</v>
      </c>
      <c r="L14" s="49">
        <v>50.6</v>
      </c>
      <c r="M14" s="50">
        <v>50.6</v>
      </c>
      <c r="N14" s="50">
        <v>25</v>
      </c>
      <c r="O14" s="50">
        <v>25</v>
      </c>
      <c r="P14" s="50">
        <v>25</v>
      </c>
      <c r="Q14" s="50">
        <v>25</v>
      </c>
      <c r="R14" s="50">
        <v>25</v>
      </c>
      <c r="S14" s="50">
        <v>50</v>
      </c>
      <c r="T14" s="50">
        <v>50</v>
      </c>
      <c r="U14" s="50">
        <v>50</v>
      </c>
      <c r="V14" s="50">
        <v>50</v>
      </c>
      <c r="W14" s="50">
        <v>50</v>
      </c>
      <c r="X14" s="60">
        <v>50</v>
      </c>
      <c r="Y14" s="60">
        <v>50</v>
      </c>
      <c r="Z14" s="60">
        <v>50</v>
      </c>
      <c r="AA14" s="60">
        <v>50</v>
      </c>
      <c r="AB14" s="60">
        <v>50</v>
      </c>
      <c r="AC14" s="60">
        <v>50</v>
      </c>
      <c r="AD14" s="60">
        <v>50</v>
      </c>
      <c r="AE14" s="60">
        <v>50</v>
      </c>
      <c r="AF14" s="60">
        <v>50</v>
      </c>
      <c r="AG14" s="59">
        <v>50</v>
      </c>
      <c r="AH14" s="54">
        <f t="shared" si="2"/>
        <v>50.6</v>
      </c>
      <c r="AI14" s="55">
        <f t="shared" si="3"/>
        <v>25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23.4</v>
      </c>
      <c r="C15" s="61">
        <v>23.4</v>
      </c>
      <c r="D15" s="61">
        <v>23.4</v>
      </c>
      <c r="E15" s="61">
        <v>23.4</v>
      </c>
      <c r="F15" s="61">
        <v>23.4</v>
      </c>
      <c r="G15" s="61">
        <v>23.4</v>
      </c>
      <c r="H15" s="61">
        <v>23.4</v>
      </c>
      <c r="I15" s="61">
        <v>23.4</v>
      </c>
      <c r="J15" s="61">
        <v>23.4</v>
      </c>
      <c r="K15" s="61">
        <v>23.4</v>
      </c>
      <c r="L15" s="61">
        <v>22.7</v>
      </c>
      <c r="M15" s="50">
        <v>22.7</v>
      </c>
      <c r="N15" s="50">
        <v>22.7</v>
      </c>
      <c r="O15" s="50">
        <v>22.7</v>
      </c>
      <c r="P15" s="50">
        <v>22.7</v>
      </c>
      <c r="Q15" s="50">
        <v>22.7</v>
      </c>
      <c r="R15" s="50">
        <v>22.7</v>
      </c>
      <c r="S15" s="50">
        <v>22.7</v>
      </c>
      <c r="T15" s="50">
        <v>22.7</v>
      </c>
      <c r="U15" s="50">
        <v>22.7</v>
      </c>
      <c r="V15" s="50">
        <v>22.7</v>
      </c>
      <c r="W15" s="50">
        <v>22.7</v>
      </c>
      <c r="X15" s="60">
        <v>28.2</v>
      </c>
      <c r="Y15" s="60">
        <v>28.2</v>
      </c>
      <c r="Z15" s="60">
        <v>28.2</v>
      </c>
      <c r="AA15" s="60">
        <v>28.2</v>
      </c>
      <c r="AB15" s="60">
        <v>28.2</v>
      </c>
      <c r="AC15" s="60">
        <v>28.2</v>
      </c>
      <c r="AD15" s="60">
        <v>28.2</v>
      </c>
      <c r="AE15" s="60">
        <v>28.2</v>
      </c>
      <c r="AF15" s="60">
        <v>28.2</v>
      </c>
      <c r="AG15" s="62">
        <v>45</v>
      </c>
      <c r="AH15" s="54">
        <f t="shared" si="2"/>
        <v>28.2</v>
      </c>
      <c r="AI15" s="55">
        <f t="shared" si="3"/>
        <v>22.7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</v>
      </c>
      <c r="C19" s="49">
        <v>12</v>
      </c>
      <c r="D19" s="49">
        <v>12</v>
      </c>
      <c r="E19" s="49">
        <v>12</v>
      </c>
      <c r="F19" s="49">
        <v>12</v>
      </c>
      <c r="G19" s="49">
        <v>12</v>
      </c>
      <c r="H19" s="49">
        <v>12</v>
      </c>
      <c r="I19" s="49">
        <v>12</v>
      </c>
      <c r="J19" s="49">
        <v>12</v>
      </c>
      <c r="K19" s="49">
        <v>12</v>
      </c>
      <c r="L19" s="49">
        <v>11.6</v>
      </c>
      <c r="M19" s="50">
        <v>11.6</v>
      </c>
      <c r="N19" s="50">
        <v>11.6</v>
      </c>
      <c r="O19" s="50">
        <v>11.6</v>
      </c>
      <c r="P19" s="50">
        <v>11.6</v>
      </c>
      <c r="Q19" s="50">
        <v>11.6</v>
      </c>
      <c r="R19" s="50">
        <v>11.6</v>
      </c>
      <c r="S19" s="50">
        <v>11.6</v>
      </c>
      <c r="T19" s="50">
        <v>11.6</v>
      </c>
      <c r="U19" s="50">
        <v>11.6</v>
      </c>
      <c r="V19" s="50">
        <v>11.6</v>
      </c>
      <c r="W19" s="50">
        <v>11.6</v>
      </c>
      <c r="X19" s="50">
        <v>11.6</v>
      </c>
      <c r="Y19" s="50">
        <v>11.6</v>
      </c>
      <c r="Z19" s="50">
        <v>11.6</v>
      </c>
      <c r="AA19" s="50">
        <v>11.6</v>
      </c>
      <c r="AB19" s="50">
        <v>11.6</v>
      </c>
      <c r="AC19" s="50">
        <v>11.6</v>
      </c>
      <c r="AD19" s="50">
        <v>11.6</v>
      </c>
      <c r="AE19" s="50">
        <v>11.6</v>
      </c>
      <c r="AF19" s="50">
        <v>11.6</v>
      </c>
      <c r="AG19" s="59">
        <v>30</v>
      </c>
      <c r="AH19" s="54">
        <f t="shared" si="2"/>
        <v>12</v>
      </c>
      <c r="AI19" s="55">
        <f t="shared" si="3"/>
        <v>11.6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14.8</v>
      </c>
      <c r="C22" s="49">
        <v>14.8</v>
      </c>
      <c r="D22" s="49">
        <v>14.8</v>
      </c>
      <c r="E22" s="49">
        <v>14.8</v>
      </c>
      <c r="F22" s="49">
        <v>14.8</v>
      </c>
      <c r="G22" s="49">
        <v>14.8</v>
      </c>
      <c r="H22" s="49">
        <v>14.8</v>
      </c>
      <c r="I22" s="49">
        <v>14.8</v>
      </c>
      <c r="J22" s="49">
        <v>14.8</v>
      </c>
      <c r="K22" s="49">
        <v>14.8</v>
      </c>
      <c r="L22" s="49">
        <v>14.5</v>
      </c>
      <c r="M22" s="50">
        <v>14.5</v>
      </c>
      <c r="N22" s="50">
        <v>14.5</v>
      </c>
      <c r="O22" s="50">
        <v>14.5</v>
      </c>
      <c r="P22" s="50">
        <v>14.5</v>
      </c>
      <c r="Q22" s="50">
        <v>14.5</v>
      </c>
      <c r="R22" s="50">
        <v>14.5</v>
      </c>
      <c r="S22" s="50">
        <v>14.5</v>
      </c>
      <c r="T22" s="50">
        <v>14.5</v>
      </c>
      <c r="U22" s="50">
        <v>14.5</v>
      </c>
      <c r="V22" s="50">
        <v>14.5</v>
      </c>
      <c r="W22" s="50">
        <v>14.5</v>
      </c>
      <c r="X22" s="50">
        <v>18.3</v>
      </c>
      <c r="Y22" s="50">
        <v>18.3</v>
      </c>
      <c r="Z22" s="50">
        <v>18.3</v>
      </c>
      <c r="AA22" s="50">
        <v>18.3</v>
      </c>
      <c r="AB22" s="50">
        <v>18.3</v>
      </c>
      <c r="AC22" s="50">
        <v>18.3</v>
      </c>
      <c r="AD22" s="50">
        <v>18.3</v>
      </c>
      <c r="AE22" s="50">
        <v>18.3</v>
      </c>
      <c r="AF22" s="50">
        <v>18.3</v>
      </c>
      <c r="AG22" s="59">
        <v>25</v>
      </c>
      <c r="AH22" s="54">
        <f t="shared" si="2"/>
        <v>18.3</v>
      </c>
      <c r="AI22" s="55">
        <f t="shared" si="3"/>
        <v>14.5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9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151</v>
      </c>
      <c r="W36" s="61">
        <v>151</v>
      </c>
      <c r="X36" s="61">
        <v>151</v>
      </c>
      <c r="Y36" s="61">
        <v>151</v>
      </c>
      <c r="Z36" s="61">
        <v>151</v>
      </c>
      <c r="AA36" s="61">
        <v>151</v>
      </c>
      <c r="AB36" s="61">
        <v>151</v>
      </c>
      <c r="AC36" s="61">
        <v>151</v>
      </c>
      <c r="AD36" s="61">
        <v>151</v>
      </c>
      <c r="AE36" s="61">
        <v>151</v>
      </c>
      <c r="AF36" s="61">
        <v>151</v>
      </c>
      <c r="AG36" s="67">
        <v>85</v>
      </c>
      <c r="AH36" s="54">
        <f t="shared" si="2"/>
        <v>151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 t="s">
        <v>231</v>
      </c>
      <c r="C37" s="61" t="s">
        <v>231</v>
      </c>
      <c r="D37" s="61" t="s">
        <v>231</v>
      </c>
      <c r="E37" s="61" t="s">
        <v>231</v>
      </c>
      <c r="F37" s="61" t="s">
        <v>231</v>
      </c>
      <c r="G37" s="61" t="s">
        <v>231</v>
      </c>
      <c r="H37" s="61" t="s">
        <v>231</v>
      </c>
      <c r="I37" s="61" t="s">
        <v>231</v>
      </c>
      <c r="J37" s="61" t="s">
        <v>231</v>
      </c>
      <c r="K37" s="61" t="s">
        <v>231</v>
      </c>
      <c r="L37" s="61" t="s">
        <v>231</v>
      </c>
      <c r="M37" s="70" t="s">
        <v>231</v>
      </c>
      <c r="N37" s="70" t="s">
        <v>231</v>
      </c>
      <c r="O37" s="70" t="s">
        <v>231</v>
      </c>
      <c r="P37" s="70" t="s">
        <v>231</v>
      </c>
      <c r="Q37" s="70" t="s">
        <v>231</v>
      </c>
      <c r="R37" s="70" t="s">
        <v>231</v>
      </c>
      <c r="S37" s="70" t="s">
        <v>231</v>
      </c>
      <c r="T37" s="70" t="s">
        <v>231</v>
      </c>
      <c r="U37" s="70" t="s">
        <v>231</v>
      </c>
      <c r="V37" s="70" t="s">
        <v>231</v>
      </c>
      <c r="W37" s="70" t="s">
        <v>231</v>
      </c>
      <c r="X37" s="70" t="s">
        <v>231</v>
      </c>
      <c r="Y37" s="70" t="s">
        <v>231</v>
      </c>
      <c r="Z37" s="70" t="s">
        <v>231</v>
      </c>
      <c r="AA37" s="70" t="s">
        <v>231</v>
      </c>
      <c r="AB37" s="70" t="s">
        <v>231</v>
      </c>
      <c r="AC37" s="70" t="s">
        <v>231</v>
      </c>
      <c r="AD37" s="70" t="s">
        <v>231</v>
      </c>
      <c r="AE37" s="70" t="s">
        <v>231</v>
      </c>
      <c r="AF37" s="70" t="s">
        <v>231</v>
      </c>
      <c r="AG37" s="67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71" t="s">
        <v>46</v>
      </c>
      <c r="B38" s="72">
        <f>SUM(B11:B36)</f>
        <v>471.1</v>
      </c>
      <c r="C38" s="72">
        <f t="shared" ref="C38:AF38" si="4">SUM(C11:C36)</f>
        <v>491.1</v>
      </c>
      <c r="D38" s="72">
        <f t="shared" si="4"/>
        <v>459.1</v>
      </c>
      <c r="E38" s="72">
        <f t="shared" si="4"/>
        <v>459.1</v>
      </c>
      <c r="F38" s="72">
        <f t="shared" si="4"/>
        <v>489.09999999999997</v>
      </c>
      <c r="G38" s="72">
        <f t="shared" si="4"/>
        <v>524.1</v>
      </c>
      <c r="H38" s="72">
        <f t="shared" si="4"/>
        <v>529.1</v>
      </c>
      <c r="I38" s="72">
        <f t="shared" si="4"/>
        <v>549.1</v>
      </c>
      <c r="J38" s="72">
        <f t="shared" si="4"/>
        <v>639.09999999999991</v>
      </c>
      <c r="K38" s="72">
        <f t="shared" si="4"/>
        <v>609.09999999999991</v>
      </c>
      <c r="L38" s="72">
        <f t="shared" si="4"/>
        <v>728.40000000000009</v>
      </c>
      <c r="M38" s="72">
        <f t="shared" si="4"/>
        <v>768.40000000000009</v>
      </c>
      <c r="N38" s="72">
        <f t="shared" si="4"/>
        <v>622.79999999999995</v>
      </c>
      <c r="O38" s="72">
        <f t="shared" si="4"/>
        <v>582.79999999999995</v>
      </c>
      <c r="P38" s="72">
        <f t="shared" si="4"/>
        <v>552.79999999999995</v>
      </c>
      <c r="Q38" s="72">
        <f t="shared" si="4"/>
        <v>547.79999999999995</v>
      </c>
      <c r="R38" s="72">
        <f t="shared" si="4"/>
        <v>547.79999999999995</v>
      </c>
      <c r="S38" s="72">
        <f t="shared" si="4"/>
        <v>577.79999999999995</v>
      </c>
      <c r="T38" s="72">
        <f t="shared" si="4"/>
        <v>477.79999999999995</v>
      </c>
      <c r="U38" s="72">
        <f t="shared" si="4"/>
        <v>467.79999999999995</v>
      </c>
      <c r="V38" s="72">
        <f t="shared" si="4"/>
        <v>489.79999999999995</v>
      </c>
      <c r="W38" s="72">
        <f t="shared" si="4"/>
        <v>568.79999999999995</v>
      </c>
      <c r="X38" s="72">
        <f t="shared" si="4"/>
        <v>708.1</v>
      </c>
      <c r="Y38" s="72">
        <f t="shared" si="4"/>
        <v>828.1</v>
      </c>
      <c r="Z38" s="72">
        <f t="shared" si="4"/>
        <v>718.1</v>
      </c>
      <c r="AA38" s="72">
        <f t="shared" si="4"/>
        <v>748.1</v>
      </c>
      <c r="AB38" s="72">
        <f t="shared" si="4"/>
        <v>558.1</v>
      </c>
      <c r="AC38" s="72">
        <f t="shared" si="4"/>
        <v>558.1</v>
      </c>
      <c r="AD38" s="72">
        <f t="shared" si="4"/>
        <v>538.1</v>
      </c>
      <c r="AE38" s="72">
        <f t="shared" si="4"/>
        <v>498.09999999999997</v>
      </c>
      <c r="AF38" s="72">
        <f t="shared" si="4"/>
        <v>533.1</v>
      </c>
      <c r="AG38" s="67">
        <f>SUM(AG11:AG37)</f>
        <v>1492.8299999999997</v>
      </c>
      <c r="AH38" s="54">
        <f t="shared" si="2"/>
        <v>828.1</v>
      </c>
      <c r="AI38" s="55">
        <f t="shared" si="3"/>
        <v>459.1</v>
      </c>
      <c r="AK38" s="56"/>
    </row>
    <row r="39" spans="1:88" x14ac:dyDescent="0.25">
      <c r="A39" s="57" t="s">
        <v>47</v>
      </c>
      <c r="B39" s="49">
        <v>51</v>
      </c>
      <c r="C39" s="61">
        <v>50.9</v>
      </c>
      <c r="D39" s="61">
        <v>48.3</v>
      </c>
      <c r="E39" s="61">
        <v>30</v>
      </c>
      <c r="F39" s="61">
        <v>0</v>
      </c>
      <c r="G39" s="61">
        <v>0</v>
      </c>
      <c r="H39" s="61">
        <v>48</v>
      </c>
      <c r="I39" s="61">
        <v>96</v>
      </c>
      <c r="J39" s="61">
        <v>97</v>
      </c>
      <c r="K39" s="61">
        <v>144</v>
      </c>
      <c r="L39" s="61">
        <v>140.6</v>
      </c>
      <c r="M39" s="50">
        <v>140.80000000000001</v>
      </c>
      <c r="N39" s="50">
        <v>140.80000000000001</v>
      </c>
      <c r="O39" s="50">
        <v>136.4</v>
      </c>
      <c r="P39" s="50">
        <v>111.7</v>
      </c>
      <c r="Q39" s="50">
        <v>81</v>
      </c>
      <c r="R39" s="50">
        <v>81</v>
      </c>
      <c r="S39" s="50">
        <v>81</v>
      </c>
      <c r="T39" s="50">
        <v>81.7</v>
      </c>
      <c r="U39" s="50">
        <v>91.3</v>
      </c>
      <c r="V39" s="50">
        <v>111.6</v>
      </c>
      <c r="W39" s="50">
        <v>145.5</v>
      </c>
      <c r="X39" s="50">
        <v>145.5</v>
      </c>
      <c r="Y39" s="50">
        <v>145.5</v>
      </c>
      <c r="Z39" s="50">
        <v>145.19999999999999</v>
      </c>
      <c r="AA39" s="50">
        <v>145</v>
      </c>
      <c r="AB39" s="50">
        <v>145</v>
      </c>
      <c r="AC39" s="50">
        <v>131</v>
      </c>
      <c r="AD39" s="50">
        <v>131</v>
      </c>
      <c r="AE39" s="50">
        <v>70</v>
      </c>
      <c r="AF39" s="49">
        <v>45</v>
      </c>
      <c r="AG39" s="62">
        <v>144</v>
      </c>
      <c r="AH39" s="54">
        <f t="shared" si="2"/>
        <v>145.5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34.4</v>
      </c>
      <c r="C40" s="61">
        <v>26</v>
      </c>
      <c r="D40" s="61">
        <v>25.9</v>
      </c>
      <c r="E40" s="61">
        <v>0</v>
      </c>
      <c r="F40" s="61">
        <v>0</v>
      </c>
      <c r="G40" s="61">
        <v>0</v>
      </c>
      <c r="H40" s="61">
        <v>35</v>
      </c>
      <c r="I40" s="61">
        <v>35</v>
      </c>
      <c r="J40" s="61">
        <v>60</v>
      </c>
      <c r="K40" s="61">
        <v>70</v>
      </c>
      <c r="L40" s="61">
        <v>64.400000000000006</v>
      </c>
      <c r="M40" s="73">
        <v>56.1</v>
      </c>
      <c r="N40" s="73">
        <v>70.599999999999994</v>
      </c>
      <c r="O40" s="73">
        <v>61.6</v>
      </c>
      <c r="P40" s="73">
        <v>59.6</v>
      </c>
      <c r="Q40" s="73">
        <v>51</v>
      </c>
      <c r="R40" s="73">
        <v>46.5</v>
      </c>
      <c r="S40" s="73">
        <v>46.5</v>
      </c>
      <c r="T40" s="73">
        <v>55.5</v>
      </c>
      <c r="U40" s="73">
        <v>70.900000000000006</v>
      </c>
      <c r="V40" s="73">
        <v>60.2</v>
      </c>
      <c r="W40" s="73">
        <v>60</v>
      </c>
      <c r="X40" s="73">
        <v>60</v>
      </c>
      <c r="Y40" s="73">
        <v>50.2</v>
      </c>
      <c r="Z40" s="73">
        <v>71</v>
      </c>
      <c r="AA40" s="73">
        <v>71.3</v>
      </c>
      <c r="AB40" s="73">
        <v>60</v>
      </c>
      <c r="AC40" s="73">
        <v>60</v>
      </c>
      <c r="AD40" s="73">
        <v>50</v>
      </c>
      <c r="AE40" s="73">
        <v>35</v>
      </c>
      <c r="AF40" s="61">
        <v>0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55.9</v>
      </c>
      <c r="C41" s="61">
        <v>56.3</v>
      </c>
      <c r="D41" s="61">
        <v>49.6</v>
      </c>
      <c r="E41" s="61">
        <v>46</v>
      </c>
      <c r="F41" s="61">
        <v>46</v>
      </c>
      <c r="G41" s="61">
        <v>46</v>
      </c>
      <c r="H41" s="61">
        <v>46</v>
      </c>
      <c r="I41" s="61">
        <v>46</v>
      </c>
      <c r="J41" s="61">
        <v>46</v>
      </c>
      <c r="K41" s="61">
        <v>46</v>
      </c>
      <c r="L41" s="61">
        <v>64.400000000000006</v>
      </c>
      <c r="M41" s="73">
        <v>61</v>
      </c>
      <c r="N41" s="73">
        <v>61.6</v>
      </c>
      <c r="O41" s="73">
        <v>56.6</v>
      </c>
      <c r="P41" s="73">
        <v>55</v>
      </c>
      <c r="Q41" s="73">
        <v>49</v>
      </c>
      <c r="R41" s="73">
        <v>34.5</v>
      </c>
      <c r="S41" s="73">
        <v>34.5</v>
      </c>
      <c r="T41" s="73">
        <v>39.9</v>
      </c>
      <c r="U41" s="73">
        <v>44.1</v>
      </c>
      <c r="V41" s="73">
        <v>52.7</v>
      </c>
      <c r="W41" s="73">
        <v>50.5</v>
      </c>
      <c r="X41" s="73">
        <v>50.5</v>
      </c>
      <c r="Y41" s="73">
        <v>52</v>
      </c>
      <c r="Z41" s="73">
        <v>67.7</v>
      </c>
      <c r="AA41" s="73">
        <v>67.599999999999994</v>
      </c>
      <c r="AB41" s="73">
        <v>68.5</v>
      </c>
      <c r="AC41" s="73">
        <v>60</v>
      </c>
      <c r="AD41" s="73">
        <v>60</v>
      </c>
      <c r="AE41" s="73">
        <v>59.5</v>
      </c>
      <c r="AF41" s="61">
        <v>67</v>
      </c>
      <c r="AG41" s="67">
        <v>69</v>
      </c>
      <c r="AH41" s="54">
        <f t="shared" si="2"/>
        <v>68.5</v>
      </c>
      <c r="AI41" s="55">
        <f t="shared" si="3"/>
        <v>34.5</v>
      </c>
      <c r="AK41" s="56"/>
    </row>
    <row r="42" spans="1:88" x14ac:dyDescent="0.25">
      <c r="A42" s="66" t="s">
        <v>50</v>
      </c>
      <c r="B42" s="61">
        <v>60.9</v>
      </c>
      <c r="C42" s="61">
        <v>60.9</v>
      </c>
      <c r="D42" s="61">
        <v>60.9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60.9</v>
      </c>
      <c r="L42" s="61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67">
        <v>60</v>
      </c>
      <c r="AH42" s="54">
        <f t="shared" si="2"/>
        <v>60.9</v>
      </c>
      <c r="AI42" s="55">
        <f t="shared" si="3"/>
        <v>60.9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15</v>
      </c>
      <c r="F43" s="61">
        <v>15</v>
      </c>
      <c r="G43" s="61">
        <v>15</v>
      </c>
      <c r="H43" s="61">
        <v>15</v>
      </c>
      <c r="I43" s="61">
        <v>15</v>
      </c>
      <c r="J43" s="61">
        <v>15</v>
      </c>
      <c r="K43" s="61">
        <v>15</v>
      </c>
      <c r="L43" s="61">
        <v>23.3</v>
      </c>
      <c r="M43" s="50">
        <v>22.9</v>
      </c>
      <c r="N43" s="50">
        <v>22.9</v>
      </c>
      <c r="O43" s="50">
        <v>27.5</v>
      </c>
      <c r="P43" s="50">
        <v>21.1</v>
      </c>
      <c r="Q43" s="50">
        <v>21.1</v>
      </c>
      <c r="R43" s="50">
        <v>10</v>
      </c>
      <c r="S43" s="50">
        <v>10</v>
      </c>
      <c r="T43" s="50">
        <v>10</v>
      </c>
      <c r="U43" s="50">
        <v>14.7</v>
      </c>
      <c r="V43" s="50">
        <v>10.5</v>
      </c>
      <c r="W43" s="50">
        <v>22.4</v>
      </c>
      <c r="X43" s="50">
        <v>27.7</v>
      </c>
      <c r="Y43" s="50">
        <v>27.7</v>
      </c>
      <c r="Z43" s="73">
        <v>27.2</v>
      </c>
      <c r="AA43" s="73">
        <v>14.3</v>
      </c>
      <c r="AB43" s="73">
        <v>14.3</v>
      </c>
      <c r="AC43" s="73">
        <v>14.3</v>
      </c>
      <c r="AD43" s="73">
        <v>14.3</v>
      </c>
      <c r="AE43" s="73">
        <v>14.3</v>
      </c>
      <c r="AF43" s="73">
        <v>14.3</v>
      </c>
      <c r="AG43" s="67">
        <v>30</v>
      </c>
      <c r="AH43" s="54">
        <f t="shared" si="2"/>
        <v>27.7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9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9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50">
        <v>2.5</v>
      </c>
      <c r="N46" s="50">
        <v>2.5</v>
      </c>
      <c r="O46" s="50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50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74">
        <v>6</v>
      </c>
      <c r="D48" s="74">
        <v>6</v>
      </c>
      <c r="E48" s="74">
        <v>6</v>
      </c>
      <c r="F48" s="74">
        <v>6</v>
      </c>
      <c r="G48" s="74">
        <v>6</v>
      </c>
      <c r="H48" s="74">
        <v>6</v>
      </c>
      <c r="I48" s="74">
        <v>6</v>
      </c>
      <c r="J48" s="74">
        <v>6</v>
      </c>
      <c r="K48" s="74">
        <v>6</v>
      </c>
      <c r="L48" s="74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50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257.64000000000004</v>
      </c>
      <c r="C52" s="72">
        <f t="shared" ref="C52:AF52" si="6">SUM(C39:C51)</f>
        <v>249.54</v>
      </c>
      <c r="D52" s="72">
        <f t="shared" si="6"/>
        <v>240.14</v>
      </c>
      <c r="E52" s="72">
        <f t="shared" si="6"/>
        <v>207.34</v>
      </c>
      <c r="F52" s="72">
        <f t="shared" si="6"/>
        <v>177.34</v>
      </c>
      <c r="G52" s="72">
        <f t="shared" si="6"/>
        <v>177.34</v>
      </c>
      <c r="H52" s="72">
        <f t="shared" si="6"/>
        <v>260.34000000000003</v>
      </c>
      <c r="I52" s="72">
        <f t="shared" si="6"/>
        <v>308.33999999999997</v>
      </c>
      <c r="J52" s="72">
        <f t="shared" si="6"/>
        <v>334.34</v>
      </c>
      <c r="K52" s="72">
        <f t="shared" si="6"/>
        <v>391.34</v>
      </c>
      <c r="L52" s="72">
        <f t="shared" si="6"/>
        <v>409.03999999999996</v>
      </c>
      <c r="M52" s="72">
        <f t="shared" si="6"/>
        <v>397.13999999999993</v>
      </c>
      <c r="N52" s="72">
        <f t="shared" si="6"/>
        <v>412.23999999999995</v>
      </c>
      <c r="O52" s="72">
        <f t="shared" si="6"/>
        <v>398.44</v>
      </c>
      <c r="P52" s="72">
        <f t="shared" si="6"/>
        <v>363.74</v>
      </c>
      <c r="Q52" s="72">
        <f t="shared" si="6"/>
        <v>318.44</v>
      </c>
      <c r="R52" s="72">
        <f t="shared" si="6"/>
        <v>288.33999999999997</v>
      </c>
      <c r="S52" s="72">
        <f t="shared" si="6"/>
        <v>288.33999999999997</v>
      </c>
      <c r="T52" s="72">
        <f t="shared" si="6"/>
        <v>303.44</v>
      </c>
      <c r="U52" s="72">
        <f t="shared" si="6"/>
        <v>328.34</v>
      </c>
      <c r="V52" s="72">
        <f t="shared" si="6"/>
        <v>351.34</v>
      </c>
      <c r="W52" s="72">
        <f t="shared" si="6"/>
        <v>394.73999999999995</v>
      </c>
      <c r="X52" s="72">
        <f t="shared" si="6"/>
        <v>400.03999999999996</v>
      </c>
      <c r="Y52" s="72">
        <f t="shared" si="6"/>
        <v>391.73999999999995</v>
      </c>
      <c r="Z52" s="72">
        <f t="shared" si="6"/>
        <v>427.43999999999994</v>
      </c>
      <c r="AA52" s="72">
        <f t="shared" si="6"/>
        <v>414.53999999999996</v>
      </c>
      <c r="AB52" s="72">
        <f t="shared" si="6"/>
        <v>404.14</v>
      </c>
      <c r="AC52" s="72">
        <f t="shared" si="6"/>
        <v>381.64</v>
      </c>
      <c r="AD52" s="72">
        <f t="shared" si="6"/>
        <v>371.64</v>
      </c>
      <c r="AE52" s="72">
        <f t="shared" si="6"/>
        <v>295.14000000000004</v>
      </c>
      <c r="AF52" s="72">
        <f t="shared" si="6"/>
        <v>242.64000000000001</v>
      </c>
      <c r="AG52" s="78">
        <f>SUM(AG39:AG51)</f>
        <v>489.91</v>
      </c>
      <c r="AH52" s="54">
        <f t="shared" si="2"/>
        <v>427.43999999999994</v>
      </c>
      <c r="AI52" s="55">
        <f t="shared" si="3"/>
        <v>177.34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79">
        <v>0</v>
      </c>
      <c r="N53" s="79">
        <v>30</v>
      </c>
      <c r="O53" s="79">
        <v>9.9</v>
      </c>
      <c r="P53" s="79">
        <v>0</v>
      </c>
      <c r="Q53" s="79">
        <v>0</v>
      </c>
      <c r="R53" s="79">
        <v>0</v>
      </c>
      <c r="S53" s="50">
        <v>0</v>
      </c>
      <c r="T53" s="50">
        <v>0</v>
      </c>
      <c r="U53" s="50">
        <v>0</v>
      </c>
      <c r="V53" s="50">
        <v>0</v>
      </c>
      <c r="W53" s="50">
        <v>40</v>
      </c>
      <c r="X53" s="50">
        <v>40.9</v>
      </c>
      <c r="Y53" s="50">
        <v>35.799999999999997</v>
      </c>
      <c r="Z53" s="50">
        <v>39.9</v>
      </c>
      <c r="AA53" s="50">
        <v>45.2</v>
      </c>
      <c r="AB53" s="50">
        <v>34.700000000000003</v>
      </c>
      <c r="AC53" s="50">
        <v>34.700000000000003</v>
      </c>
      <c r="AD53" s="50">
        <v>29</v>
      </c>
      <c r="AE53" s="50">
        <v>0</v>
      </c>
      <c r="AF53" s="50">
        <v>0</v>
      </c>
      <c r="AG53" s="62">
        <v>60</v>
      </c>
      <c r="AH53" s="54">
        <f t="shared" si="2"/>
        <v>45.2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0</v>
      </c>
      <c r="N54" s="79">
        <v>15</v>
      </c>
      <c r="O54" s="79">
        <v>5.0999999999999996</v>
      </c>
      <c r="P54" s="79">
        <v>0</v>
      </c>
      <c r="Q54" s="79">
        <v>0</v>
      </c>
      <c r="R54" s="79">
        <v>0</v>
      </c>
      <c r="S54" s="50">
        <v>0</v>
      </c>
      <c r="T54" s="50">
        <v>0</v>
      </c>
      <c r="U54" s="50">
        <v>0</v>
      </c>
      <c r="V54" s="73">
        <v>0</v>
      </c>
      <c r="W54" s="73">
        <v>15.9</v>
      </c>
      <c r="X54" s="73">
        <v>22.2</v>
      </c>
      <c r="Y54" s="73">
        <v>14.9</v>
      </c>
      <c r="Z54" s="73">
        <v>18.600000000000001</v>
      </c>
      <c r="AA54" s="73">
        <v>17.100000000000001</v>
      </c>
      <c r="AB54" s="73">
        <v>13.7</v>
      </c>
      <c r="AC54" s="73">
        <v>13.7</v>
      </c>
      <c r="AD54" s="73">
        <v>16</v>
      </c>
      <c r="AE54" s="73">
        <v>0</v>
      </c>
      <c r="AF54" s="73">
        <v>0</v>
      </c>
      <c r="AG54" s="67">
        <v>32</v>
      </c>
      <c r="AH54" s="54">
        <f t="shared" si="2"/>
        <v>22.2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0</v>
      </c>
      <c r="N55" s="81">
        <v>6</v>
      </c>
      <c r="O55" s="81">
        <v>1.9</v>
      </c>
      <c r="P55" s="81">
        <v>0</v>
      </c>
      <c r="Q55" s="81">
        <v>0</v>
      </c>
      <c r="R55" s="81">
        <v>0</v>
      </c>
      <c r="S55" s="50">
        <v>0</v>
      </c>
      <c r="T55" s="50">
        <v>0</v>
      </c>
      <c r="U55" s="50">
        <v>0</v>
      </c>
      <c r="V55" s="80">
        <v>0</v>
      </c>
      <c r="W55" s="80">
        <v>5.8</v>
      </c>
      <c r="X55" s="80">
        <v>8.1</v>
      </c>
      <c r="Y55" s="80">
        <v>5.4</v>
      </c>
      <c r="Z55" s="80">
        <v>6.8</v>
      </c>
      <c r="AA55" s="80">
        <v>6.2</v>
      </c>
      <c r="AB55" s="80">
        <v>5</v>
      </c>
      <c r="AC55" s="80">
        <v>5</v>
      </c>
      <c r="AD55" s="80">
        <v>6</v>
      </c>
      <c r="AE55" s="80">
        <v>0</v>
      </c>
      <c r="AF55" s="80">
        <v>0</v>
      </c>
      <c r="AG55" s="82">
        <v>14</v>
      </c>
      <c r="AH55" s="54">
        <f t="shared" si="2"/>
        <v>8.1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ref="E56" si="8">SUM(E53:E55)</f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ref="J56" si="9">SUM(J53:J55)</f>
        <v>0</v>
      </c>
      <c r="K56" s="72">
        <f t="shared" si="7"/>
        <v>0</v>
      </c>
      <c r="L56" s="72">
        <f t="shared" si="7"/>
        <v>0</v>
      </c>
      <c r="M56" s="72">
        <f t="shared" si="7"/>
        <v>0</v>
      </c>
      <c r="N56" s="72">
        <f t="shared" si="7"/>
        <v>51</v>
      </c>
      <c r="O56" s="72">
        <f t="shared" si="7"/>
        <v>16.899999999999999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61.699999999999996</v>
      </c>
      <c r="X56" s="72">
        <f t="shared" si="7"/>
        <v>71.199999999999989</v>
      </c>
      <c r="Y56" s="72">
        <f t="shared" si="7"/>
        <v>56.099999999999994</v>
      </c>
      <c r="Z56" s="72">
        <f t="shared" si="7"/>
        <v>65.3</v>
      </c>
      <c r="AA56" s="72">
        <f t="shared" si="7"/>
        <v>68.5</v>
      </c>
      <c r="AB56" s="72">
        <f t="shared" si="7"/>
        <v>53.400000000000006</v>
      </c>
      <c r="AC56" s="72">
        <f t="shared" si="7"/>
        <v>53.400000000000006</v>
      </c>
      <c r="AD56" s="72">
        <f t="shared" si="7"/>
        <v>51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71.199999999999989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46.1</v>
      </c>
      <c r="C57" s="50">
        <v>43.7</v>
      </c>
      <c r="D57" s="50">
        <v>54</v>
      </c>
      <c r="E57" s="50">
        <v>60</v>
      </c>
      <c r="F57" s="50">
        <v>62</v>
      </c>
      <c r="G57" s="50">
        <v>55</v>
      </c>
      <c r="H57" s="50">
        <v>63.1</v>
      </c>
      <c r="I57" s="50">
        <v>52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2"/>
      <c r="AH57" s="54">
        <f t="shared" si="2"/>
        <v>63.1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114.9</v>
      </c>
      <c r="C59" s="73">
        <v>101</v>
      </c>
      <c r="D59" s="73">
        <v>85.1</v>
      </c>
      <c r="E59" s="73">
        <v>91</v>
      </c>
      <c r="F59" s="73">
        <v>95</v>
      </c>
      <c r="G59" s="73">
        <v>120</v>
      </c>
      <c r="H59" s="50">
        <v>126</v>
      </c>
      <c r="I59" s="50">
        <v>188</v>
      </c>
      <c r="J59" s="50">
        <v>189</v>
      </c>
      <c r="K59" s="50">
        <v>181</v>
      </c>
      <c r="L59" s="50">
        <v>118.4</v>
      </c>
      <c r="M59" s="73">
        <v>122</v>
      </c>
      <c r="N59" s="73">
        <v>220</v>
      </c>
      <c r="O59" s="73">
        <v>210</v>
      </c>
      <c r="P59" s="73">
        <v>220</v>
      </c>
      <c r="Q59" s="73">
        <v>238</v>
      </c>
      <c r="R59" s="73">
        <v>220</v>
      </c>
      <c r="S59" s="73">
        <v>200</v>
      </c>
      <c r="T59" s="73">
        <v>285</v>
      </c>
      <c r="U59" s="73">
        <v>316.5</v>
      </c>
      <c r="V59" s="73">
        <v>315</v>
      </c>
      <c r="W59" s="73">
        <v>240</v>
      </c>
      <c r="X59" s="84">
        <v>137</v>
      </c>
      <c r="Y59" s="84">
        <v>66</v>
      </c>
      <c r="Z59" s="84">
        <v>177</v>
      </c>
      <c r="AA59" s="84">
        <v>129.4</v>
      </c>
      <c r="AB59" s="84">
        <v>246</v>
      </c>
      <c r="AC59" s="84">
        <v>245</v>
      </c>
      <c r="AD59" s="73">
        <v>225</v>
      </c>
      <c r="AE59" s="73">
        <v>200</v>
      </c>
      <c r="AF59" s="73">
        <v>125</v>
      </c>
      <c r="AG59" s="85"/>
      <c r="AH59" s="54">
        <f t="shared" si="2"/>
        <v>316.5</v>
      </c>
      <c r="AI59" s="55">
        <f t="shared" si="3"/>
        <v>66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40</v>
      </c>
      <c r="L60" s="58">
        <v>55</v>
      </c>
      <c r="M60" s="73">
        <v>60</v>
      </c>
      <c r="N60" s="73">
        <v>42</v>
      </c>
      <c r="O60" s="73">
        <v>48</v>
      </c>
      <c r="P60" s="73">
        <v>43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45</v>
      </c>
      <c r="W60" s="73">
        <v>45</v>
      </c>
      <c r="X60" s="73">
        <v>45</v>
      </c>
      <c r="Y60" s="73">
        <v>45</v>
      </c>
      <c r="Z60" s="73">
        <v>45</v>
      </c>
      <c r="AA60" s="73">
        <v>45</v>
      </c>
      <c r="AB60" s="73">
        <v>45</v>
      </c>
      <c r="AC60" s="73">
        <v>45</v>
      </c>
      <c r="AD60" s="73">
        <v>42</v>
      </c>
      <c r="AE60" s="73">
        <v>41</v>
      </c>
      <c r="AF60" s="58">
        <v>0</v>
      </c>
      <c r="AG60" s="85"/>
      <c r="AH60" s="54">
        <f t="shared" si="2"/>
        <v>60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75</v>
      </c>
      <c r="Y61" s="50">
        <v>60.3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161</v>
      </c>
      <c r="C68" s="72">
        <f>SUM(C57:C67)</f>
        <v>144.69999999999999</v>
      </c>
      <c r="D68" s="72">
        <f t="shared" ref="D68:AF68" si="10">SUM(D57:D67)</f>
        <v>139.1</v>
      </c>
      <c r="E68" s="72">
        <f t="shared" si="10"/>
        <v>151</v>
      </c>
      <c r="F68" s="72">
        <f t="shared" si="10"/>
        <v>157</v>
      </c>
      <c r="G68" s="72">
        <f t="shared" si="10"/>
        <v>175</v>
      </c>
      <c r="H68" s="72">
        <f t="shared" si="10"/>
        <v>189.1</v>
      </c>
      <c r="I68" s="72">
        <f t="shared" si="10"/>
        <v>240</v>
      </c>
      <c r="J68" s="72">
        <f t="shared" si="10"/>
        <v>189</v>
      </c>
      <c r="K68" s="72">
        <f>SUM(K57:K67)</f>
        <v>221</v>
      </c>
      <c r="L68" s="72">
        <f t="shared" si="10"/>
        <v>173.4</v>
      </c>
      <c r="M68" s="72">
        <f t="shared" si="10"/>
        <v>182</v>
      </c>
      <c r="N68" s="72">
        <f t="shared" si="10"/>
        <v>262</v>
      </c>
      <c r="O68" s="72">
        <f t="shared" si="10"/>
        <v>258</v>
      </c>
      <c r="P68" s="72">
        <f t="shared" si="10"/>
        <v>263</v>
      </c>
      <c r="Q68" s="72">
        <f t="shared" si="10"/>
        <v>238</v>
      </c>
      <c r="R68" s="72">
        <f t="shared" si="10"/>
        <v>220</v>
      </c>
      <c r="S68" s="72">
        <f t="shared" si="10"/>
        <v>200</v>
      </c>
      <c r="T68" s="72">
        <f t="shared" si="10"/>
        <v>285</v>
      </c>
      <c r="U68" s="72">
        <f t="shared" si="10"/>
        <v>316.5</v>
      </c>
      <c r="V68" s="72">
        <f t="shared" si="10"/>
        <v>360</v>
      </c>
      <c r="W68" s="72">
        <f t="shared" si="10"/>
        <v>285</v>
      </c>
      <c r="X68" s="72">
        <f t="shared" si="10"/>
        <v>257</v>
      </c>
      <c r="Y68" s="72">
        <f t="shared" si="10"/>
        <v>171.3</v>
      </c>
      <c r="Z68" s="72">
        <f t="shared" si="10"/>
        <v>222</v>
      </c>
      <c r="AA68" s="72">
        <f t="shared" si="10"/>
        <v>174.4</v>
      </c>
      <c r="AB68" s="72">
        <f t="shared" si="10"/>
        <v>291</v>
      </c>
      <c r="AC68" s="72">
        <f t="shared" si="10"/>
        <v>290</v>
      </c>
      <c r="AD68" s="72">
        <f t="shared" si="10"/>
        <v>267</v>
      </c>
      <c r="AE68" s="72">
        <f t="shared" si="10"/>
        <v>241</v>
      </c>
      <c r="AF68" s="72">
        <f t="shared" si="10"/>
        <v>125</v>
      </c>
      <c r="AG68" s="78">
        <f>SUM(AG57:AG67)</f>
        <v>0</v>
      </c>
      <c r="AH68" s="54">
        <f t="shared" si="2"/>
        <v>360</v>
      </c>
      <c r="AI68" s="55">
        <f t="shared" si="3"/>
        <v>125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889.74</v>
      </c>
      <c r="C73" s="89">
        <f>C68+C56+C52+C38+C72</f>
        <v>885.34</v>
      </c>
      <c r="D73" s="89">
        <f t="shared" ref="D73:AG73" si="12">D68+D56+D52+D38+D72</f>
        <v>838.34</v>
      </c>
      <c r="E73" s="89">
        <f t="shared" si="12"/>
        <v>817.44</v>
      </c>
      <c r="F73" s="89">
        <f t="shared" si="12"/>
        <v>823.44</v>
      </c>
      <c r="G73" s="89">
        <f t="shared" si="12"/>
        <v>876.44</v>
      </c>
      <c r="H73" s="89">
        <f t="shared" si="12"/>
        <v>978.54000000000008</v>
      </c>
      <c r="I73" s="89">
        <f t="shared" si="12"/>
        <v>1097.44</v>
      </c>
      <c r="J73" s="89">
        <f t="shared" si="12"/>
        <v>1162.4399999999998</v>
      </c>
      <c r="K73" s="89">
        <f t="shared" si="12"/>
        <v>1221.4399999999998</v>
      </c>
      <c r="L73" s="89">
        <f t="shared" si="12"/>
        <v>1310.8400000000001</v>
      </c>
      <c r="M73" s="89">
        <f t="shared" si="12"/>
        <v>1347.54</v>
      </c>
      <c r="N73" s="89">
        <f t="shared" si="12"/>
        <v>1348.04</v>
      </c>
      <c r="O73" s="89">
        <f t="shared" si="12"/>
        <v>1256.1399999999999</v>
      </c>
      <c r="P73" s="89">
        <f t="shared" si="12"/>
        <v>1179.54</v>
      </c>
      <c r="Q73" s="89">
        <f t="shared" si="12"/>
        <v>1104.24</v>
      </c>
      <c r="R73" s="89">
        <f t="shared" si="12"/>
        <v>1056.1399999999999</v>
      </c>
      <c r="S73" s="89">
        <f t="shared" si="12"/>
        <v>1066.1399999999999</v>
      </c>
      <c r="T73" s="89">
        <f t="shared" si="12"/>
        <v>1066.24</v>
      </c>
      <c r="U73" s="89">
        <f t="shared" si="12"/>
        <v>1112.6399999999999</v>
      </c>
      <c r="V73" s="89">
        <f t="shared" si="12"/>
        <v>1201.1399999999999</v>
      </c>
      <c r="W73" s="89">
        <f t="shared" si="12"/>
        <v>1310.2399999999998</v>
      </c>
      <c r="X73" s="89">
        <f t="shared" si="12"/>
        <v>1436.3400000000001</v>
      </c>
      <c r="Y73" s="89">
        <f t="shared" si="12"/>
        <v>1447.24</v>
      </c>
      <c r="Z73" s="89">
        <f t="shared" si="12"/>
        <v>1432.8400000000001</v>
      </c>
      <c r="AA73" s="89">
        <f t="shared" si="12"/>
        <v>1405.54</v>
      </c>
      <c r="AB73" s="89">
        <f t="shared" si="12"/>
        <v>1306.6399999999999</v>
      </c>
      <c r="AC73" s="89">
        <f t="shared" si="12"/>
        <v>1283.1399999999999</v>
      </c>
      <c r="AD73" s="89">
        <f t="shared" si="12"/>
        <v>1227.74</v>
      </c>
      <c r="AE73" s="89">
        <f t="shared" si="12"/>
        <v>1034.24</v>
      </c>
      <c r="AF73" s="89">
        <f t="shared" si="12"/>
        <v>900.74</v>
      </c>
      <c r="AG73" s="89">
        <f t="shared" si="12"/>
        <v>2144.14</v>
      </c>
      <c r="AH73" s="54">
        <f t="shared" si="2"/>
        <v>1447.24</v>
      </c>
      <c r="AI73" s="55">
        <f t="shared" si="3"/>
        <v>817.44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889.74</v>
      </c>
      <c r="C75" s="89">
        <f>C73+C74</f>
        <v>885.34</v>
      </c>
      <c r="D75" s="89">
        <f t="shared" ref="D75:AF75" si="13">D72+D68+D56+D52+D38+D74</f>
        <v>838.34</v>
      </c>
      <c r="E75" s="89">
        <f t="shared" si="13"/>
        <v>817.44</v>
      </c>
      <c r="F75" s="89">
        <f t="shared" si="13"/>
        <v>823.44</v>
      </c>
      <c r="G75" s="89">
        <f t="shared" si="13"/>
        <v>876.44</v>
      </c>
      <c r="H75" s="89">
        <f t="shared" si="13"/>
        <v>978.54000000000008</v>
      </c>
      <c r="I75" s="89">
        <f t="shared" si="13"/>
        <v>1097.44</v>
      </c>
      <c r="J75" s="89">
        <f t="shared" si="13"/>
        <v>1162.4399999999998</v>
      </c>
      <c r="K75" s="89">
        <f t="shared" si="13"/>
        <v>1221.4399999999998</v>
      </c>
      <c r="L75" s="89">
        <f t="shared" si="13"/>
        <v>1310.8400000000001</v>
      </c>
      <c r="M75" s="89">
        <f t="shared" si="13"/>
        <v>1347.54</v>
      </c>
      <c r="N75" s="89">
        <f t="shared" si="13"/>
        <v>1348.04</v>
      </c>
      <c r="O75" s="89">
        <f t="shared" si="13"/>
        <v>1256.1399999999999</v>
      </c>
      <c r="P75" s="89">
        <f t="shared" si="13"/>
        <v>1179.54</v>
      </c>
      <c r="Q75" s="89">
        <f t="shared" si="13"/>
        <v>1104.24</v>
      </c>
      <c r="R75" s="89">
        <f t="shared" si="13"/>
        <v>1056.1399999999999</v>
      </c>
      <c r="S75" s="89">
        <f t="shared" si="13"/>
        <v>1066.1399999999999</v>
      </c>
      <c r="T75" s="89">
        <f t="shared" si="13"/>
        <v>1066.24</v>
      </c>
      <c r="U75" s="89">
        <f t="shared" si="13"/>
        <v>1112.6399999999999</v>
      </c>
      <c r="V75" s="89">
        <f t="shared" si="13"/>
        <v>1201.1399999999999</v>
      </c>
      <c r="W75" s="89">
        <f t="shared" si="13"/>
        <v>1310.2399999999998</v>
      </c>
      <c r="X75" s="89">
        <f t="shared" si="13"/>
        <v>1436.3400000000001</v>
      </c>
      <c r="Y75" s="89">
        <f t="shared" si="13"/>
        <v>1447.24</v>
      </c>
      <c r="Z75" s="89">
        <f t="shared" si="13"/>
        <v>1432.8400000000001</v>
      </c>
      <c r="AA75" s="89">
        <f t="shared" si="13"/>
        <v>1405.54</v>
      </c>
      <c r="AB75" s="89">
        <f t="shared" si="13"/>
        <v>1306.6399999999999</v>
      </c>
      <c r="AC75" s="89">
        <f t="shared" si="13"/>
        <v>1283.1399999999999</v>
      </c>
      <c r="AD75" s="89">
        <f t="shared" si="13"/>
        <v>1227.74</v>
      </c>
      <c r="AE75" s="89">
        <f t="shared" si="13"/>
        <v>1034.24</v>
      </c>
      <c r="AF75" s="89">
        <f t="shared" si="13"/>
        <v>900.74</v>
      </c>
      <c r="AG75" s="78">
        <f>AG72+AG68+AG56+AG52+AG38+AG74</f>
        <v>2144.14</v>
      </c>
      <c r="AH75" s="54">
        <f t="shared" si="2"/>
        <v>1447.24</v>
      </c>
      <c r="AI75" s="55">
        <f t="shared" si="3"/>
        <v>817.44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1779.48</v>
      </c>
      <c r="C83" s="72">
        <f t="shared" ref="C83:AG83" si="22">SUM(C70:C82)</f>
        <v>1770.68</v>
      </c>
      <c r="D83" s="72">
        <f t="shared" si="22"/>
        <v>1676.68</v>
      </c>
      <c r="E83" s="72">
        <f t="shared" si="22"/>
        <v>1634.88</v>
      </c>
      <c r="F83" s="72">
        <f t="shared" si="22"/>
        <v>1646.88</v>
      </c>
      <c r="G83" s="72">
        <f t="shared" si="22"/>
        <v>1752.88</v>
      </c>
      <c r="H83" s="72">
        <f t="shared" si="22"/>
        <v>1957.0800000000002</v>
      </c>
      <c r="I83" s="72">
        <f t="shared" si="22"/>
        <v>2194.88</v>
      </c>
      <c r="J83" s="72">
        <f t="shared" si="22"/>
        <v>2324.8799999999997</v>
      </c>
      <c r="K83" s="72">
        <f t="shared" si="22"/>
        <v>2442.8799999999997</v>
      </c>
      <c r="L83" s="72">
        <f t="shared" si="22"/>
        <v>2621.6800000000003</v>
      </c>
      <c r="M83" s="72">
        <f t="shared" si="22"/>
        <v>2695.08</v>
      </c>
      <c r="N83" s="72">
        <f t="shared" si="22"/>
        <v>2696.08</v>
      </c>
      <c r="O83" s="72">
        <f t="shared" si="22"/>
        <v>2512.2799999999997</v>
      </c>
      <c r="P83" s="72">
        <f t="shared" si="22"/>
        <v>2359.08</v>
      </c>
      <c r="Q83" s="72">
        <f t="shared" si="22"/>
        <v>2208.48</v>
      </c>
      <c r="R83" s="72">
        <f t="shared" si="22"/>
        <v>2112.2799999999997</v>
      </c>
      <c r="S83" s="72">
        <f t="shared" si="22"/>
        <v>2132.2799999999997</v>
      </c>
      <c r="T83" s="72">
        <f t="shared" si="22"/>
        <v>2132.48</v>
      </c>
      <c r="U83" s="72">
        <f t="shared" si="22"/>
        <v>2225.2799999999997</v>
      </c>
      <c r="V83" s="72">
        <f t="shared" si="22"/>
        <v>2402.2799999999997</v>
      </c>
      <c r="W83" s="72">
        <f t="shared" si="22"/>
        <v>2620.4799999999996</v>
      </c>
      <c r="X83" s="72">
        <f t="shared" si="22"/>
        <v>2872.6800000000003</v>
      </c>
      <c r="Y83" s="72">
        <f t="shared" si="22"/>
        <v>2894.48</v>
      </c>
      <c r="Z83" s="72">
        <f t="shared" si="22"/>
        <v>2865.6800000000003</v>
      </c>
      <c r="AA83" s="72">
        <f t="shared" si="22"/>
        <v>2811.08</v>
      </c>
      <c r="AB83" s="72">
        <f t="shared" si="22"/>
        <v>2613.2799999999997</v>
      </c>
      <c r="AC83" s="72">
        <f t="shared" si="22"/>
        <v>2566.2799999999997</v>
      </c>
      <c r="AD83" s="72">
        <f t="shared" si="22"/>
        <v>2455.48</v>
      </c>
      <c r="AE83" s="72">
        <f t="shared" si="22"/>
        <v>2068.48</v>
      </c>
      <c r="AF83" s="72">
        <f t="shared" si="22"/>
        <v>1801.48</v>
      </c>
      <c r="AG83" s="78">
        <f t="shared" si="22"/>
        <v>4360.08</v>
      </c>
      <c r="AH83" s="54">
        <f t="shared" si="15"/>
        <v>2894.48</v>
      </c>
      <c r="AI83" s="55">
        <f t="shared" si="16"/>
        <v>1634.88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50.040999999999997</v>
      </c>
      <c r="C84" s="95">
        <v>49.984000000000002</v>
      </c>
      <c r="D84" s="95">
        <v>49.978999999999999</v>
      </c>
      <c r="E84" s="95">
        <v>49.906999999999996</v>
      </c>
      <c r="F84" s="95">
        <v>49.906999999999996</v>
      </c>
      <c r="G84" s="95">
        <v>50</v>
      </c>
      <c r="H84" s="95">
        <v>50.048999999999999</v>
      </c>
      <c r="I84" s="95">
        <v>50.027000000000001</v>
      </c>
      <c r="J84" s="95">
        <v>49.997999999999998</v>
      </c>
      <c r="K84" s="95">
        <v>50.072000000000003</v>
      </c>
      <c r="L84" s="95">
        <v>50.031999999999996</v>
      </c>
      <c r="M84" s="95">
        <v>49.956000000000003</v>
      </c>
      <c r="N84" s="95">
        <v>49.883699999999997</v>
      </c>
      <c r="O84" s="95">
        <v>49.98</v>
      </c>
      <c r="P84" s="95">
        <v>50.03</v>
      </c>
      <c r="Q84" s="95">
        <v>49.951999999999998</v>
      </c>
      <c r="R84" s="95">
        <v>49.975999999999999</v>
      </c>
      <c r="S84" s="95">
        <v>50.124000000000002</v>
      </c>
      <c r="T84" s="95">
        <v>49.984000000000002</v>
      </c>
      <c r="U84" s="95">
        <v>49.976999999999997</v>
      </c>
      <c r="V84" s="95">
        <v>49.968000000000004</v>
      </c>
      <c r="W84" s="95">
        <v>50.064999999999998</v>
      </c>
      <c r="X84" s="95">
        <v>49.993000000000002</v>
      </c>
      <c r="Y84" s="95">
        <v>50.075000000000003</v>
      </c>
      <c r="Z84" s="95">
        <v>50.01</v>
      </c>
      <c r="AA84" s="95">
        <v>49.893000000000001</v>
      </c>
      <c r="AB84" s="95">
        <v>50.031999999999996</v>
      </c>
      <c r="AC84" s="95">
        <v>49.997999999999998</v>
      </c>
      <c r="AD84" s="95">
        <v>50.1</v>
      </c>
      <c r="AE84" s="95">
        <v>49.94</v>
      </c>
      <c r="AF84" s="95">
        <v>49.99</v>
      </c>
      <c r="AG84" s="96"/>
      <c r="AH84" s="54">
        <f t="shared" si="15"/>
        <v>50.124000000000002</v>
      </c>
      <c r="AI84" s="55">
        <f t="shared" si="16"/>
        <v>49.883699999999997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125.5</v>
      </c>
      <c r="C85" s="73">
        <v>125.8</v>
      </c>
      <c r="D85" s="73">
        <v>125.3</v>
      </c>
      <c r="E85" s="73">
        <v>125.5</v>
      </c>
      <c r="F85" s="73">
        <v>125.2</v>
      </c>
      <c r="G85" s="73">
        <v>123.6</v>
      </c>
      <c r="H85" s="73">
        <v>122.7</v>
      </c>
      <c r="I85" s="73">
        <v>123.2</v>
      </c>
      <c r="J85" s="73">
        <v>123.3</v>
      </c>
      <c r="K85" s="73">
        <v>123.3</v>
      </c>
      <c r="L85" s="73">
        <v>124.5</v>
      </c>
      <c r="M85" s="73">
        <v>123.6</v>
      </c>
      <c r="N85" s="73">
        <v>122.1</v>
      </c>
      <c r="O85" s="73">
        <v>123.8</v>
      </c>
      <c r="P85" s="73">
        <v>123.7</v>
      </c>
      <c r="Q85" s="73">
        <v>125</v>
      </c>
      <c r="R85" s="73">
        <v>123.8</v>
      </c>
      <c r="S85" s="73">
        <v>125.2</v>
      </c>
      <c r="T85" s="73">
        <v>124.9</v>
      </c>
      <c r="U85" s="98">
        <v>124</v>
      </c>
      <c r="V85" s="98">
        <v>123.6</v>
      </c>
      <c r="W85" s="98">
        <v>126.2</v>
      </c>
      <c r="X85" s="98">
        <v>125.8</v>
      </c>
      <c r="Y85" s="98">
        <v>125.5</v>
      </c>
      <c r="Z85" s="98">
        <v>125.1</v>
      </c>
      <c r="AA85" s="98">
        <v>123.9</v>
      </c>
      <c r="AB85" s="73">
        <v>125.9</v>
      </c>
      <c r="AC85" s="73">
        <v>125.6</v>
      </c>
      <c r="AD85" s="73">
        <v>126.7</v>
      </c>
      <c r="AE85" s="73">
        <v>127</v>
      </c>
      <c r="AF85" s="73">
        <v>127</v>
      </c>
      <c r="AG85" s="99"/>
      <c r="AH85" s="54">
        <f t="shared" si="15"/>
        <v>127</v>
      </c>
      <c r="AI85" s="55">
        <f t="shared" si="16"/>
        <v>122.1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128.30000000000001</v>
      </c>
      <c r="C86" s="73">
        <v>128.5</v>
      </c>
      <c r="D86" s="73">
        <v>128.30000000000001</v>
      </c>
      <c r="E86" s="73">
        <v>128.19999999999999</v>
      </c>
      <c r="F86" s="73">
        <v>128</v>
      </c>
      <c r="G86" s="73">
        <v>128.19999999999999</v>
      </c>
      <c r="H86" s="73">
        <v>125.6</v>
      </c>
      <c r="I86" s="73">
        <v>126.8</v>
      </c>
      <c r="J86" s="73">
        <v>127.5</v>
      </c>
      <c r="K86" s="73">
        <v>127</v>
      </c>
      <c r="L86" s="73">
        <v>127.7</v>
      </c>
      <c r="M86" s="73">
        <v>126.8</v>
      </c>
      <c r="N86" s="73">
        <v>125.2</v>
      </c>
      <c r="O86" s="73">
        <v>126.1</v>
      </c>
      <c r="P86" s="73">
        <v>126.9</v>
      </c>
      <c r="Q86" s="73">
        <v>127.9</v>
      </c>
      <c r="R86" s="73">
        <v>127.1</v>
      </c>
      <c r="S86" s="73">
        <v>128.80000000000001</v>
      </c>
      <c r="T86" s="73">
        <v>128.4</v>
      </c>
      <c r="U86" s="98">
        <v>127.7</v>
      </c>
      <c r="V86" s="98">
        <v>127.1</v>
      </c>
      <c r="W86" s="98">
        <v>127.6</v>
      </c>
      <c r="X86" s="98">
        <v>126.9</v>
      </c>
      <c r="Y86" s="98">
        <v>126.8</v>
      </c>
      <c r="Z86" s="98">
        <v>126.6</v>
      </c>
      <c r="AA86" s="98">
        <v>126</v>
      </c>
      <c r="AB86" s="73">
        <v>127.3</v>
      </c>
      <c r="AC86" s="73">
        <v>127.3</v>
      </c>
      <c r="AD86" s="73">
        <v>130</v>
      </c>
      <c r="AE86" s="73">
        <v>130</v>
      </c>
      <c r="AF86" s="73">
        <v>130.5</v>
      </c>
      <c r="AG86" s="99"/>
      <c r="AH86" s="54">
        <f t="shared" si="15"/>
        <v>130.5</v>
      </c>
      <c r="AI86" s="55">
        <f t="shared" si="16"/>
        <v>125.2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98"/>
      <c r="Y87" s="98"/>
      <c r="Z87" s="98"/>
      <c r="AA87" s="98"/>
      <c r="AB87" s="73"/>
      <c r="AC87" s="73"/>
      <c r="AD87" s="73"/>
      <c r="AE87" s="73"/>
      <c r="AF87" s="73"/>
      <c r="AG87" s="99"/>
      <c r="AH87" s="54">
        <f t="shared" si="15"/>
        <v>0</v>
      </c>
      <c r="AI87" s="55">
        <f t="shared" si="16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98"/>
      <c r="Y88" s="98"/>
      <c r="Z88" s="98"/>
      <c r="AA88" s="98"/>
      <c r="AB88" s="73"/>
      <c r="AC88" s="73"/>
      <c r="AD88" s="73"/>
      <c r="AE88" s="73"/>
      <c r="AF88" s="73"/>
      <c r="AG88" s="99"/>
      <c r="AH88" s="54">
        <f t="shared" si="15"/>
        <v>0</v>
      </c>
      <c r="AI88" s="55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131.69999999999999</v>
      </c>
      <c r="C89" s="101">
        <v>132.5</v>
      </c>
      <c r="D89" s="101">
        <v>132.30000000000001</v>
      </c>
      <c r="E89" s="101">
        <v>131</v>
      </c>
      <c r="F89" s="101">
        <v>133.6</v>
      </c>
      <c r="G89" s="101">
        <v>132.6</v>
      </c>
      <c r="H89" s="101">
        <v>129</v>
      </c>
      <c r="I89" s="101">
        <v>132.1</v>
      </c>
      <c r="J89" s="101">
        <v>132.4</v>
      </c>
      <c r="K89" s="101">
        <v>134.1</v>
      </c>
      <c r="L89" s="101">
        <v>133.9</v>
      </c>
      <c r="M89" s="101">
        <v>132.80000000000001</v>
      </c>
      <c r="N89" s="101">
        <v>130.4</v>
      </c>
      <c r="O89" s="101">
        <v>135.4</v>
      </c>
      <c r="P89" s="101">
        <v>132.9</v>
      </c>
      <c r="Q89" s="101">
        <v>132.69999999999999</v>
      </c>
      <c r="R89" s="101">
        <v>129.19999999999999</v>
      </c>
      <c r="S89" s="101">
        <v>133.19999999999999</v>
      </c>
      <c r="T89" s="101">
        <v>130.9</v>
      </c>
      <c r="U89" s="101">
        <v>132.1</v>
      </c>
      <c r="V89" s="101">
        <v>135</v>
      </c>
      <c r="W89" s="101">
        <v>132.80000000000001</v>
      </c>
      <c r="X89" s="98">
        <v>129.9</v>
      </c>
      <c r="Y89" s="98">
        <v>134.5</v>
      </c>
      <c r="Z89" s="98">
        <v>135.69999999999999</v>
      </c>
      <c r="AA89" s="98">
        <v>132.1</v>
      </c>
      <c r="AB89" s="101">
        <v>134.5</v>
      </c>
      <c r="AC89" s="101">
        <v>133.5</v>
      </c>
      <c r="AD89" s="101">
        <v>133</v>
      </c>
      <c r="AE89" s="101">
        <v>133</v>
      </c>
      <c r="AF89" s="101">
        <v>129</v>
      </c>
      <c r="AG89" s="102"/>
      <c r="AH89" s="54">
        <f t="shared" si="15"/>
        <v>135.69999999999999</v>
      </c>
      <c r="AI89" s="55">
        <f t="shared" si="16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140.1</v>
      </c>
      <c r="C90" s="73">
        <v>140.69999999999999</v>
      </c>
      <c r="D90" s="73">
        <v>140.30000000000001</v>
      </c>
      <c r="E90" s="73">
        <v>133.6</v>
      </c>
      <c r="F90" s="73">
        <v>135.6</v>
      </c>
      <c r="G90" s="73">
        <v>133.4</v>
      </c>
      <c r="H90" s="73">
        <v>134.80000000000001</v>
      </c>
      <c r="I90" s="73">
        <v>130.5</v>
      </c>
      <c r="J90" s="73">
        <v>129.4</v>
      </c>
      <c r="K90" s="73">
        <v>132.80000000000001</v>
      </c>
      <c r="L90" s="73">
        <v>132.5</v>
      </c>
      <c r="M90" s="73">
        <v>130.9</v>
      </c>
      <c r="N90" s="73">
        <v>128</v>
      </c>
      <c r="O90" s="73">
        <v>134.19999999999999</v>
      </c>
      <c r="P90" s="73">
        <v>133.19999999999999</v>
      </c>
      <c r="Q90" s="73">
        <v>135.1</v>
      </c>
      <c r="R90" s="73">
        <v>128</v>
      </c>
      <c r="S90" s="73">
        <v>131.4</v>
      </c>
      <c r="T90" s="73">
        <v>129.1</v>
      </c>
      <c r="U90" s="73">
        <v>130.19999999999999</v>
      </c>
      <c r="V90" s="73">
        <v>133</v>
      </c>
      <c r="W90" s="73">
        <v>129.80000000000001</v>
      </c>
      <c r="X90" s="98">
        <v>125</v>
      </c>
      <c r="Y90" s="98">
        <v>132.80000000000001</v>
      </c>
      <c r="Z90" s="98">
        <v>134.4</v>
      </c>
      <c r="AA90" s="98">
        <v>131.80000000000001</v>
      </c>
      <c r="AB90" s="73">
        <v>133</v>
      </c>
      <c r="AC90" s="73">
        <v>132.69999999999999</v>
      </c>
      <c r="AD90" s="73">
        <v>134.6</v>
      </c>
      <c r="AE90" s="73">
        <v>134.6</v>
      </c>
      <c r="AF90" s="73">
        <v>131.5</v>
      </c>
      <c r="AG90" s="99"/>
      <c r="AH90" s="54">
        <f t="shared" si="15"/>
        <v>140.69999999999999</v>
      </c>
      <c r="AI90" s="55">
        <f t="shared" si="16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65.3</v>
      </c>
      <c r="C91" s="103">
        <v>65.400000000000006</v>
      </c>
      <c r="D91" s="103">
        <v>65.400000000000006</v>
      </c>
      <c r="E91" s="103">
        <v>65.400000000000006</v>
      </c>
      <c r="F91" s="103">
        <v>65.2</v>
      </c>
      <c r="G91" s="103">
        <v>65</v>
      </c>
      <c r="H91" s="103">
        <v>64.2</v>
      </c>
      <c r="I91" s="103">
        <v>64.900000000000006</v>
      </c>
      <c r="J91" s="103">
        <v>64.400000000000006</v>
      </c>
      <c r="K91" s="103">
        <v>63.9</v>
      </c>
      <c r="L91" s="103">
        <v>64.8</v>
      </c>
      <c r="M91" s="103">
        <v>64.3</v>
      </c>
      <c r="N91" s="103">
        <v>63.5</v>
      </c>
      <c r="O91" s="103">
        <v>64.099999999999994</v>
      </c>
      <c r="P91" s="103">
        <v>64.400000000000006</v>
      </c>
      <c r="Q91" s="103">
        <v>64.7</v>
      </c>
      <c r="R91" s="103">
        <v>64.3</v>
      </c>
      <c r="S91" s="103">
        <v>65.400000000000006</v>
      </c>
      <c r="T91" s="103">
        <v>65.2</v>
      </c>
      <c r="U91" s="103">
        <v>64.599999999999994</v>
      </c>
      <c r="V91" s="103">
        <v>64.400000000000006</v>
      </c>
      <c r="W91" s="103">
        <v>64.400000000000006</v>
      </c>
      <c r="X91" s="103">
        <v>64</v>
      </c>
      <c r="Y91" s="103">
        <v>64.099999999999994</v>
      </c>
      <c r="Z91" s="103">
        <v>64</v>
      </c>
      <c r="AA91" s="103">
        <v>63.8</v>
      </c>
      <c r="AB91" s="103">
        <v>64</v>
      </c>
      <c r="AC91" s="103">
        <v>64.099999999999994</v>
      </c>
      <c r="AD91" s="103">
        <v>65.599999999999994</v>
      </c>
      <c r="AE91" s="103">
        <v>65.900000000000006</v>
      </c>
      <c r="AF91" s="103">
        <v>66.3</v>
      </c>
      <c r="AG91" s="104"/>
      <c r="AH91" s="54">
        <f t="shared" si="15"/>
        <v>66.3</v>
      </c>
      <c r="AI91" s="55">
        <f t="shared" si="16"/>
        <v>63.5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187.03999999999996</v>
      </c>
      <c r="C93" s="110">
        <f>SUM(C15,C18,C21:C22,C42,C44:C45,C47,C49,C94:C97,C102,C108,C114,C123,C125,C137,C144,C147:C148,C155,C157,C159,C163:C165,C167:C169,C174,C180:C181,C183:C185,C193,C198)</f>
        <v>179.03999999999996</v>
      </c>
      <c r="D93" s="110">
        <f t="shared" ref="D93:AF93" si="23">SUM(D15,D18,D21:D22,D42,D44:D45,D47,D49,D94:D97,D102,D108,D114,D123,D125,D137,D144,D147:D148,D155,D157,D159,D163:D165,D167:D169,D174,D180:D181,D183:D185,D193,D198)</f>
        <v>174.03999999999996</v>
      </c>
      <c r="E93" s="110">
        <f t="shared" si="23"/>
        <v>172.03999999999996</v>
      </c>
      <c r="F93" s="110">
        <f t="shared" si="23"/>
        <v>171.64</v>
      </c>
      <c r="G93" s="109">
        <f t="shared" si="23"/>
        <v>184.32999999999998</v>
      </c>
      <c r="H93" s="109">
        <f t="shared" si="23"/>
        <v>218.23999999999998</v>
      </c>
      <c r="I93" s="109">
        <f t="shared" si="23"/>
        <v>249.53999999999996</v>
      </c>
      <c r="J93" s="109">
        <f t="shared" si="23"/>
        <v>300.34000000000003</v>
      </c>
      <c r="K93" s="109">
        <f t="shared" si="23"/>
        <v>330.44000000000005</v>
      </c>
      <c r="L93" s="109">
        <f t="shared" si="23"/>
        <v>382.24</v>
      </c>
      <c r="M93" s="109">
        <f t="shared" si="23"/>
        <v>394.84000000000003</v>
      </c>
      <c r="N93" s="109">
        <f t="shared" si="23"/>
        <v>410.44000000000005</v>
      </c>
      <c r="O93" s="109">
        <f t="shared" si="23"/>
        <v>397.53999999999996</v>
      </c>
      <c r="P93" s="109">
        <f t="shared" si="23"/>
        <v>364.44000000000005</v>
      </c>
      <c r="Q93" s="109">
        <f t="shared" si="23"/>
        <v>330.44000000000005</v>
      </c>
      <c r="R93" s="109">
        <f t="shared" si="23"/>
        <v>314.44000000000005</v>
      </c>
      <c r="S93" s="109">
        <f t="shared" si="23"/>
        <v>309.74</v>
      </c>
      <c r="T93" s="109">
        <f t="shared" si="23"/>
        <v>313.44</v>
      </c>
      <c r="U93" s="109">
        <f t="shared" si="23"/>
        <v>329.54</v>
      </c>
      <c r="V93" s="109">
        <f t="shared" si="23"/>
        <v>361.04</v>
      </c>
      <c r="W93" s="109">
        <f t="shared" si="23"/>
        <v>416.74</v>
      </c>
      <c r="X93" s="109">
        <f t="shared" si="23"/>
        <v>462.44000000000005</v>
      </c>
      <c r="Y93" s="109">
        <f t="shared" si="23"/>
        <v>471.54</v>
      </c>
      <c r="Z93" s="109">
        <f t="shared" si="23"/>
        <v>459.94000000000005</v>
      </c>
      <c r="AA93" s="109">
        <f t="shared" si="23"/>
        <v>452.34000000000003</v>
      </c>
      <c r="AB93" s="109">
        <f t="shared" si="23"/>
        <v>421.64</v>
      </c>
      <c r="AC93" s="109">
        <f t="shared" si="23"/>
        <v>412.04</v>
      </c>
      <c r="AD93" s="109">
        <f t="shared" si="23"/>
        <v>314.74</v>
      </c>
      <c r="AE93" s="109">
        <f t="shared" si="23"/>
        <v>304.74</v>
      </c>
      <c r="AF93" s="109">
        <f t="shared" si="23"/>
        <v>228.73999999999998</v>
      </c>
      <c r="AG93" s="111"/>
      <c r="AH93" s="54">
        <f>MAX(C93:AF93)</f>
        <v>471.54</v>
      </c>
      <c r="AI93" s="55">
        <f>MIN(C93:AF93)</f>
        <v>171.64</v>
      </c>
    </row>
    <row r="94" spans="1:88" x14ac:dyDescent="0.25">
      <c r="A94" s="112" t="s">
        <v>98</v>
      </c>
      <c r="B94" s="175">
        <v>36.700000000000003</v>
      </c>
      <c r="C94" s="58">
        <v>32.299999999999997</v>
      </c>
      <c r="D94" s="58">
        <v>43.6</v>
      </c>
      <c r="E94" s="58">
        <v>34</v>
      </c>
      <c r="F94" s="58">
        <v>13</v>
      </c>
      <c r="G94" s="114">
        <v>14.89</v>
      </c>
      <c r="H94" s="114">
        <v>28.9</v>
      </c>
      <c r="I94" s="114">
        <v>23.2</v>
      </c>
      <c r="J94" s="114">
        <v>35.5</v>
      </c>
      <c r="K94" s="114">
        <v>49.2</v>
      </c>
      <c r="L94" s="114">
        <v>55</v>
      </c>
      <c r="M94" s="113">
        <v>55</v>
      </c>
      <c r="N94" s="114">
        <v>51</v>
      </c>
      <c r="O94" s="114">
        <v>72.8</v>
      </c>
      <c r="P94" s="114">
        <v>49.9</v>
      </c>
      <c r="Q94" s="114">
        <v>31</v>
      </c>
      <c r="R94" s="114">
        <v>16</v>
      </c>
      <c r="S94" s="114">
        <v>17.8</v>
      </c>
      <c r="T94" s="114">
        <v>20.7</v>
      </c>
      <c r="U94" s="113">
        <v>34.4</v>
      </c>
      <c r="V94" s="113">
        <v>50.6</v>
      </c>
      <c r="W94" s="113">
        <v>58.7</v>
      </c>
      <c r="X94" s="114">
        <v>48.3</v>
      </c>
      <c r="Y94" s="114">
        <v>43.9</v>
      </c>
      <c r="Z94" s="114">
        <v>57.4</v>
      </c>
      <c r="AA94" s="114">
        <v>54.4</v>
      </c>
      <c r="AB94" s="113">
        <v>56.1</v>
      </c>
      <c r="AC94" s="113">
        <v>53.8</v>
      </c>
      <c r="AD94" s="113">
        <v>40</v>
      </c>
      <c r="AE94" s="113">
        <v>41</v>
      </c>
      <c r="AF94" s="113">
        <v>7</v>
      </c>
      <c r="AG94" s="115">
        <v>75</v>
      </c>
      <c r="AH94" s="54">
        <f t="shared" ref="AH94:AH99" si="24">IF(ABS(MAX(C94:AF94))&gt;ABS(MIN(C94:AF94)),MAX(C94:AF94),MIN(C94:AF94))</f>
        <v>72.8</v>
      </c>
      <c r="AI94" s="116">
        <f t="shared" ref="AI94:AI99" si="25">INDEX($C$9:$AF$9,1,MATCH(AH94,C94:AF94,0))</f>
        <v>0.41666666666666702</v>
      </c>
    </row>
    <row r="95" spans="1:88" x14ac:dyDescent="0.25">
      <c r="A95" s="117" t="s">
        <v>99</v>
      </c>
      <c r="B95" s="176">
        <v>-29.4</v>
      </c>
      <c r="C95" s="60">
        <v>-30</v>
      </c>
      <c r="D95" s="60">
        <v>-42.5</v>
      </c>
      <c r="E95" s="60">
        <v>-35</v>
      </c>
      <c r="F95" s="60">
        <v>-17</v>
      </c>
      <c r="G95" s="60">
        <v>-13</v>
      </c>
      <c r="H95" s="60">
        <v>-12</v>
      </c>
      <c r="I95" s="60">
        <v>6</v>
      </c>
      <c r="J95" s="60">
        <v>-22</v>
      </c>
      <c r="K95" s="60">
        <v>-13.6</v>
      </c>
      <c r="L95" s="60">
        <v>16.2</v>
      </c>
      <c r="M95" s="60">
        <v>23</v>
      </c>
      <c r="N95" s="60">
        <v>21</v>
      </c>
      <c r="O95" s="60">
        <f>2.1+1.3</f>
        <v>3.4000000000000004</v>
      </c>
      <c r="P95" s="60">
        <f>7.4+9.4</f>
        <v>16.8</v>
      </c>
      <c r="Q95" s="60">
        <v>-3</v>
      </c>
      <c r="R95" s="60">
        <v>-9</v>
      </c>
      <c r="S95" s="60">
        <v>-9.4</v>
      </c>
      <c r="T95" s="60">
        <v>-5.3</v>
      </c>
      <c r="U95" s="60">
        <v>0</v>
      </c>
      <c r="V95" s="60">
        <v>4.0999999999999996</v>
      </c>
      <c r="W95" s="60">
        <v>22.5</v>
      </c>
      <c r="X95" s="60">
        <v>54</v>
      </c>
      <c r="Y95" s="60">
        <v>60</v>
      </c>
      <c r="Z95" s="60">
        <v>44</v>
      </c>
      <c r="AA95" s="60">
        <v>36</v>
      </c>
      <c r="AB95" s="73">
        <v>25</v>
      </c>
      <c r="AC95" s="73">
        <v>22</v>
      </c>
      <c r="AD95" s="73">
        <v>-14</v>
      </c>
      <c r="AE95" s="73">
        <v>-17</v>
      </c>
      <c r="AF95" s="73">
        <v>-43</v>
      </c>
      <c r="AG95" s="115">
        <v>240</v>
      </c>
      <c r="AH95" s="54">
        <f t="shared" si="24"/>
        <v>60</v>
      </c>
      <c r="AI95" s="116">
        <f t="shared" si="25"/>
        <v>0.77083333333333337</v>
      </c>
    </row>
    <row r="96" spans="1:88" x14ac:dyDescent="0.25">
      <c r="A96" s="117" t="s">
        <v>100</v>
      </c>
      <c r="B96" s="176">
        <v>-2.8</v>
      </c>
      <c r="C96" s="60">
        <v>-3</v>
      </c>
      <c r="D96" s="60">
        <v>-5.4</v>
      </c>
      <c r="E96" s="60">
        <v>-4.0999999999999996</v>
      </c>
      <c r="F96" s="60">
        <v>-1.1000000000000001</v>
      </c>
      <c r="G96" s="60">
        <v>0</v>
      </c>
      <c r="H96" s="60">
        <v>2.5</v>
      </c>
      <c r="I96" s="60">
        <v>7.5</v>
      </c>
      <c r="J96" s="60">
        <v>3.7</v>
      </c>
      <c r="K96" s="60">
        <v>7.7</v>
      </c>
      <c r="L96" s="60">
        <v>21.5</v>
      </c>
      <c r="M96" s="60">
        <v>21.7</v>
      </c>
      <c r="N96" s="60">
        <v>33</v>
      </c>
      <c r="O96" s="60">
        <v>24.3</v>
      </c>
      <c r="P96" s="60">
        <v>14.2</v>
      </c>
      <c r="Q96" s="60">
        <v>10</v>
      </c>
      <c r="R96" s="60">
        <v>7</v>
      </c>
      <c r="S96" s="60">
        <v>5.3</v>
      </c>
      <c r="T96" s="60">
        <v>8.6</v>
      </c>
      <c r="U96" s="60">
        <v>8.6999999999999993</v>
      </c>
      <c r="V96" s="60">
        <v>10.3</v>
      </c>
      <c r="W96" s="60">
        <v>49.2</v>
      </c>
      <c r="X96" s="60">
        <v>50</v>
      </c>
      <c r="Y96" s="60">
        <v>54.2</v>
      </c>
      <c r="Z96" s="60">
        <v>49.8</v>
      </c>
      <c r="AA96" s="60">
        <v>55.9</v>
      </c>
      <c r="AB96" s="73">
        <v>46.2</v>
      </c>
      <c r="AC96" s="73">
        <v>46.3</v>
      </c>
      <c r="AD96" s="73">
        <v>10</v>
      </c>
      <c r="AE96" s="73">
        <v>11</v>
      </c>
      <c r="AF96" s="73">
        <v>-3</v>
      </c>
      <c r="AG96" s="115">
        <v>60</v>
      </c>
      <c r="AH96" s="54">
        <f t="shared" si="24"/>
        <v>55.9</v>
      </c>
      <c r="AI96" s="116">
        <f t="shared" si="25"/>
        <v>0.8125</v>
      </c>
    </row>
    <row r="97" spans="1:37" x14ac:dyDescent="0.25">
      <c r="A97" s="118" t="s">
        <v>101</v>
      </c>
      <c r="B97" s="177">
        <v>-9.9</v>
      </c>
      <c r="C97" s="63">
        <v>-12.7</v>
      </c>
      <c r="D97" s="63">
        <v>-14.1</v>
      </c>
      <c r="E97" s="63">
        <v>-15.3</v>
      </c>
      <c r="F97" s="63">
        <v>-15.7</v>
      </c>
      <c r="G97" s="63">
        <v>-10</v>
      </c>
      <c r="H97" s="63">
        <v>6.4</v>
      </c>
      <c r="I97" s="63">
        <v>20.399999999999999</v>
      </c>
      <c r="J97" s="63">
        <v>90.7</v>
      </c>
      <c r="K97" s="63">
        <v>94.7</v>
      </c>
      <c r="L97" s="63">
        <v>98.1</v>
      </c>
      <c r="M97" s="63">
        <v>103.7</v>
      </c>
      <c r="N97" s="63">
        <v>114</v>
      </c>
      <c r="O97" s="63">
        <v>105.6</v>
      </c>
      <c r="P97" s="63">
        <v>92.1</v>
      </c>
      <c r="Q97" s="63">
        <v>101</v>
      </c>
      <c r="R97" s="63">
        <v>109</v>
      </c>
      <c r="S97" s="63">
        <v>104.6</v>
      </c>
      <c r="T97" s="63">
        <v>98</v>
      </c>
      <c r="U97" s="63">
        <v>104</v>
      </c>
      <c r="V97" s="63">
        <v>104.6</v>
      </c>
      <c r="W97" s="63">
        <v>94.9</v>
      </c>
      <c r="X97" s="63">
        <v>109.4</v>
      </c>
      <c r="Y97" s="63">
        <v>112.7</v>
      </c>
      <c r="Z97" s="63">
        <v>108</v>
      </c>
      <c r="AA97" s="63">
        <v>105.3</v>
      </c>
      <c r="AB97" s="119">
        <v>93.6</v>
      </c>
      <c r="AC97" s="119">
        <v>89.2</v>
      </c>
      <c r="AD97" s="119">
        <v>78</v>
      </c>
      <c r="AE97" s="119">
        <v>69</v>
      </c>
      <c r="AF97" s="119">
        <v>67</v>
      </c>
      <c r="AG97" s="120">
        <v>120</v>
      </c>
      <c r="AH97" s="54">
        <f t="shared" si="24"/>
        <v>114</v>
      </c>
      <c r="AI97" s="116">
        <f t="shared" si="25"/>
        <v>0.375</v>
      </c>
    </row>
    <row r="98" spans="1:37" x14ac:dyDescent="0.25">
      <c r="A98" s="118" t="s">
        <v>102</v>
      </c>
      <c r="B98" s="177">
        <v>52.9</v>
      </c>
      <c r="C98" s="63">
        <v>54.7</v>
      </c>
      <c r="D98" s="63">
        <v>41.6</v>
      </c>
      <c r="E98" s="63">
        <v>48.4</v>
      </c>
      <c r="F98" s="63">
        <v>76</v>
      </c>
      <c r="G98" s="63">
        <v>79</v>
      </c>
      <c r="H98" s="63">
        <v>86.1</v>
      </c>
      <c r="I98" s="63">
        <v>100</v>
      </c>
      <c r="J98" s="63">
        <v>77.5</v>
      </c>
      <c r="K98" s="63">
        <v>82</v>
      </c>
      <c r="L98" s="63">
        <v>95.7</v>
      </c>
      <c r="M98" s="63">
        <v>104.1</v>
      </c>
      <c r="N98" s="63">
        <v>100</v>
      </c>
      <c r="O98" s="63">
        <v>69.599999999999994</v>
      </c>
      <c r="P98" s="63">
        <v>85</v>
      </c>
      <c r="Q98" s="63">
        <v>89</v>
      </c>
      <c r="R98" s="63">
        <v>99</v>
      </c>
      <c r="S98" s="63">
        <v>94.7</v>
      </c>
      <c r="T98" s="63">
        <v>93</v>
      </c>
      <c r="U98" s="63">
        <v>96.4</v>
      </c>
      <c r="V98" s="63">
        <v>91.5</v>
      </c>
      <c r="W98" s="63">
        <v>85.5</v>
      </c>
      <c r="X98" s="63">
        <v>75.099999999999994</v>
      </c>
      <c r="Y98" s="63">
        <v>78.599999999999994</v>
      </c>
      <c r="Z98" s="63">
        <v>97.8</v>
      </c>
      <c r="AA98" s="63">
        <v>98.5</v>
      </c>
      <c r="AB98" s="119">
        <v>96.6</v>
      </c>
      <c r="AC98" s="119">
        <v>93.9</v>
      </c>
      <c r="AD98" s="119">
        <v>71</v>
      </c>
      <c r="AE98" s="119">
        <v>65</v>
      </c>
      <c r="AF98" s="119">
        <v>61</v>
      </c>
      <c r="AG98" s="120"/>
      <c r="AH98" s="54">
        <f t="shared" si="24"/>
        <v>104.1</v>
      </c>
      <c r="AI98" s="116">
        <f t="shared" si="25"/>
        <v>0.33333333333333331</v>
      </c>
    </row>
    <row r="99" spans="1:37" ht="15.75" thickBot="1" x14ac:dyDescent="0.3">
      <c r="A99" s="118" t="s">
        <v>217</v>
      </c>
      <c r="B99" s="177">
        <v>54.5</v>
      </c>
      <c r="C99" s="63">
        <v>56.7</v>
      </c>
      <c r="D99" s="63">
        <v>37.799999999999997</v>
      </c>
      <c r="E99" s="63">
        <v>29.6</v>
      </c>
      <c r="F99" s="63">
        <v>57.7</v>
      </c>
      <c r="G99" s="63">
        <v>56</v>
      </c>
      <c r="H99" s="63">
        <v>57.6</v>
      </c>
      <c r="I99" s="63">
        <v>65</v>
      </c>
      <c r="J99" s="63">
        <v>78</v>
      </c>
      <c r="K99" s="63">
        <v>39.5</v>
      </c>
      <c r="L99" s="63">
        <v>37.6</v>
      </c>
      <c r="M99" s="63">
        <v>30</v>
      </c>
      <c r="N99" s="63">
        <v>35</v>
      </c>
      <c r="O99" s="63">
        <v>19.600000000000001</v>
      </c>
      <c r="P99" s="63">
        <v>30</v>
      </c>
      <c r="Q99" s="63">
        <v>65</v>
      </c>
      <c r="R99" s="63">
        <v>71</v>
      </c>
      <c r="S99" s="63">
        <v>70.5</v>
      </c>
      <c r="T99" s="63">
        <v>74.3</v>
      </c>
      <c r="U99" s="63">
        <v>69</v>
      </c>
      <c r="V99" s="63">
        <v>35.9</v>
      </c>
      <c r="W99" s="63">
        <v>27.2</v>
      </c>
      <c r="X99" s="63">
        <v>48</v>
      </c>
      <c r="Y99" s="63">
        <v>48.2</v>
      </c>
      <c r="Z99" s="63">
        <v>43.8</v>
      </c>
      <c r="AA99" s="63">
        <v>51.1</v>
      </c>
      <c r="AB99" s="119">
        <v>47.4</v>
      </c>
      <c r="AC99" s="119">
        <v>44.8</v>
      </c>
      <c r="AD99" s="119">
        <v>49</v>
      </c>
      <c r="AE99" s="119">
        <v>46</v>
      </c>
      <c r="AF99" s="119">
        <v>78</v>
      </c>
      <c r="AG99" s="121"/>
      <c r="AH99" s="54">
        <f t="shared" si="24"/>
        <v>78</v>
      </c>
      <c r="AI99" s="116">
        <f t="shared" si="25"/>
        <v>0.27083333333333331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1348.04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2078/08/10)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2078/08/10)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889.74</v>
      </c>
      <c r="U213" s="167">
        <f t="shared" si="62"/>
        <v>885.34</v>
      </c>
      <c r="V213" s="167">
        <f t="shared" si="62"/>
        <v>838.34</v>
      </c>
      <c r="W213" s="167">
        <f t="shared" si="62"/>
        <v>817.44</v>
      </c>
      <c r="X213" s="167">
        <f t="shared" si="62"/>
        <v>823.44</v>
      </c>
      <c r="Y213" s="167">
        <f t="shared" si="62"/>
        <v>876.44</v>
      </c>
      <c r="Z213" s="167">
        <f t="shared" si="62"/>
        <v>978.54000000000008</v>
      </c>
      <c r="AA213" s="167">
        <f t="shared" si="62"/>
        <v>1097.44</v>
      </c>
      <c r="AB213" s="167">
        <f t="shared" si="62"/>
        <v>1162.4399999999998</v>
      </c>
      <c r="AC213" s="167">
        <f t="shared" si="62"/>
        <v>1221.4399999999998</v>
      </c>
      <c r="AD213" s="167">
        <f t="shared" si="62"/>
        <v>1310.8400000000001</v>
      </c>
      <c r="AE213" s="167">
        <f t="shared" si="62"/>
        <v>1347.54</v>
      </c>
      <c r="AF213" s="167">
        <f t="shared" si="62"/>
        <v>1348.04</v>
      </c>
      <c r="AG213" s="167">
        <f t="shared" si="62"/>
        <v>1256.1399999999999</v>
      </c>
      <c r="AH213" s="167">
        <f t="shared" si="62"/>
        <v>1179.54</v>
      </c>
      <c r="AI213" s="167">
        <f t="shared" si="62"/>
        <v>1104.24</v>
      </c>
      <c r="AJ213" s="167">
        <f t="shared" si="62"/>
        <v>1056.1399999999999</v>
      </c>
      <c r="AK213" s="167">
        <f t="shared" si="62"/>
        <v>1066.1399999999999</v>
      </c>
      <c r="AL213" s="167">
        <f t="shared" si="62"/>
        <v>1066.24</v>
      </c>
      <c r="AM213" s="167">
        <f t="shared" si="62"/>
        <v>1112.6399999999999</v>
      </c>
      <c r="AN213" s="167">
        <f t="shared" si="62"/>
        <v>1201.1399999999999</v>
      </c>
      <c r="AO213" s="167">
        <f t="shared" si="62"/>
        <v>1310.2399999999998</v>
      </c>
      <c r="AP213" s="167">
        <f t="shared" si="62"/>
        <v>1436.3400000000001</v>
      </c>
      <c r="AQ213" s="167">
        <f t="shared" si="62"/>
        <v>1447.24</v>
      </c>
      <c r="AR213" s="167">
        <f t="shared" si="62"/>
        <v>1432.8400000000001</v>
      </c>
      <c r="AS213" s="167">
        <f t="shared" si="62"/>
        <v>1405.54</v>
      </c>
      <c r="AT213" s="167">
        <f t="shared" si="62"/>
        <v>1306.6399999999999</v>
      </c>
      <c r="AU213" s="167">
        <f t="shared" si="62"/>
        <v>1283.1399999999999</v>
      </c>
      <c r="AV213" s="167">
        <f t="shared" si="62"/>
        <v>1227.74</v>
      </c>
      <c r="AW213" s="167">
        <f t="shared" si="62"/>
        <v>1034.24</v>
      </c>
      <c r="AX213" s="167">
        <f t="shared" si="62"/>
        <v>900.74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M37 P39:R39 P40:Q42 R40:T41 M58:M59 X85:AA91 AB81:AF81 B81:R81 B82:AF83 D193:AF199 B193:B199 C68:AF72 AB84:AF91 B84:B91 B73:AF80 B9:AF10 B191:AF191 AF57:AF60 B53:B72 AG73 AB94:AF99 B94:B99 U212:AF212 C57:L59 C60:M61 C63:H67 C56:AF56 B36:M36 M39:O42 N58:O61 S11:AE11 M11:R14 Q42:R42 S39:S42 N36:T37 T42 N45:T48 U37 V36:V37 S12:W14 M16:W32 W37 U46:W48 P58:W59 U40:Y42 P61:W67 P60:AC60 Z40:AE43 X18:AF30 U36:AF36 AF42:AF43 M53:AF55">
    <cfRule type="expression" dxfId="6623" priority="243">
      <formula>B$9&gt;=20/24</formula>
    </cfRule>
    <cfRule type="expression" dxfId="6622" priority="244">
      <formula>AND(B$9&gt;=14/24,B$9&lt;20/24)</formula>
    </cfRule>
    <cfRule type="expression" dxfId="6621" priority="245">
      <formula>AND(B$9&gt;=8/24,B$9&lt;14/24)</formula>
    </cfRule>
    <cfRule type="expression" dxfId="6620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6619" priority="238">
      <formula>M$9&gt;=20/24</formula>
    </cfRule>
    <cfRule type="expression" dxfId="6618" priority="239">
      <formula>AND(M$9&gt;=14/24,M$9&lt;20/24)</formula>
    </cfRule>
    <cfRule type="expression" dxfId="6617" priority="240">
      <formula>AND(M$9&gt;=8/24,M$9&lt;14/24)</formula>
    </cfRule>
    <cfRule type="expression" dxfId="6616" priority="241">
      <formula>M$9&lt;8/24</formula>
    </cfRule>
  </conditionalFormatting>
  <conditionalFormatting sqref="M43:T43">
    <cfRule type="expression" dxfId="6615" priority="234">
      <formula>M$9&gt;=20/24</formula>
    </cfRule>
    <cfRule type="expression" dxfId="6614" priority="235">
      <formula>AND(M$9&gt;=14/24,M$9&lt;20/24)</formula>
    </cfRule>
    <cfRule type="expression" dxfId="6613" priority="236">
      <formula>AND(M$9&gt;=8/24,M$9&lt;14/24)</formula>
    </cfRule>
    <cfRule type="expression" dxfId="6612" priority="237">
      <formula>M$9&lt;8/24</formula>
    </cfRule>
  </conditionalFormatting>
  <conditionalFormatting sqref="S39:AE39">
    <cfRule type="expression" dxfId="6611" priority="226">
      <formula>S$9&gt;=20/24</formula>
    </cfRule>
    <cfRule type="expression" dxfId="6610" priority="227">
      <formula>AND(S$9&gt;=14/24,S$9&lt;20/24)</formula>
    </cfRule>
    <cfRule type="expression" dxfId="6609" priority="228">
      <formula>AND(S$9&gt;=8/24,S$9&lt;14/24)</formula>
    </cfRule>
    <cfRule type="expression" dxfId="6608" priority="229">
      <formula>S$9&lt;8/24</formula>
    </cfRule>
  </conditionalFormatting>
  <conditionalFormatting sqref="T57:AE57">
    <cfRule type="expression" dxfId="6607" priority="222">
      <formula>T$9&gt;=20/24</formula>
    </cfRule>
    <cfRule type="expression" dxfId="6606" priority="223">
      <formula>AND(T$9&gt;=14/24,T$9&lt;20/24)</formula>
    </cfRule>
    <cfRule type="expression" dxfId="6605" priority="224">
      <formula>AND(T$9&gt;=8/24,T$9&lt;14/24)</formula>
    </cfRule>
    <cfRule type="expression" dxfId="6604" priority="225">
      <formula>T$9&lt;8/24</formula>
    </cfRule>
  </conditionalFormatting>
  <conditionalFormatting sqref="S81:AA81">
    <cfRule type="expression" dxfId="6603" priority="218">
      <formula>S$9&gt;=20/24</formula>
    </cfRule>
    <cfRule type="expression" dxfId="6602" priority="219">
      <formula>AND(S$9&gt;=14/24,S$9&lt;20/24)</formula>
    </cfRule>
    <cfRule type="expression" dxfId="6601" priority="220">
      <formula>AND(S$9&gt;=8/24,S$9&lt;14/24)</formula>
    </cfRule>
    <cfRule type="expression" dxfId="6600" priority="221">
      <formula>S$9&lt;8/24</formula>
    </cfRule>
  </conditionalFormatting>
  <conditionalFormatting sqref="U84:AA84">
    <cfRule type="expression" dxfId="6599" priority="214">
      <formula>U$9&gt;=20/24</formula>
    </cfRule>
    <cfRule type="expression" dxfId="6598" priority="215">
      <formula>AND(U$9&gt;=14/24,U$9&lt;20/24)</formula>
    </cfRule>
    <cfRule type="expression" dxfId="6597" priority="216">
      <formula>AND(U$9&gt;=8/24,U$9&lt;14/24)</formula>
    </cfRule>
    <cfRule type="expression" dxfId="6596" priority="217">
      <formula>U$9&lt;8/24</formula>
    </cfRule>
  </conditionalFormatting>
  <conditionalFormatting sqref="M35:W35">
    <cfRule type="expression" dxfId="6595" priority="210">
      <formula>M$9&gt;=20/24</formula>
    </cfRule>
    <cfRule type="expression" dxfId="6594" priority="211">
      <formula>AND(M$9&gt;=14/24,M$9&lt;20/24)</formula>
    </cfRule>
    <cfRule type="expression" dxfId="6593" priority="212">
      <formula>AND(M$9&gt;=8/24,M$9&lt;14/24)</formula>
    </cfRule>
    <cfRule type="expression" dxfId="6592" priority="213">
      <formula>M$9&lt;8/24</formula>
    </cfRule>
  </conditionalFormatting>
  <conditionalFormatting sqref="M49:W49">
    <cfRule type="expression" dxfId="6591" priority="206">
      <formula>M$9&gt;=20/24</formula>
    </cfRule>
    <cfRule type="expression" dxfId="6590" priority="207">
      <formula>AND(M$9&gt;=14/24,M$9&lt;20/24)</formula>
    </cfRule>
    <cfRule type="expression" dxfId="6589" priority="208">
      <formula>AND(M$9&gt;=8/24,M$9&lt;14/24)</formula>
    </cfRule>
    <cfRule type="expression" dxfId="6588" priority="209">
      <formula>M$9&lt;8/24</formula>
    </cfRule>
  </conditionalFormatting>
  <conditionalFormatting sqref="M50:W50">
    <cfRule type="expression" dxfId="6587" priority="202">
      <formula>M$9&gt;=20/24</formula>
    </cfRule>
    <cfRule type="expression" dxfId="6586" priority="203">
      <formula>AND(M$9&gt;=14/24,M$9&lt;20/24)</formula>
    </cfRule>
    <cfRule type="expression" dxfId="6585" priority="204">
      <formula>AND(M$9&gt;=8/24,M$9&lt;14/24)</formula>
    </cfRule>
    <cfRule type="expression" dxfId="6584" priority="205">
      <formula>M$9&lt;8/24</formula>
    </cfRule>
  </conditionalFormatting>
  <conditionalFormatting sqref="M45:T48 U46:W48">
    <cfRule type="expression" dxfId="6583" priority="198">
      <formula>M$9&gt;=20/24</formula>
    </cfRule>
    <cfRule type="expression" dxfId="6582" priority="199">
      <formula>AND(M$9&gt;=14/24,M$9&lt;20/24)</formula>
    </cfRule>
    <cfRule type="expression" dxfId="6581" priority="200">
      <formula>AND(M$9&gt;=8/24,M$9&lt;14/24)</formula>
    </cfRule>
    <cfRule type="expression" dxfId="6580" priority="201">
      <formula>M$9&lt;8/24</formula>
    </cfRule>
  </conditionalFormatting>
  <conditionalFormatting sqref="S37:AF37">
    <cfRule type="expression" dxfId="6579" priority="194">
      <formula>S$9&gt;=20/24</formula>
    </cfRule>
    <cfRule type="expression" dxfId="6578" priority="195">
      <formula>AND(S$9&gt;=14/24,S$9&lt;20/24)</formula>
    </cfRule>
    <cfRule type="expression" dxfId="6577" priority="196">
      <formula>AND(S$9&gt;=8/24,S$9&lt;14/24)</formula>
    </cfRule>
    <cfRule type="expression" dxfId="6576" priority="197">
      <formula>S$9&lt;8/24</formula>
    </cfRule>
  </conditionalFormatting>
  <conditionalFormatting sqref="X31:AF32 X35:AF35">
    <cfRule type="expression" dxfId="6575" priority="190">
      <formula>X$9&gt;=20/24</formula>
    </cfRule>
    <cfRule type="expression" dxfId="6574" priority="191">
      <formula>AND(X$9&gt;=14/24,X$9&lt;20/24)</formula>
    </cfRule>
    <cfRule type="expression" dxfId="6573" priority="192">
      <formula>AND(X$9&gt;=8/24,X$9&lt;14/24)</formula>
    </cfRule>
    <cfRule type="expression" dxfId="6572" priority="193">
      <formula>X$9&lt;8/24</formula>
    </cfRule>
  </conditionalFormatting>
  <conditionalFormatting sqref="S42:T43 U43:Y43 S45:AF48">
    <cfRule type="expression" dxfId="6571" priority="186">
      <formula>S$9&gt;=20/24</formula>
    </cfRule>
    <cfRule type="expression" dxfId="6570" priority="187">
      <formula>AND(S$9&gt;=14/24,S$9&lt;20/24)</formula>
    </cfRule>
    <cfRule type="expression" dxfId="6569" priority="188">
      <formula>AND(S$9&gt;=8/24,S$9&lt;14/24)</formula>
    </cfRule>
    <cfRule type="expression" dxfId="6568" priority="189">
      <formula>S$9&lt;8/24</formula>
    </cfRule>
  </conditionalFormatting>
  <conditionalFormatting sqref="S49:AF49">
    <cfRule type="expression" dxfId="6567" priority="182">
      <formula>S$9&gt;=20/24</formula>
    </cfRule>
    <cfRule type="expression" dxfId="6566" priority="183">
      <formula>AND(S$9&gt;=14/24,S$9&lt;20/24)</formula>
    </cfRule>
    <cfRule type="expression" dxfId="6565" priority="184">
      <formula>AND(S$9&gt;=8/24,S$9&lt;14/24)</formula>
    </cfRule>
    <cfRule type="expression" dxfId="6564" priority="185">
      <formula>S$9&lt;8/24</formula>
    </cfRule>
  </conditionalFormatting>
  <conditionalFormatting sqref="S50:AF50">
    <cfRule type="expression" dxfId="6563" priority="178">
      <formula>S$9&gt;=20/24</formula>
    </cfRule>
    <cfRule type="expression" dxfId="6562" priority="179">
      <formula>AND(S$9&gt;=14/24,S$9&lt;20/24)</formula>
    </cfRule>
    <cfRule type="expression" dxfId="6561" priority="180">
      <formula>AND(S$9&gt;=8/24,S$9&lt;14/24)</formula>
    </cfRule>
    <cfRule type="expression" dxfId="6560" priority="181">
      <formula>S$9&lt;8/24</formula>
    </cfRule>
  </conditionalFormatting>
  <conditionalFormatting sqref="AD60:AE60 X61:AF67">
    <cfRule type="expression" dxfId="6559" priority="174">
      <formula>X$9&gt;=20/24</formula>
    </cfRule>
    <cfRule type="expression" dxfId="6558" priority="175">
      <formula>AND(X$9&gt;=14/24,X$9&lt;20/24)</formula>
    </cfRule>
    <cfRule type="expression" dxfId="6557" priority="176">
      <formula>AND(X$9&gt;=8/24,X$9&lt;14/24)</formula>
    </cfRule>
    <cfRule type="expression" dxfId="6556" priority="177">
      <formula>X$9&lt;8/24</formula>
    </cfRule>
  </conditionalFormatting>
  <conditionalFormatting sqref="C62:H62 I62:L67">
    <cfRule type="expression" dxfId="6555" priority="170">
      <formula>C$9&gt;=20/24</formula>
    </cfRule>
    <cfRule type="expression" dxfId="6554" priority="171">
      <formula>AND(C$9&gt;=14/24,C$9&lt;20/24)</formula>
    </cfRule>
    <cfRule type="expression" dxfId="6553" priority="172">
      <formula>AND(C$9&gt;=8/24,C$9&lt;14/24)</formula>
    </cfRule>
    <cfRule type="expression" dxfId="6552" priority="173">
      <formula>C$9&lt;8/24</formula>
    </cfRule>
  </conditionalFormatting>
  <conditionalFormatting sqref="U94:AA97">
    <cfRule type="expression" dxfId="6551" priority="166">
      <formula>U$9&gt;=20/24</formula>
    </cfRule>
    <cfRule type="expression" dxfId="6550" priority="167">
      <formula>AND(U$9&gt;=14/24,U$9&lt;20/24)</formula>
    </cfRule>
    <cfRule type="expression" dxfId="6549" priority="168">
      <formula>AND(U$9&gt;=8/24,U$9&lt;14/24)</formula>
    </cfRule>
    <cfRule type="expression" dxfId="6548" priority="169">
      <formula>U$9&lt;8/24</formula>
    </cfRule>
  </conditionalFormatting>
  <conditionalFormatting sqref="AG51 C11:N11 B11:B32 C12:L32 M12:N14 S11:AF11 O11:R14 M16:W32 S12:W14 X18:AF32 B34:AF56">
    <cfRule type="expression" dxfId="6547" priority="165">
      <formula>B11&gt;$AG11</formula>
    </cfRule>
  </conditionalFormatting>
  <conditionalFormatting sqref="A100:A156 A84:A97 A11:A14 A16:A32 A45:A72 A80:A82 A74:A78 A35:A43 A169:A199">
    <cfRule type="expression" dxfId="6546" priority="164">
      <formula>$AH11=0</formula>
    </cfRule>
  </conditionalFormatting>
  <conditionalFormatting sqref="U98:AA98">
    <cfRule type="expression" dxfId="6545" priority="160">
      <formula>U$9&gt;=20/24</formula>
    </cfRule>
    <cfRule type="expression" dxfId="6544" priority="161">
      <formula>AND(U$9&gt;=14/24,U$9&lt;20/24)</formula>
    </cfRule>
    <cfRule type="expression" dxfId="6543" priority="162">
      <formula>AND(U$9&gt;=8/24,U$9&lt;14/24)</formula>
    </cfRule>
    <cfRule type="expression" dxfId="6542" priority="163">
      <formula>U$9&lt;8/24</formula>
    </cfRule>
  </conditionalFormatting>
  <conditionalFormatting sqref="A98">
    <cfRule type="expression" dxfId="6541" priority="159">
      <formula>$AH98=0</formula>
    </cfRule>
  </conditionalFormatting>
  <conditionalFormatting sqref="M62:O67">
    <cfRule type="expression" dxfId="6540" priority="147">
      <formula>M$9&gt;=20/24</formula>
    </cfRule>
    <cfRule type="expression" dxfId="6539" priority="148">
      <formula>AND(M$9&gt;=14/24,M$9&lt;20/24)</formula>
    </cfRule>
    <cfRule type="expression" dxfId="6538" priority="149">
      <formula>AND(M$9&gt;=8/24,M$9&lt;14/24)</formula>
    </cfRule>
    <cfRule type="expression" dxfId="6537" priority="150">
      <formula>M$9&lt;8/24</formula>
    </cfRule>
  </conditionalFormatting>
  <conditionalFormatting sqref="AL32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M34:W34">
    <cfRule type="expression" dxfId="6536" priority="138">
      <formula>M$9&gt;=20/24</formula>
    </cfRule>
    <cfRule type="expression" dxfId="6535" priority="139">
      <formula>AND(M$9&gt;=14/24,M$9&lt;20/24)</formula>
    </cfRule>
    <cfRule type="expression" dxfId="6534" priority="140">
      <formula>AND(M$9&gt;=8/24,M$9&lt;14/24)</formula>
    </cfRule>
    <cfRule type="expression" dxfId="6533" priority="141">
      <formula>M$9&lt;8/24</formula>
    </cfRule>
  </conditionalFormatting>
  <conditionalFormatting sqref="X34:AF34">
    <cfRule type="expression" dxfId="6532" priority="134">
      <formula>X$9&gt;=20/24</formula>
    </cfRule>
    <cfRule type="expression" dxfId="6531" priority="135">
      <formula>AND(X$9&gt;=14/24,X$9&lt;20/24)</formula>
    </cfRule>
    <cfRule type="expression" dxfId="6530" priority="136">
      <formula>AND(X$9&gt;=8/24,X$9&lt;14/24)</formula>
    </cfRule>
    <cfRule type="expression" dxfId="6529" priority="137">
      <formula>X$9&lt;8/24</formula>
    </cfRule>
  </conditionalFormatting>
  <conditionalFormatting sqref="A34">
    <cfRule type="expression" dxfId="6528" priority="133">
      <formula>$AH34=0</formula>
    </cfRule>
  </conditionalFormatting>
  <conditionalFormatting sqref="A83">
    <cfRule type="expression" dxfId="6527" priority="132">
      <formula>$AH83=0</formula>
    </cfRule>
  </conditionalFormatting>
  <conditionalFormatting sqref="M15:W15">
    <cfRule type="expression" dxfId="6526" priority="124">
      <formula>M$9&gt;=20/24</formula>
    </cfRule>
    <cfRule type="expression" dxfId="6525" priority="125">
      <formula>AND(M$9&gt;=14/24,M$9&lt;20/24)</formula>
    </cfRule>
    <cfRule type="expression" dxfId="6524" priority="126">
      <formula>AND(M$9&gt;=8/24,M$9&lt;14/24)</formula>
    </cfRule>
    <cfRule type="expression" dxfId="6523" priority="127">
      <formula>M$9&lt;8/24</formula>
    </cfRule>
  </conditionalFormatting>
  <conditionalFormatting sqref="M15:W15">
    <cfRule type="expression" dxfId="6522" priority="123">
      <formula>M15&gt;$AG15</formula>
    </cfRule>
  </conditionalFormatting>
  <conditionalFormatting sqref="A15">
    <cfRule type="expression" dxfId="6521" priority="122">
      <formula>$AH15=0</formula>
    </cfRule>
  </conditionalFormatting>
  <conditionalFormatting sqref="A163:A168">
    <cfRule type="expression" dxfId="6520" priority="121">
      <formula>$AH163=0</formula>
    </cfRule>
  </conditionalFormatting>
  <conditionalFormatting sqref="A157:A162">
    <cfRule type="expression" dxfId="6519" priority="120">
      <formula>$AH157=0</formula>
    </cfRule>
  </conditionalFormatting>
  <conditionalFormatting sqref="Z44:AF44">
    <cfRule type="expression" dxfId="6518" priority="116">
      <formula>Z$9&gt;=20/24</formula>
    </cfRule>
    <cfRule type="expression" dxfId="6517" priority="117">
      <formula>AND(Z$9&gt;=14/24,Z$9&lt;20/24)</formula>
    </cfRule>
    <cfRule type="expression" dxfId="6516" priority="118">
      <formula>AND(Z$9&gt;=8/24,Z$9&lt;14/24)</formula>
    </cfRule>
    <cfRule type="expression" dxfId="6515" priority="119">
      <formula>Z$9&lt;8/24</formula>
    </cfRule>
  </conditionalFormatting>
  <conditionalFormatting sqref="M44:T44">
    <cfRule type="expression" dxfId="6514" priority="112">
      <formula>M$9&gt;=20/24</formula>
    </cfRule>
    <cfRule type="expression" dxfId="6513" priority="113">
      <formula>AND(M$9&gt;=14/24,M$9&lt;20/24)</formula>
    </cfRule>
    <cfRule type="expression" dxfId="6512" priority="114">
      <formula>AND(M$9&gt;=8/24,M$9&lt;14/24)</formula>
    </cfRule>
    <cfRule type="expression" dxfId="6511" priority="115">
      <formula>M$9&lt;8/24</formula>
    </cfRule>
  </conditionalFormatting>
  <conditionalFormatting sqref="S44:AF44">
    <cfRule type="expression" dxfId="6510" priority="108">
      <formula>S$9&gt;=20/24</formula>
    </cfRule>
    <cfRule type="expression" dxfId="6509" priority="109">
      <formula>AND(S$9&gt;=14/24,S$9&lt;20/24)</formula>
    </cfRule>
    <cfRule type="expression" dxfId="6508" priority="110">
      <formula>AND(S$9&gt;=8/24,S$9&lt;14/24)</formula>
    </cfRule>
    <cfRule type="expression" dxfId="6507" priority="111">
      <formula>S$9&lt;8/24</formula>
    </cfRule>
  </conditionalFormatting>
  <conditionalFormatting sqref="A44">
    <cfRule type="expression" dxfId="6506" priority="107">
      <formula>$AH44=0</formula>
    </cfRule>
  </conditionalFormatting>
  <conditionalFormatting sqref="A79">
    <cfRule type="expression" dxfId="6505" priority="106">
      <formula>$AH79=0</formula>
    </cfRule>
  </conditionalFormatting>
  <conditionalFormatting sqref="A73">
    <cfRule type="expression" dxfId="6504" priority="105">
      <formula>$AH73=0</formula>
    </cfRule>
  </conditionalFormatting>
  <conditionalFormatting sqref="AL34:AL35 AL7:AL31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6503" priority="97">
      <formula>U$9&gt;=20/24</formula>
    </cfRule>
    <cfRule type="expression" dxfId="6502" priority="98">
      <formula>AND(U$9&gt;=14/24,U$9&lt;20/24)</formula>
    </cfRule>
    <cfRule type="expression" dxfId="6501" priority="99">
      <formula>AND(U$9&gt;=8/24,U$9&lt;14/24)</formula>
    </cfRule>
    <cfRule type="expression" dxfId="6500" priority="100">
      <formula>U$9&lt;8/24</formula>
    </cfRule>
  </conditionalFormatting>
  <conditionalFormatting sqref="S85:T91 C84:R91">
    <cfRule type="expression" dxfId="6499" priority="93">
      <formula>C$9&gt;=20/24</formula>
    </cfRule>
    <cfRule type="expression" dxfId="6498" priority="94">
      <formula>AND(C$9&gt;=14/24,C$9&lt;20/24)</formula>
    </cfRule>
    <cfRule type="expression" dxfId="6497" priority="95">
      <formula>AND(C$9&gt;=8/24,C$9&lt;14/24)</formula>
    </cfRule>
    <cfRule type="expression" dxfId="6496" priority="96">
      <formula>C$9&lt;8/24</formula>
    </cfRule>
  </conditionalFormatting>
  <conditionalFormatting sqref="S84:T84">
    <cfRule type="expression" dxfId="6495" priority="89">
      <formula>S$9&gt;=20/24</formula>
    </cfRule>
    <cfRule type="expression" dxfId="6494" priority="90">
      <formula>AND(S$9&gt;=14/24,S$9&lt;20/24)</formula>
    </cfRule>
    <cfRule type="expression" dxfId="6493" priority="91">
      <formula>AND(S$9&gt;=8/24,S$9&lt;14/24)</formula>
    </cfRule>
    <cfRule type="expression" dxfId="6492" priority="92">
      <formula>S$9&lt;8/24</formula>
    </cfRule>
  </conditionalFormatting>
  <conditionalFormatting sqref="C95:M97 C94:F94">
    <cfRule type="expression" dxfId="6491" priority="85">
      <formula>C$9&gt;=20/24</formula>
    </cfRule>
    <cfRule type="expression" dxfId="6490" priority="86">
      <formula>AND(C$9&gt;=14/24,C$9&lt;20/24)</formula>
    </cfRule>
    <cfRule type="expression" dxfId="6489" priority="87">
      <formula>AND(C$9&gt;=8/24,C$9&lt;14/24)</formula>
    </cfRule>
    <cfRule type="expression" dxfId="6488" priority="88">
      <formula>C$9&lt;8/24</formula>
    </cfRule>
  </conditionalFormatting>
  <conditionalFormatting sqref="N95:R97 O94:R94">
    <cfRule type="expression" dxfId="6487" priority="81">
      <formula>N$9&gt;=20/24</formula>
    </cfRule>
    <cfRule type="expression" dxfId="6486" priority="82">
      <formula>AND(N$9&gt;=14/24,N$9&lt;20/24)</formula>
    </cfRule>
    <cfRule type="expression" dxfId="6485" priority="83">
      <formula>AND(N$9&gt;=8/24,N$9&lt;14/24)</formula>
    </cfRule>
    <cfRule type="expression" dxfId="6484" priority="84">
      <formula>N$9&lt;8/24</formula>
    </cfRule>
  </conditionalFormatting>
  <conditionalFormatting sqref="S94:T97">
    <cfRule type="expression" dxfId="6483" priority="77">
      <formula>S$9&gt;=20/24</formula>
    </cfRule>
    <cfRule type="expression" dxfId="6482" priority="78">
      <formula>AND(S$9&gt;=14/24,S$9&lt;20/24)</formula>
    </cfRule>
    <cfRule type="expression" dxfId="6481" priority="79">
      <formula>AND(S$9&gt;=8/24,S$9&lt;14/24)</formula>
    </cfRule>
    <cfRule type="expression" dxfId="6480" priority="80">
      <formula>S$9&lt;8/24</formula>
    </cfRule>
  </conditionalFormatting>
  <conditionalFormatting sqref="C98:M98">
    <cfRule type="expression" dxfId="6479" priority="73">
      <formula>C$9&gt;=20/24</formula>
    </cfRule>
    <cfRule type="expression" dxfId="6478" priority="74">
      <formula>AND(C$9&gt;=14/24,C$9&lt;20/24)</formula>
    </cfRule>
    <cfRule type="expression" dxfId="6477" priority="75">
      <formula>AND(C$9&gt;=8/24,C$9&lt;14/24)</formula>
    </cfRule>
    <cfRule type="expression" dxfId="6476" priority="76">
      <formula>C$9&lt;8/24</formula>
    </cfRule>
  </conditionalFormatting>
  <conditionalFormatting sqref="N98:R98">
    <cfRule type="expression" dxfId="6475" priority="69">
      <formula>N$9&gt;=20/24</formula>
    </cfRule>
    <cfRule type="expression" dxfId="6474" priority="70">
      <formula>AND(N$9&gt;=14/24,N$9&lt;20/24)</formula>
    </cfRule>
    <cfRule type="expression" dxfId="6473" priority="71">
      <formula>AND(N$9&gt;=8/24,N$9&lt;14/24)</formula>
    </cfRule>
    <cfRule type="expression" dxfId="6472" priority="72">
      <formula>N$9&lt;8/24</formula>
    </cfRule>
  </conditionalFormatting>
  <conditionalFormatting sqref="S98:T98">
    <cfRule type="expression" dxfId="6471" priority="65">
      <formula>S$9&gt;=20/24</formula>
    </cfRule>
    <cfRule type="expression" dxfId="6470" priority="66">
      <formula>AND(S$9&gt;=14/24,S$9&lt;20/24)</formula>
    </cfRule>
    <cfRule type="expression" dxfId="6469" priority="67">
      <formula>AND(S$9&gt;=8/24,S$9&lt;14/24)</formula>
    </cfRule>
    <cfRule type="expression" dxfId="6468" priority="68">
      <formula>S$9&lt;8/24</formula>
    </cfRule>
  </conditionalFormatting>
  <conditionalFormatting sqref="M94:N94">
    <cfRule type="expression" dxfId="6467" priority="61">
      <formula>M$9&gt;=20/24</formula>
    </cfRule>
    <cfRule type="expression" dxfId="6466" priority="62">
      <formula>AND(M$9&gt;=14/24,M$9&lt;20/24)</formula>
    </cfRule>
    <cfRule type="expression" dxfId="6465" priority="63">
      <formula>AND(M$9&gt;=8/24,M$9&lt;14/24)</formula>
    </cfRule>
    <cfRule type="expression" dxfId="6464" priority="64">
      <formula>M$9&lt;8/24</formula>
    </cfRule>
  </conditionalFormatting>
  <conditionalFormatting sqref="G94:L94">
    <cfRule type="expression" dxfId="6463" priority="57">
      <formula>G$9&gt;=20/24</formula>
    </cfRule>
    <cfRule type="expression" dxfId="6462" priority="58">
      <formula>AND(G$9&gt;=14/24,G$9&lt;20/24)</formula>
    </cfRule>
    <cfRule type="expression" dxfId="6461" priority="59">
      <formula>AND(G$9&gt;=8/24,G$9&lt;14/24)</formula>
    </cfRule>
    <cfRule type="expression" dxfId="6460" priority="60">
      <formula>G$9&lt;8/24</formula>
    </cfRule>
  </conditionalFormatting>
  <conditionalFormatting sqref="U94:W94">
    <cfRule type="expression" dxfId="6459" priority="53">
      <formula>U$9&gt;=20/24</formula>
    </cfRule>
    <cfRule type="expression" dxfId="6458" priority="54">
      <formula>AND(U$9&gt;=14/24,U$9&lt;20/24)</formula>
    </cfRule>
    <cfRule type="expression" dxfId="6457" priority="55">
      <formula>AND(U$9&gt;=8/24,U$9&lt;14/24)</formula>
    </cfRule>
    <cfRule type="expression" dxfId="6456" priority="56">
      <formula>U$9&lt;8/24</formula>
    </cfRule>
  </conditionalFormatting>
  <conditionalFormatting sqref="N94:T94">
    <cfRule type="expression" dxfId="6455" priority="49">
      <formula>N$9&gt;=20/24</formula>
    </cfRule>
    <cfRule type="expression" dxfId="6454" priority="50">
      <formula>AND(N$9&gt;=14/24,N$9&lt;20/24)</formula>
    </cfRule>
    <cfRule type="expression" dxfId="6453" priority="51">
      <formula>AND(N$9&gt;=8/24,N$9&lt;14/24)</formula>
    </cfRule>
    <cfRule type="expression" dxfId="6452" priority="52">
      <formula>N$9&lt;8/24</formula>
    </cfRule>
  </conditionalFormatting>
  <conditionalFormatting sqref="U99:AA99">
    <cfRule type="expression" dxfId="6451" priority="45">
      <formula>U$9&gt;=20/24</formula>
    </cfRule>
    <cfRule type="expression" dxfId="6450" priority="46">
      <formula>AND(U$9&gt;=14/24,U$9&lt;20/24)</formula>
    </cfRule>
    <cfRule type="expression" dxfId="6449" priority="47">
      <formula>AND(U$9&gt;=8/24,U$9&lt;14/24)</formula>
    </cfRule>
    <cfRule type="expression" dxfId="6448" priority="48">
      <formula>U$9&lt;8/24</formula>
    </cfRule>
  </conditionalFormatting>
  <conditionalFormatting sqref="C99:M99">
    <cfRule type="expression" dxfId="6447" priority="41">
      <formula>C$9&gt;=20/24</formula>
    </cfRule>
    <cfRule type="expression" dxfId="6446" priority="42">
      <formula>AND(C$9&gt;=14/24,C$9&lt;20/24)</formula>
    </cfRule>
    <cfRule type="expression" dxfId="6445" priority="43">
      <formula>AND(C$9&gt;=8/24,C$9&lt;14/24)</formula>
    </cfRule>
    <cfRule type="expression" dxfId="6444" priority="44">
      <formula>C$9&lt;8/24</formula>
    </cfRule>
  </conditionalFormatting>
  <conditionalFormatting sqref="N99:R99">
    <cfRule type="expression" dxfId="6443" priority="37">
      <formula>N$9&gt;=20/24</formula>
    </cfRule>
    <cfRule type="expression" dxfId="6442" priority="38">
      <formula>AND(N$9&gt;=14/24,N$9&lt;20/24)</formula>
    </cfRule>
    <cfRule type="expression" dxfId="6441" priority="39">
      <formula>AND(N$9&gt;=8/24,N$9&lt;14/24)</formula>
    </cfRule>
    <cfRule type="expression" dxfId="6440" priority="40">
      <formula>N$9&lt;8/24</formula>
    </cfRule>
  </conditionalFormatting>
  <conditionalFormatting sqref="S99:T99">
    <cfRule type="expression" dxfId="6439" priority="33">
      <formula>S$9&gt;=20/24</formula>
    </cfRule>
    <cfRule type="expression" dxfId="6438" priority="34">
      <formula>AND(S$9&gt;=14/24,S$9&lt;20/24)</formula>
    </cfRule>
    <cfRule type="expression" dxfId="6437" priority="35">
      <formula>AND(S$9&gt;=8/24,S$9&lt;14/24)</formula>
    </cfRule>
    <cfRule type="expression" dxfId="6436" priority="36">
      <formula>S$9&lt;8/24</formula>
    </cfRule>
  </conditionalFormatting>
  <conditionalFormatting sqref="X12:AF16">
    <cfRule type="expression" dxfId="6435" priority="29">
      <formula>X$9&gt;=20/24</formula>
    </cfRule>
    <cfRule type="expression" dxfId="6434" priority="30">
      <formula>AND(X$9&gt;=14/24,X$9&lt;20/24)</formula>
    </cfRule>
    <cfRule type="expression" dxfId="6433" priority="31">
      <formula>AND(X$9&gt;=8/24,X$9&lt;14/24)</formula>
    </cfRule>
    <cfRule type="expression" dxfId="6432" priority="32">
      <formula>X$9&lt;8/24</formula>
    </cfRule>
  </conditionalFormatting>
  <conditionalFormatting sqref="X17:AF17">
    <cfRule type="expression" dxfId="6431" priority="25">
      <formula>X$9&gt;=20/24</formula>
    </cfRule>
    <cfRule type="expression" dxfId="6430" priority="26">
      <formula>AND(X$9&gt;=14/24,X$9&lt;20/24)</formula>
    </cfRule>
    <cfRule type="expression" dxfId="6429" priority="27">
      <formula>AND(X$9&gt;=8/24,X$9&lt;14/24)</formula>
    </cfRule>
    <cfRule type="expression" dxfId="6428" priority="28">
      <formula>X$9&lt;8/24</formula>
    </cfRule>
  </conditionalFormatting>
  <conditionalFormatting sqref="X12:AF13">
    <cfRule type="expression" dxfId="6427" priority="21">
      <formula>X$9&gt;=20/24</formula>
    </cfRule>
    <cfRule type="expression" dxfId="6426" priority="22">
      <formula>AND(X$9&gt;=14/24,X$9&lt;20/24)</formula>
    </cfRule>
    <cfRule type="expression" dxfId="6425" priority="23">
      <formula>AND(X$9&gt;=8/24,X$9&lt;14/24)</formula>
    </cfRule>
    <cfRule type="expression" dxfId="6424" priority="24">
      <formula>X$9&lt;8/24</formula>
    </cfRule>
  </conditionalFormatting>
  <conditionalFormatting sqref="AD58:AE59">
    <cfRule type="expression" dxfId="6423" priority="17">
      <formula>AD$9&gt;=20/24</formula>
    </cfRule>
    <cfRule type="expression" dxfId="6422" priority="18">
      <formula>AND(AD$9&gt;=14/24,AD$9&lt;20/24)</formula>
    </cfRule>
    <cfRule type="expression" dxfId="6421" priority="19">
      <formula>AND(AD$9&gt;=8/24,AD$9&lt;14/24)</formula>
    </cfRule>
    <cfRule type="expression" dxfId="6420" priority="20">
      <formula>AD$9&lt;8/24</formula>
    </cfRule>
  </conditionalFormatting>
  <conditionalFormatting sqref="AL33">
    <cfRule type="iconSet" priority="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419" priority="250">
      <formula>C$9&gt;=20/24</formula>
    </cfRule>
    <cfRule type="expression" dxfId="6418" priority="251">
      <formula>AND(C$9&gt;=14/24,C$9&lt;20/24)</formula>
    </cfRule>
    <cfRule type="expression" dxfId="6417" priority="252">
      <formula>AND(C$9&gt;=8/24,C$9&lt;14/24)</formula>
    </cfRule>
    <cfRule type="expression" dxfId="6416" priority="253">
      <formula>C$9&lt;8/24</formula>
    </cfRule>
  </conditionalFormatting>
  <conditionalFormatting sqref="A200">
    <cfRule type="expression" dxfId="6415" priority="254">
      <formula>$AH200=0</formula>
    </cfRule>
  </conditionalFormatting>
  <conditionalFormatting sqref="AG212">
    <cfRule type="expression" dxfId="6414" priority="256">
      <formula>B$9&gt;=20/24</formula>
    </cfRule>
    <cfRule type="expression" dxfId="6413" priority="257">
      <formula>AND(B$9&gt;=14/24,B$9&lt;20/24)</formula>
    </cfRule>
    <cfRule type="expression" dxfId="6412" priority="258">
      <formula>AND(B$9&gt;=8/24,B$9&lt;14/24)</formula>
    </cfRule>
    <cfRule type="expression" dxfId="6411" priority="259">
      <formula>B$9&lt;8/24</formula>
    </cfRule>
  </conditionalFormatting>
  <conditionalFormatting sqref="S8">
    <cfRule type="expression" dxfId="6410" priority="6">
      <formula>U$9&gt;=20/24</formula>
    </cfRule>
    <cfRule type="expression" dxfId="6409" priority="7">
      <formula>AND(U$9&gt;=14/24,U$9&lt;20/24)</formula>
    </cfRule>
    <cfRule type="expression" dxfId="6408" priority="8">
      <formula>AND(U$9&gt;=8/24,U$9&lt;14/24)</formula>
    </cfRule>
    <cfRule type="expression" dxfId="6407" priority="9">
      <formula>U$9&lt;8/24</formula>
    </cfRule>
  </conditionalFormatting>
  <conditionalFormatting sqref="AB8">
    <cfRule type="expression" dxfId="6406" priority="2">
      <formula>AD$9&gt;=20/24</formula>
    </cfRule>
    <cfRule type="expression" dxfId="6405" priority="3">
      <formula>AND(AD$9&gt;=14/24,AD$9&lt;20/24)</formula>
    </cfRule>
    <cfRule type="expression" dxfId="6404" priority="4">
      <formula>AND(AD$9&gt;=8/24,AD$9&lt;14/24)</formula>
    </cfRule>
    <cfRule type="expression" dxfId="6403" priority="5">
      <formula>AD$9&lt;8/24</formula>
    </cfRule>
  </conditionalFormatting>
  <conditionalFormatting sqref="AH212:AX212">
    <cfRule type="expression" dxfId="6402" priority="260">
      <formula>AG$9&gt;=20/24</formula>
    </cfRule>
    <cfRule type="expression" dxfId="6401" priority="261">
      <formula>AND(AG$9&gt;=14/24,AG$9&lt;20/24)</formula>
    </cfRule>
    <cfRule type="expression" dxfId="6400" priority="262">
      <formula>AND(AG$9&gt;=8/24,AG$9&lt;14/24)</formula>
    </cfRule>
    <cfRule type="expression" dxfId="6399" priority="263">
      <formula>AG$9&lt;8/24</formula>
    </cfRule>
  </conditionalFormatting>
  <conditionalFormatting sqref="T212">
    <cfRule type="expression" dxfId="6398" priority="264">
      <formula>AX$9&gt;=20/24</formula>
    </cfRule>
    <cfRule type="expression" dxfId="6397" priority="265">
      <formula>AND(AX$9&gt;=14/24,AX$9&lt;20/24)</formula>
    </cfRule>
    <cfRule type="expression" dxfId="6396" priority="266">
      <formula>AND(AX$9&gt;=8/24,AX$9&lt;14/24)</formula>
    </cfRule>
    <cfRule type="expression" dxfId="6395" priority="267">
      <formula>AX$9&lt;8/24</formula>
    </cfRule>
  </conditionalFormatting>
  <conditionalFormatting sqref="A99">
    <cfRule type="expression" dxfId="6394" priority="1">
      <formula>$AH99=0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29ECEC15-8575-4B65-A55B-6B9E22B5F2E7}">
            <xm:f>'C:\Users\Data Server\AppData\Local\Microsoft\Windows\INetCache\Content.MSO\[Daily-Logsheet-2078-08-Mangsir.xlsx]2'!#REF!&gt;=20/24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8000A39E-BE7E-4A70-B269-BBFBB48C85F7}">
            <xm:f>AND('C:\Users\Data Server\AppData\Local\Microsoft\Windows\INetCache\Content.MSO\[Daily-Logsheet-2078-08-Mangsir.xlsx]2'!#REF!&gt;=14/24,'C:\Users\Data Server\AppData\Local\Microsoft\Windows\INetCache\Content.MSO\[Daily-Logsheet-2078-08-Mangsir.xlsx]2'!#REF!&lt;20/24)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480AD8EA-0B78-440E-8392-0327DC7052F4}">
            <xm:f>AND('C:\Users\Data Server\AppData\Local\Microsoft\Windows\INetCache\Content.MSO\[Daily-Logsheet-2078-08-Mangsir.xlsx]2'!#REF!&gt;=8/24,'C:\Users\Data Server\AppData\Local\Microsoft\Windows\INetCache\Content.MSO\[Daily-Logsheet-2078-08-Mangsir.xlsx]2'!#REF!&lt;14/24)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50C2C4BE-B07D-4A03-9DA5-9DF2F4BE9DEB}">
            <xm:f>'C:\Users\Data Server\AppData\Local\Microsoft\Windows\INetCache\Content.MSO\[Daily-Logsheet-2078-08-Mangsir.xlsx]2'!#REF!&lt;8/24</xm:f>
            <x14:dxf>
              <fill>
                <patternFill>
                  <bgColor rgb="FFFFFF66"/>
                </patternFill>
              </fill>
            </x14:dxf>
          </x14:cfRule>
          <xm:sqref>M33:AF33</xm:sqref>
        </x14:conditionalFormatting>
        <x14:conditionalFormatting xmlns:xm="http://schemas.microsoft.com/office/excel/2006/main">
          <x14:cfRule type="expression" priority="12" id="{9BFB1756-E9F6-482E-BC65-1554C2233C63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M33:AF33</xm:sqref>
        </x14:conditionalFormatting>
        <x14:conditionalFormatting xmlns:xm="http://schemas.microsoft.com/office/excel/2006/main">
          <x14:cfRule type="expression" priority="11" id="{389603E8-1CA7-4BC8-8F90-9678B38E21B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55" id="{A35171D5-119C-4565-A780-16F9721DD0E9}">
            <xm:f>'C:\Users\Data Server\AppData\Local\Microsoft\Windows\INetCache\Content.MSO\[Daily-Logsheet-2078-08-Mangsir.xlsx]2'!#REF!&gt;'C:\Users\Data Server\AppData\Local\Microsoft\Windows\INetCache\Content.MSO\[Daily-Logsheet-2078-08-Mangsir.xlsx]2'!#REF!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J60" sqref="J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2078/08/11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135</v>
      </c>
      <c r="C5" s="32">
        <f t="shared" si="0"/>
        <v>70</v>
      </c>
      <c r="D5" s="32">
        <f t="shared" si="0"/>
        <v>71.5</v>
      </c>
      <c r="E5" s="32">
        <f t="shared" si="0"/>
        <v>87</v>
      </c>
      <c r="F5" s="32">
        <f t="shared" si="0"/>
        <v>111</v>
      </c>
      <c r="G5" s="32">
        <f t="shared" si="0"/>
        <v>118</v>
      </c>
      <c r="H5" s="32">
        <f t="shared" si="0"/>
        <v>225</v>
      </c>
      <c r="I5" s="32">
        <f t="shared" si="0"/>
        <v>268</v>
      </c>
      <c r="J5" s="32">
        <f t="shared" si="0"/>
        <v>240</v>
      </c>
      <c r="K5" s="32">
        <f t="shared" si="0"/>
        <v>360</v>
      </c>
      <c r="L5" s="32">
        <f t="shared" si="0"/>
        <v>260</v>
      </c>
      <c r="M5" s="32">
        <f t="shared" si="0"/>
        <v>251</v>
      </c>
      <c r="N5" s="32">
        <f t="shared" si="0"/>
        <v>324</v>
      </c>
      <c r="O5" s="32">
        <f t="shared" si="0"/>
        <v>370</v>
      </c>
      <c r="P5" s="32">
        <f t="shared" si="0"/>
        <v>377</v>
      </c>
      <c r="Q5" s="32">
        <f t="shared" si="0"/>
        <v>385</v>
      </c>
      <c r="R5" s="32">
        <f t="shared" si="0"/>
        <v>357.5</v>
      </c>
      <c r="S5" s="32">
        <f t="shared" si="0"/>
        <v>367.1</v>
      </c>
      <c r="T5" s="32">
        <f t="shared" si="0"/>
        <v>387.4</v>
      </c>
      <c r="U5" s="32">
        <f t="shared" si="0"/>
        <v>317.60000000000002</v>
      </c>
      <c r="V5" s="32">
        <f t="shared" si="0"/>
        <v>375.7</v>
      </c>
      <c r="W5" s="32">
        <f t="shared" si="0"/>
        <v>280.3</v>
      </c>
      <c r="X5" s="32">
        <f t="shared" si="0"/>
        <v>266</v>
      </c>
      <c r="Y5" s="32">
        <f t="shared" si="0"/>
        <v>328.6</v>
      </c>
      <c r="Z5" s="32">
        <f t="shared" si="0"/>
        <v>318</v>
      </c>
      <c r="AA5" s="32">
        <f t="shared" si="0"/>
        <v>303</v>
      </c>
      <c r="AB5" s="32">
        <f t="shared" si="0"/>
        <v>345</v>
      </c>
      <c r="AC5" s="32">
        <f t="shared" si="0"/>
        <v>335</v>
      </c>
      <c r="AD5" s="32">
        <f t="shared" si="0"/>
        <v>264</v>
      </c>
      <c r="AE5" s="32">
        <f t="shared" si="0"/>
        <v>179.2</v>
      </c>
      <c r="AF5" s="32">
        <f>B68</f>
        <v>103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1476MW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Load=819</v>
      </c>
      <c r="B7" s="37">
        <f>B75</f>
        <v>878.74</v>
      </c>
      <c r="C7" s="37">
        <f t="shared" ref="C7:AF7" si="1">C75</f>
        <v>839.44</v>
      </c>
      <c r="D7" s="37">
        <f t="shared" si="1"/>
        <v>824.44</v>
      </c>
      <c r="E7" s="37">
        <f t="shared" si="1"/>
        <v>819.44</v>
      </c>
      <c r="F7" s="37">
        <f t="shared" si="1"/>
        <v>824.94</v>
      </c>
      <c r="G7" s="37">
        <f t="shared" si="1"/>
        <v>901.54</v>
      </c>
      <c r="H7" s="37">
        <f t="shared" si="1"/>
        <v>958.54</v>
      </c>
      <c r="I7" s="37">
        <f t="shared" si="1"/>
        <v>1075.54</v>
      </c>
      <c r="J7" s="37">
        <f t="shared" si="1"/>
        <v>1177.04</v>
      </c>
      <c r="K7" s="37">
        <f t="shared" si="1"/>
        <v>1269.54</v>
      </c>
      <c r="L7" s="37">
        <f t="shared" si="1"/>
        <v>1429.3400000000001</v>
      </c>
      <c r="M7" s="37">
        <f t="shared" si="1"/>
        <v>1476.3400000000001</v>
      </c>
      <c r="N7" s="37">
        <f t="shared" si="1"/>
        <v>1416.3400000000001</v>
      </c>
      <c r="O7" s="37">
        <f t="shared" si="1"/>
        <v>1502.44</v>
      </c>
      <c r="P7" s="37">
        <f t="shared" si="1"/>
        <v>1317.2399999999998</v>
      </c>
      <c r="Q7" s="37">
        <f t="shared" si="1"/>
        <v>1327.44</v>
      </c>
      <c r="R7" s="37">
        <f t="shared" si="1"/>
        <v>1271.54</v>
      </c>
      <c r="S7" s="37">
        <f t="shared" si="1"/>
        <v>1245.94</v>
      </c>
      <c r="T7" s="37">
        <f t="shared" si="1"/>
        <v>1298.24</v>
      </c>
      <c r="U7" s="37">
        <f t="shared" si="1"/>
        <v>1315.24</v>
      </c>
      <c r="V7" s="37">
        <f t="shared" si="1"/>
        <v>1403.04</v>
      </c>
      <c r="W7" s="37">
        <f t="shared" si="1"/>
        <v>1525.54</v>
      </c>
      <c r="X7" s="37">
        <f t="shared" si="1"/>
        <v>1595.54</v>
      </c>
      <c r="Y7" s="37">
        <f t="shared" si="1"/>
        <v>1571.04</v>
      </c>
      <c r="Z7" s="37">
        <f t="shared" si="1"/>
        <v>1511.24</v>
      </c>
      <c r="AA7" s="37">
        <f t="shared" si="1"/>
        <v>1456.74</v>
      </c>
      <c r="AB7" s="37">
        <f t="shared" si="1"/>
        <v>1402.1399999999999</v>
      </c>
      <c r="AC7" s="37">
        <f t="shared" si="1"/>
        <v>1299.8399999999999</v>
      </c>
      <c r="AD7" s="37">
        <f t="shared" si="1"/>
        <v>1252.04</v>
      </c>
      <c r="AE7" s="37">
        <f t="shared" si="1"/>
        <v>1069.94</v>
      </c>
      <c r="AF7" s="37">
        <f t="shared" si="1"/>
        <v>920.54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75</v>
      </c>
      <c r="C11" s="49">
        <v>30</v>
      </c>
      <c r="D11" s="49">
        <v>60</v>
      </c>
      <c r="E11" s="49">
        <v>28</v>
      </c>
      <c r="F11" s="49">
        <v>28</v>
      </c>
      <c r="G11" s="49">
        <v>110</v>
      </c>
      <c r="H11" s="49">
        <v>150</v>
      </c>
      <c r="I11" s="49">
        <v>160</v>
      </c>
      <c r="J11" s="49">
        <v>160</v>
      </c>
      <c r="K11" s="49">
        <v>160</v>
      </c>
      <c r="L11" s="49">
        <v>120</v>
      </c>
      <c r="M11" s="50">
        <v>230</v>
      </c>
      <c r="N11" s="50">
        <v>220</v>
      </c>
      <c r="O11" s="50">
        <v>291</v>
      </c>
      <c r="P11" s="50">
        <v>100</v>
      </c>
      <c r="Q11" s="50">
        <v>100</v>
      </c>
      <c r="R11" s="50">
        <v>70</v>
      </c>
      <c r="S11" s="50">
        <v>92</v>
      </c>
      <c r="T11" s="50">
        <v>92</v>
      </c>
      <c r="U11" s="50">
        <v>90</v>
      </c>
      <c r="V11" s="50">
        <v>160</v>
      </c>
      <c r="W11" s="50">
        <v>210</v>
      </c>
      <c r="X11" s="50">
        <v>340.2</v>
      </c>
      <c r="Y11" s="50">
        <v>330</v>
      </c>
      <c r="Z11" s="52">
        <v>230</v>
      </c>
      <c r="AA11" s="52">
        <v>240</v>
      </c>
      <c r="AB11" s="50">
        <v>200</v>
      </c>
      <c r="AC11" s="50">
        <v>100</v>
      </c>
      <c r="AD11" s="50">
        <v>100</v>
      </c>
      <c r="AE11" s="50">
        <v>60</v>
      </c>
      <c r="AF11" s="50">
        <v>90</v>
      </c>
      <c r="AG11" s="53">
        <v>456</v>
      </c>
      <c r="AH11" s="54">
        <f>MAX(B11:AF11)</f>
        <v>340.2</v>
      </c>
      <c r="AI11" s="55">
        <f>MIN(B11:AF11)</f>
        <v>28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47</v>
      </c>
      <c r="C12" s="49">
        <v>47</v>
      </c>
      <c r="D12" s="49">
        <v>47</v>
      </c>
      <c r="E12" s="49">
        <v>47</v>
      </c>
      <c r="F12" s="49">
        <v>47</v>
      </c>
      <c r="G12" s="49">
        <v>47</v>
      </c>
      <c r="H12" s="49">
        <v>47</v>
      </c>
      <c r="I12" s="49">
        <v>47</v>
      </c>
      <c r="J12" s="49">
        <v>47</v>
      </c>
      <c r="K12" s="49">
        <v>47</v>
      </c>
      <c r="L12" s="49">
        <v>47</v>
      </c>
      <c r="M12" s="50">
        <v>47</v>
      </c>
      <c r="N12" s="50">
        <v>47</v>
      </c>
      <c r="O12" s="50">
        <v>47</v>
      </c>
      <c r="P12" s="50">
        <v>47</v>
      </c>
      <c r="Q12" s="49">
        <v>47</v>
      </c>
      <c r="R12" s="49">
        <v>47</v>
      </c>
      <c r="S12" s="49">
        <v>47</v>
      </c>
      <c r="T12" s="49">
        <v>47</v>
      </c>
      <c r="U12" s="49">
        <v>47</v>
      </c>
      <c r="V12" s="49">
        <v>47</v>
      </c>
      <c r="W12" s="49">
        <v>47</v>
      </c>
      <c r="X12" s="58">
        <v>47</v>
      </c>
      <c r="Y12" s="58">
        <v>47</v>
      </c>
      <c r="Z12" s="58">
        <v>47</v>
      </c>
      <c r="AA12" s="58">
        <v>47</v>
      </c>
      <c r="AB12" s="58">
        <v>47</v>
      </c>
      <c r="AC12" s="58">
        <v>47</v>
      </c>
      <c r="AD12" s="58">
        <v>47</v>
      </c>
      <c r="AE12" s="58">
        <v>47</v>
      </c>
      <c r="AF12" s="58">
        <v>47</v>
      </c>
      <c r="AG12" s="59">
        <v>60</v>
      </c>
      <c r="AH12" s="54">
        <f t="shared" ref="AH12:AH75" si="2">MAX(B12:AF12)</f>
        <v>47</v>
      </c>
      <c r="AI12" s="55">
        <f t="shared" ref="AI12:AI75" si="3">MIN(B12:AF12)</f>
        <v>47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27.3</v>
      </c>
      <c r="C13" s="49">
        <v>27.3</v>
      </c>
      <c r="D13" s="49">
        <v>27.3</v>
      </c>
      <c r="E13" s="49">
        <v>27.3</v>
      </c>
      <c r="F13" s="49">
        <v>27.3</v>
      </c>
      <c r="G13" s="49">
        <v>27.3</v>
      </c>
      <c r="H13" s="49">
        <v>27.3</v>
      </c>
      <c r="I13" s="49">
        <v>27.3</v>
      </c>
      <c r="J13" s="49">
        <v>27.3</v>
      </c>
      <c r="K13" s="49">
        <v>27.3</v>
      </c>
      <c r="L13" s="49">
        <v>27.3</v>
      </c>
      <c r="M13" s="49">
        <v>27.3</v>
      </c>
      <c r="N13" s="49">
        <v>27.3</v>
      </c>
      <c r="O13" s="49">
        <v>27.3</v>
      </c>
      <c r="P13" s="49">
        <v>27.3</v>
      </c>
      <c r="Q13" s="49">
        <v>27.3</v>
      </c>
      <c r="R13" s="49">
        <v>27.3</v>
      </c>
      <c r="S13" s="49">
        <v>27.3</v>
      </c>
      <c r="T13" s="49">
        <v>27.3</v>
      </c>
      <c r="U13" s="49">
        <v>27.3</v>
      </c>
      <c r="V13" s="49">
        <v>27.3</v>
      </c>
      <c r="W13" s="49">
        <v>27.3</v>
      </c>
      <c r="X13" s="58">
        <v>27.3</v>
      </c>
      <c r="Y13" s="58">
        <v>27.3</v>
      </c>
      <c r="Z13" s="58">
        <v>27.3</v>
      </c>
      <c r="AA13" s="58">
        <v>27.3</v>
      </c>
      <c r="AB13" s="58">
        <v>27.3</v>
      </c>
      <c r="AC13" s="58">
        <v>27.3</v>
      </c>
      <c r="AD13" s="58">
        <v>27.3</v>
      </c>
      <c r="AE13" s="58">
        <v>27.1</v>
      </c>
      <c r="AF13" s="58">
        <v>27</v>
      </c>
      <c r="AG13" s="59">
        <v>52.4</v>
      </c>
      <c r="AH13" s="54">
        <f t="shared" si="2"/>
        <v>27.3</v>
      </c>
      <c r="AI13" s="55">
        <f t="shared" si="3"/>
        <v>27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</v>
      </c>
      <c r="C14" s="49">
        <v>50</v>
      </c>
      <c r="D14" s="49">
        <v>50</v>
      </c>
      <c r="E14" s="49">
        <v>50</v>
      </c>
      <c r="F14" s="49">
        <v>50</v>
      </c>
      <c r="G14" s="49">
        <v>50</v>
      </c>
      <c r="H14" s="49">
        <v>50</v>
      </c>
      <c r="I14" s="49">
        <v>50</v>
      </c>
      <c r="J14" s="49">
        <v>50</v>
      </c>
      <c r="K14" s="49">
        <v>50</v>
      </c>
      <c r="L14" s="49">
        <v>50</v>
      </c>
      <c r="M14" s="49">
        <v>50</v>
      </c>
      <c r="N14" s="49">
        <v>50</v>
      </c>
      <c r="O14" s="49">
        <v>50</v>
      </c>
      <c r="P14" s="49">
        <v>50</v>
      </c>
      <c r="Q14" s="50">
        <v>50</v>
      </c>
      <c r="R14" s="50">
        <v>50</v>
      </c>
      <c r="S14" s="50">
        <v>50</v>
      </c>
      <c r="T14" s="50">
        <v>50</v>
      </c>
      <c r="U14" s="50">
        <v>50</v>
      </c>
      <c r="V14" s="50">
        <v>50</v>
      </c>
      <c r="W14" s="50">
        <v>50</v>
      </c>
      <c r="X14" s="60">
        <v>50</v>
      </c>
      <c r="Y14" s="60">
        <v>50</v>
      </c>
      <c r="Z14" s="60">
        <v>50</v>
      </c>
      <c r="AA14" s="60">
        <v>50</v>
      </c>
      <c r="AB14" s="60">
        <v>50</v>
      </c>
      <c r="AC14" s="60">
        <v>50</v>
      </c>
      <c r="AD14" s="60">
        <v>50</v>
      </c>
      <c r="AE14" s="60">
        <v>50.4</v>
      </c>
      <c r="AF14" s="60">
        <v>50.6</v>
      </c>
      <c r="AG14" s="59">
        <v>50</v>
      </c>
      <c r="AH14" s="54">
        <f t="shared" si="2"/>
        <v>50.6</v>
      </c>
      <c r="AI14" s="55">
        <f t="shared" si="3"/>
        <v>50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28.2</v>
      </c>
      <c r="C15" s="61">
        <v>28.2</v>
      </c>
      <c r="D15" s="61">
        <v>28.2</v>
      </c>
      <c r="E15" s="61">
        <v>28.2</v>
      </c>
      <c r="F15" s="61">
        <v>28.2</v>
      </c>
      <c r="G15" s="61">
        <v>28.2</v>
      </c>
      <c r="H15" s="61">
        <v>28.2</v>
      </c>
      <c r="I15" s="61">
        <v>28.2</v>
      </c>
      <c r="J15" s="61">
        <v>28.2</v>
      </c>
      <c r="K15" s="61">
        <v>28.2</v>
      </c>
      <c r="L15" s="61">
        <v>28.2</v>
      </c>
      <c r="M15" s="50">
        <v>28.2</v>
      </c>
      <c r="N15" s="50">
        <v>28.2</v>
      </c>
      <c r="O15" s="50">
        <v>28.2</v>
      </c>
      <c r="P15" s="50">
        <v>28.2</v>
      </c>
      <c r="Q15" s="50">
        <v>28.2</v>
      </c>
      <c r="R15" s="50">
        <v>28.2</v>
      </c>
      <c r="S15" s="50">
        <v>28.2</v>
      </c>
      <c r="T15" s="50">
        <v>28.2</v>
      </c>
      <c r="U15" s="50">
        <v>28.2</v>
      </c>
      <c r="V15" s="50">
        <v>28.2</v>
      </c>
      <c r="W15" s="50">
        <v>28.2</v>
      </c>
      <c r="X15" s="60">
        <v>23.9</v>
      </c>
      <c r="Y15" s="60">
        <v>23.9</v>
      </c>
      <c r="Z15" s="60">
        <v>23.9</v>
      </c>
      <c r="AA15" s="60">
        <v>23.9</v>
      </c>
      <c r="AB15" s="60">
        <v>23.9</v>
      </c>
      <c r="AC15" s="60">
        <v>23.9</v>
      </c>
      <c r="AD15" s="60">
        <v>23.9</v>
      </c>
      <c r="AE15" s="60">
        <v>23.8</v>
      </c>
      <c r="AF15" s="60">
        <v>24.6</v>
      </c>
      <c r="AG15" s="62">
        <v>45</v>
      </c>
      <c r="AH15" s="54">
        <f t="shared" si="2"/>
        <v>28.2</v>
      </c>
      <c r="AI15" s="55">
        <f t="shared" si="3"/>
        <v>23.8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11.6</v>
      </c>
      <c r="C19" s="49">
        <v>11.6</v>
      </c>
      <c r="D19" s="49">
        <v>11.6</v>
      </c>
      <c r="E19" s="49">
        <v>11.6</v>
      </c>
      <c r="F19" s="49">
        <v>11.6</v>
      </c>
      <c r="G19" s="49">
        <v>11.6</v>
      </c>
      <c r="H19" s="49">
        <v>11.6</v>
      </c>
      <c r="I19" s="49">
        <v>11.6</v>
      </c>
      <c r="J19" s="49">
        <v>11.6</v>
      </c>
      <c r="K19" s="49">
        <v>11.6</v>
      </c>
      <c r="L19" s="49">
        <v>11.6</v>
      </c>
      <c r="M19" s="50">
        <v>11.6</v>
      </c>
      <c r="N19" s="50">
        <v>11.6</v>
      </c>
      <c r="O19" s="50">
        <v>11.6</v>
      </c>
      <c r="P19" s="50">
        <v>11.6</v>
      </c>
      <c r="Q19" s="50">
        <v>11.6</v>
      </c>
      <c r="R19" s="50">
        <v>11.6</v>
      </c>
      <c r="S19" s="50">
        <v>11.6</v>
      </c>
      <c r="T19" s="50">
        <v>11.6</v>
      </c>
      <c r="U19" s="50">
        <v>11.6</v>
      </c>
      <c r="V19" s="50">
        <v>11.6</v>
      </c>
      <c r="W19" s="50">
        <v>11.6</v>
      </c>
      <c r="X19" s="50">
        <v>11.6</v>
      </c>
      <c r="Y19" s="50">
        <v>11.6</v>
      </c>
      <c r="Z19" s="50">
        <v>11.6</v>
      </c>
      <c r="AA19" s="50">
        <v>11.6</v>
      </c>
      <c r="AB19" s="50">
        <v>11.6</v>
      </c>
      <c r="AC19" s="50">
        <v>11.6</v>
      </c>
      <c r="AD19" s="50">
        <v>11.6</v>
      </c>
      <c r="AE19" s="50">
        <v>11.3</v>
      </c>
      <c r="AF19" s="50">
        <v>11.3</v>
      </c>
      <c r="AG19" s="59">
        <v>30</v>
      </c>
      <c r="AH19" s="54">
        <f t="shared" si="2"/>
        <v>11.6</v>
      </c>
      <c r="AI19" s="55">
        <f t="shared" si="3"/>
        <v>11.3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18.3</v>
      </c>
      <c r="C22" s="49">
        <v>18.3</v>
      </c>
      <c r="D22" s="49">
        <v>18.3</v>
      </c>
      <c r="E22" s="49">
        <v>18.3</v>
      </c>
      <c r="F22" s="49">
        <v>18.3</v>
      </c>
      <c r="G22" s="49">
        <v>18.3</v>
      </c>
      <c r="H22" s="49">
        <v>18.3</v>
      </c>
      <c r="I22" s="49">
        <v>18.3</v>
      </c>
      <c r="J22" s="49">
        <v>18.3</v>
      </c>
      <c r="K22" s="49">
        <v>18.3</v>
      </c>
      <c r="L22" s="49">
        <v>18.3</v>
      </c>
      <c r="M22" s="50">
        <v>18.3</v>
      </c>
      <c r="N22" s="50">
        <v>18.3</v>
      </c>
      <c r="O22" s="50">
        <v>18.3</v>
      </c>
      <c r="P22" s="50">
        <v>18.3</v>
      </c>
      <c r="Q22" s="50">
        <v>18.3</v>
      </c>
      <c r="R22" s="50">
        <v>18.3</v>
      </c>
      <c r="S22" s="50">
        <v>18.3</v>
      </c>
      <c r="T22" s="50">
        <v>18.3</v>
      </c>
      <c r="U22" s="50">
        <v>18.3</v>
      </c>
      <c r="V22" s="50">
        <v>18.3</v>
      </c>
      <c r="W22" s="50">
        <v>18.3</v>
      </c>
      <c r="X22" s="50">
        <v>20</v>
      </c>
      <c r="Y22" s="50">
        <v>20</v>
      </c>
      <c r="Z22" s="50">
        <v>20</v>
      </c>
      <c r="AA22" s="50">
        <v>20</v>
      </c>
      <c r="AB22" s="50">
        <v>20</v>
      </c>
      <c r="AC22" s="50">
        <v>20</v>
      </c>
      <c r="AD22" s="50">
        <v>14.2</v>
      </c>
      <c r="AE22" s="50">
        <v>14.2</v>
      </c>
      <c r="AF22" s="50">
        <v>14.2</v>
      </c>
      <c r="AG22" s="59">
        <v>25</v>
      </c>
      <c r="AH22" s="54">
        <f t="shared" si="2"/>
        <v>20</v>
      </c>
      <c r="AI22" s="55">
        <f t="shared" si="3"/>
        <v>14.2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9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151</v>
      </c>
      <c r="C36" s="61">
        <v>151</v>
      </c>
      <c r="D36" s="61">
        <v>151</v>
      </c>
      <c r="E36" s="61">
        <v>151</v>
      </c>
      <c r="F36" s="61">
        <v>151</v>
      </c>
      <c r="G36" s="61">
        <v>151</v>
      </c>
      <c r="H36" s="61">
        <v>151</v>
      </c>
      <c r="I36" s="61">
        <v>151</v>
      </c>
      <c r="J36" s="61">
        <v>151</v>
      </c>
      <c r="K36" s="61">
        <v>151</v>
      </c>
      <c r="L36" s="61">
        <v>151</v>
      </c>
      <c r="M36" s="61">
        <v>151</v>
      </c>
      <c r="N36" s="61">
        <v>151</v>
      </c>
      <c r="O36" s="61">
        <v>151</v>
      </c>
      <c r="P36" s="61">
        <v>151</v>
      </c>
      <c r="Q36" s="61">
        <v>151</v>
      </c>
      <c r="R36" s="61">
        <v>151</v>
      </c>
      <c r="S36" s="61">
        <v>151</v>
      </c>
      <c r="T36" s="61">
        <v>151</v>
      </c>
      <c r="U36" s="61">
        <v>151</v>
      </c>
      <c r="V36" s="61">
        <v>151</v>
      </c>
      <c r="W36" s="61">
        <v>151</v>
      </c>
      <c r="X36" s="61">
        <v>151</v>
      </c>
      <c r="Y36" s="61">
        <v>151</v>
      </c>
      <c r="Z36" s="61">
        <v>151</v>
      </c>
      <c r="AA36" s="61">
        <v>151</v>
      </c>
      <c r="AB36" s="61">
        <v>151</v>
      </c>
      <c r="AC36" s="61">
        <v>151</v>
      </c>
      <c r="AD36" s="61">
        <v>151</v>
      </c>
      <c r="AE36" s="61">
        <v>151</v>
      </c>
      <c r="AF36" s="61">
        <v>151</v>
      </c>
      <c r="AG36" s="67">
        <v>85</v>
      </c>
      <c r="AH36" s="54">
        <f t="shared" si="2"/>
        <v>151</v>
      </c>
      <c r="AI36" s="55">
        <f t="shared" si="3"/>
        <v>151</v>
      </c>
      <c r="AK36" s="56"/>
    </row>
    <row r="37" spans="1:88" ht="15.75" thickBot="1" x14ac:dyDescent="0.3">
      <c r="A37" s="69" t="s">
        <v>45</v>
      </c>
      <c r="B37" s="61" t="s">
        <v>231</v>
      </c>
      <c r="C37" s="61" t="s">
        <v>231</v>
      </c>
      <c r="D37" s="61" t="s">
        <v>231</v>
      </c>
      <c r="E37" s="61" t="s">
        <v>231</v>
      </c>
      <c r="F37" s="61" t="s">
        <v>231</v>
      </c>
      <c r="G37" s="61" t="s">
        <v>231</v>
      </c>
      <c r="H37" s="61" t="s">
        <v>231</v>
      </c>
      <c r="I37" s="61" t="s">
        <v>231</v>
      </c>
      <c r="J37" s="61" t="s">
        <v>231</v>
      </c>
      <c r="K37" s="61" t="s">
        <v>231</v>
      </c>
      <c r="L37" s="61" t="s">
        <v>231</v>
      </c>
      <c r="M37" s="61" t="s">
        <v>231</v>
      </c>
      <c r="N37" s="61" t="s">
        <v>231</v>
      </c>
      <c r="O37" s="61" t="s">
        <v>231</v>
      </c>
      <c r="P37" s="61" t="s">
        <v>231</v>
      </c>
      <c r="Q37" s="70" t="s">
        <v>231</v>
      </c>
      <c r="R37" s="70" t="s">
        <v>231</v>
      </c>
      <c r="S37" s="70" t="s">
        <v>231</v>
      </c>
      <c r="T37" s="70" t="s">
        <v>231</v>
      </c>
      <c r="U37" s="70" t="s">
        <v>231</v>
      </c>
      <c r="V37" s="70" t="s">
        <v>231</v>
      </c>
      <c r="W37" s="70" t="s">
        <v>231</v>
      </c>
      <c r="X37" s="70" t="s">
        <v>231</v>
      </c>
      <c r="Y37" s="70" t="s">
        <v>231</v>
      </c>
      <c r="Z37" s="70" t="s">
        <v>231</v>
      </c>
      <c r="AA37" s="70" t="s">
        <v>231</v>
      </c>
      <c r="AB37" s="70" t="s">
        <v>231</v>
      </c>
      <c r="AC37" s="70" t="s">
        <v>231</v>
      </c>
      <c r="AD37" s="70" t="s">
        <v>231</v>
      </c>
      <c r="AE37" s="70" t="s">
        <v>231</v>
      </c>
      <c r="AF37" s="70" t="s">
        <v>231</v>
      </c>
      <c r="AG37" s="67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71" t="s">
        <v>46</v>
      </c>
      <c r="B38" s="72">
        <f>SUM(B11:B36)</f>
        <v>533.1</v>
      </c>
      <c r="C38" s="72">
        <f t="shared" ref="C38:AF38" si="4">SUM(C11:C36)</f>
        <v>488.09999999999997</v>
      </c>
      <c r="D38" s="72">
        <f t="shared" si="4"/>
        <v>518.1</v>
      </c>
      <c r="E38" s="72">
        <f t="shared" si="4"/>
        <v>486.09999999999997</v>
      </c>
      <c r="F38" s="72">
        <f t="shared" si="4"/>
        <v>486.09999999999997</v>
      </c>
      <c r="G38" s="72">
        <f t="shared" si="4"/>
        <v>568.1</v>
      </c>
      <c r="H38" s="72">
        <f t="shared" si="4"/>
        <v>608.1</v>
      </c>
      <c r="I38" s="72">
        <f t="shared" si="4"/>
        <v>618.1</v>
      </c>
      <c r="J38" s="72">
        <f t="shared" si="4"/>
        <v>618.1</v>
      </c>
      <c r="K38" s="72">
        <f t="shared" si="4"/>
        <v>618.1</v>
      </c>
      <c r="L38" s="72">
        <f t="shared" si="4"/>
        <v>578.1</v>
      </c>
      <c r="M38" s="72">
        <f t="shared" si="4"/>
        <v>688.1</v>
      </c>
      <c r="N38" s="72">
        <f t="shared" si="4"/>
        <v>678.1</v>
      </c>
      <c r="O38" s="72">
        <f t="shared" si="4"/>
        <v>749.1</v>
      </c>
      <c r="P38" s="72">
        <f t="shared" si="4"/>
        <v>558.1</v>
      </c>
      <c r="Q38" s="72">
        <f t="shared" si="4"/>
        <v>558.1</v>
      </c>
      <c r="R38" s="72">
        <f t="shared" si="4"/>
        <v>528.1</v>
      </c>
      <c r="S38" s="72">
        <f t="shared" si="4"/>
        <v>550.1</v>
      </c>
      <c r="T38" s="72">
        <f t="shared" si="4"/>
        <v>550.1</v>
      </c>
      <c r="U38" s="72">
        <f t="shared" si="4"/>
        <v>548.1</v>
      </c>
      <c r="V38" s="72">
        <f t="shared" si="4"/>
        <v>618.1</v>
      </c>
      <c r="W38" s="72">
        <f t="shared" si="4"/>
        <v>668.1</v>
      </c>
      <c r="X38" s="72">
        <f t="shared" si="4"/>
        <v>795.7</v>
      </c>
      <c r="Y38" s="72">
        <f t="shared" si="4"/>
        <v>785.50000000000011</v>
      </c>
      <c r="Z38" s="72">
        <f t="shared" si="4"/>
        <v>685.5</v>
      </c>
      <c r="AA38" s="72">
        <f t="shared" si="4"/>
        <v>695.5</v>
      </c>
      <c r="AB38" s="72">
        <f t="shared" si="4"/>
        <v>655.5</v>
      </c>
      <c r="AC38" s="72">
        <f t="shared" si="4"/>
        <v>555.5</v>
      </c>
      <c r="AD38" s="72">
        <f t="shared" si="4"/>
        <v>549.70000000000005</v>
      </c>
      <c r="AE38" s="72">
        <f t="shared" si="4"/>
        <v>509.5</v>
      </c>
      <c r="AF38" s="72">
        <f t="shared" si="4"/>
        <v>540.4</v>
      </c>
      <c r="AG38" s="67">
        <f>SUM(AG11:AG37)</f>
        <v>1492.8299999999997</v>
      </c>
      <c r="AH38" s="54">
        <f t="shared" si="2"/>
        <v>795.7</v>
      </c>
      <c r="AI38" s="55">
        <f t="shared" si="3"/>
        <v>486.09999999999997</v>
      </c>
      <c r="AK38" s="56"/>
    </row>
    <row r="39" spans="1:88" x14ac:dyDescent="0.25">
      <c r="A39" s="57" t="s">
        <v>47</v>
      </c>
      <c r="B39" s="49">
        <v>45</v>
      </c>
      <c r="C39" s="61">
        <v>30</v>
      </c>
      <c r="D39" s="61">
        <v>45</v>
      </c>
      <c r="E39" s="61">
        <v>45.7</v>
      </c>
      <c r="F39" s="61">
        <v>45.7</v>
      </c>
      <c r="G39" s="61">
        <v>30</v>
      </c>
      <c r="H39" s="61">
        <v>30</v>
      </c>
      <c r="I39" s="61">
        <v>30</v>
      </c>
      <c r="J39" s="61">
        <v>73.5</v>
      </c>
      <c r="K39" s="61">
        <v>145</v>
      </c>
      <c r="L39" s="61">
        <v>145.69999999999999</v>
      </c>
      <c r="M39" s="50">
        <v>145.69999999999999</v>
      </c>
      <c r="N39" s="50">
        <v>137.9</v>
      </c>
      <c r="O39" s="50">
        <v>136.80000000000001</v>
      </c>
      <c r="P39" s="50">
        <v>111.1</v>
      </c>
      <c r="Q39" s="50">
        <v>99</v>
      </c>
      <c r="R39" s="50">
        <v>97.2</v>
      </c>
      <c r="S39" s="50">
        <v>91.2</v>
      </c>
      <c r="T39" s="50">
        <v>91.6</v>
      </c>
      <c r="U39" s="50">
        <v>90.4</v>
      </c>
      <c r="V39" s="50">
        <v>136.9</v>
      </c>
      <c r="W39" s="50">
        <v>145.6</v>
      </c>
      <c r="X39" s="50">
        <v>145.6</v>
      </c>
      <c r="Y39" s="50">
        <v>145.6</v>
      </c>
      <c r="Z39" s="50">
        <v>145.1</v>
      </c>
      <c r="AA39" s="50">
        <v>126.8</v>
      </c>
      <c r="AB39" s="50">
        <v>131</v>
      </c>
      <c r="AC39" s="50">
        <v>110</v>
      </c>
      <c r="AD39" s="50">
        <v>104</v>
      </c>
      <c r="AE39" s="50">
        <v>75</v>
      </c>
      <c r="AF39" s="49">
        <v>30.7</v>
      </c>
      <c r="AG39" s="62">
        <v>144</v>
      </c>
      <c r="AH39" s="54">
        <f t="shared" si="2"/>
        <v>145.69999999999999</v>
      </c>
      <c r="AI39" s="55">
        <f t="shared" si="3"/>
        <v>30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34.1</v>
      </c>
      <c r="F40" s="61">
        <v>34.1</v>
      </c>
      <c r="G40" s="61">
        <v>45</v>
      </c>
      <c r="H40" s="61">
        <v>45</v>
      </c>
      <c r="I40" s="61">
        <v>45</v>
      </c>
      <c r="J40" s="61">
        <v>60</v>
      </c>
      <c r="K40" s="61">
        <v>70</v>
      </c>
      <c r="L40" s="61">
        <v>70</v>
      </c>
      <c r="M40" s="73">
        <v>70.3</v>
      </c>
      <c r="N40" s="73">
        <v>70.8</v>
      </c>
      <c r="O40" s="73">
        <v>61.2</v>
      </c>
      <c r="P40" s="73">
        <v>49.6</v>
      </c>
      <c r="Q40" s="73">
        <v>59.9</v>
      </c>
      <c r="R40" s="73">
        <v>50.3</v>
      </c>
      <c r="S40" s="73">
        <v>49.5</v>
      </c>
      <c r="T40" s="73">
        <v>68.900000000000006</v>
      </c>
      <c r="U40" s="73">
        <v>60.7</v>
      </c>
      <c r="V40" s="73">
        <v>67.099999999999994</v>
      </c>
      <c r="W40" s="73">
        <v>59.5</v>
      </c>
      <c r="X40" s="73">
        <v>70.2</v>
      </c>
      <c r="Y40" s="73">
        <v>70.2</v>
      </c>
      <c r="Z40" s="73">
        <v>58.9</v>
      </c>
      <c r="AA40" s="73">
        <v>51.1</v>
      </c>
      <c r="AB40" s="73">
        <v>64</v>
      </c>
      <c r="AC40" s="73">
        <v>50</v>
      </c>
      <c r="AD40" s="73">
        <v>50</v>
      </c>
      <c r="AE40" s="73">
        <v>45</v>
      </c>
      <c r="AF40" s="61">
        <v>23.9</v>
      </c>
      <c r="AG40" s="67">
        <v>70</v>
      </c>
      <c r="AH40" s="54">
        <f t="shared" si="2"/>
        <v>70.8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67</v>
      </c>
      <c r="C41" s="61">
        <v>60</v>
      </c>
      <c r="D41" s="61">
        <v>65</v>
      </c>
      <c r="E41" s="61">
        <v>55.6</v>
      </c>
      <c r="F41" s="61">
        <v>55.6</v>
      </c>
      <c r="G41" s="61">
        <v>31</v>
      </c>
      <c r="H41" s="61">
        <v>31</v>
      </c>
      <c r="I41" s="61">
        <v>31</v>
      </c>
      <c r="J41" s="61">
        <v>31</v>
      </c>
      <c r="K41" s="61">
        <v>70</v>
      </c>
      <c r="L41" s="61">
        <v>67</v>
      </c>
      <c r="M41" s="73">
        <v>67</v>
      </c>
      <c r="N41" s="73">
        <v>34.200000000000003</v>
      </c>
      <c r="O41" s="73">
        <v>35.700000000000003</v>
      </c>
      <c r="P41" s="73">
        <v>31.2</v>
      </c>
      <c r="Q41" s="73">
        <v>36</v>
      </c>
      <c r="R41" s="73">
        <v>39.799999999999997</v>
      </c>
      <c r="S41" s="73">
        <v>40.9</v>
      </c>
      <c r="T41" s="73">
        <v>44.4</v>
      </c>
      <c r="U41" s="73">
        <v>51.6</v>
      </c>
      <c r="V41" s="73">
        <v>58.8</v>
      </c>
      <c r="W41" s="73">
        <v>52.2</v>
      </c>
      <c r="X41" s="73">
        <v>67.7</v>
      </c>
      <c r="Y41" s="73">
        <v>67.7</v>
      </c>
      <c r="Z41" s="73">
        <v>61.5</v>
      </c>
      <c r="AA41" s="73">
        <v>59.2</v>
      </c>
      <c r="AB41" s="73">
        <v>58.6</v>
      </c>
      <c r="AC41" s="73">
        <v>57</v>
      </c>
      <c r="AD41" s="73">
        <v>57</v>
      </c>
      <c r="AE41" s="73">
        <v>50.1</v>
      </c>
      <c r="AF41" s="61">
        <v>60</v>
      </c>
      <c r="AG41" s="67">
        <v>69</v>
      </c>
      <c r="AH41" s="54">
        <f t="shared" si="2"/>
        <v>70</v>
      </c>
      <c r="AI41" s="55">
        <f t="shared" si="3"/>
        <v>31</v>
      </c>
      <c r="AK41" s="56"/>
    </row>
    <row r="42" spans="1:88" x14ac:dyDescent="0.25">
      <c r="A42" s="66" t="s">
        <v>50</v>
      </c>
      <c r="B42" s="61">
        <v>60.9</v>
      </c>
      <c r="C42" s="61">
        <v>60.9</v>
      </c>
      <c r="D42" s="61">
        <v>60.9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60.9</v>
      </c>
      <c r="L42" s="61">
        <v>60.9</v>
      </c>
      <c r="M42" s="61">
        <v>60.9</v>
      </c>
      <c r="N42" s="61">
        <v>60.9</v>
      </c>
      <c r="O42" s="61">
        <v>60.9</v>
      </c>
      <c r="P42" s="61">
        <v>60.9</v>
      </c>
      <c r="Q42" s="61">
        <v>60.9</v>
      </c>
      <c r="R42" s="61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61">
        <v>30.9</v>
      </c>
      <c r="AG42" s="67">
        <v>60</v>
      </c>
      <c r="AH42" s="54">
        <f t="shared" si="2"/>
        <v>60.9</v>
      </c>
      <c r="AI42" s="55">
        <f t="shared" si="3"/>
        <v>30.9</v>
      </c>
      <c r="AK42" s="56"/>
    </row>
    <row r="43" spans="1:88" x14ac:dyDescent="0.25">
      <c r="A43" s="66" t="s">
        <v>51</v>
      </c>
      <c r="B43" s="61">
        <v>14.3</v>
      </c>
      <c r="C43" s="61">
        <v>10</v>
      </c>
      <c r="D43" s="61">
        <v>10</v>
      </c>
      <c r="E43" s="61">
        <v>10</v>
      </c>
      <c r="F43" s="61">
        <v>0</v>
      </c>
      <c r="G43" s="61">
        <v>0</v>
      </c>
      <c r="H43" s="61">
        <v>10</v>
      </c>
      <c r="I43" s="61">
        <v>10</v>
      </c>
      <c r="J43" s="61">
        <v>10</v>
      </c>
      <c r="K43" s="61">
        <v>10</v>
      </c>
      <c r="L43" s="61">
        <v>10</v>
      </c>
      <c r="M43" s="61">
        <v>30</v>
      </c>
      <c r="N43" s="61">
        <v>30</v>
      </c>
      <c r="O43" s="61">
        <v>30</v>
      </c>
      <c r="P43" s="61">
        <v>30</v>
      </c>
      <c r="Q43" s="61">
        <v>30</v>
      </c>
      <c r="R43" s="61">
        <v>30</v>
      </c>
      <c r="S43" s="50">
        <v>0</v>
      </c>
      <c r="T43" s="50">
        <v>10.4</v>
      </c>
      <c r="U43" s="50">
        <v>10</v>
      </c>
      <c r="V43" s="50">
        <v>23.4</v>
      </c>
      <c r="W43" s="50">
        <v>23.2</v>
      </c>
      <c r="X43" s="50">
        <v>28.1</v>
      </c>
      <c r="Y43" s="50">
        <v>28.1</v>
      </c>
      <c r="Z43" s="73">
        <v>28.3</v>
      </c>
      <c r="AA43" s="73">
        <v>21.7</v>
      </c>
      <c r="AB43" s="73">
        <v>23</v>
      </c>
      <c r="AC43" s="73">
        <v>23</v>
      </c>
      <c r="AD43" s="73">
        <v>23</v>
      </c>
      <c r="AE43" s="73">
        <v>10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61">
        <v>18</v>
      </c>
      <c r="Q45" s="61">
        <v>18</v>
      </c>
      <c r="R45" s="61">
        <v>18</v>
      </c>
      <c r="S45" s="61">
        <v>18</v>
      </c>
      <c r="T45" s="61">
        <v>18</v>
      </c>
      <c r="U45" s="61">
        <v>18</v>
      </c>
      <c r="V45" s="61">
        <v>18</v>
      </c>
      <c r="W45" s="61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61">
        <v>2.5</v>
      </c>
      <c r="N46" s="61">
        <v>2.5</v>
      </c>
      <c r="O46" s="61">
        <v>2.5</v>
      </c>
      <c r="P46" s="61">
        <v>2.5</v>
      </c>
      <c r="Q46" s="61">
        <v>2.5</v>
      </c>
      <c r="R46" s="61">
        <v>2.5</v>
      </c>
      <c r="S46" s="61">
        <v>2.5</v>
      </c>
      <c r="T46" s="61">
        <v>2.5</v>
      </c>
      <c r="U46" s="61">
        <v>2.5</v>
      </c>
      <c r="V46" s="61">
        <v>2.5</v>
      </c>
      <c r="W46" s="61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61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61">
        <v>13</v>
      </c>
      <c r="Q47" s="61">
        <v>13</v>
      </c>
      <c r="R47" s="61">
        <v>13</v>
      </c>
      <c r="S47" s="61">
        <v>13</v>
      </c>
      <c r="T47" s="61">
        <v>13</v>
      </c>
      <c r="U47" s="61">
        <v>13</v>
      </c>
      <c r="V47" s="61">
        <v>13</v>
      </c>
      <c r="W47" s="61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61">
        <v>6</v>
      </c>
      <c r="D48" s="61">
        <v>6</v>
      </c>
      <c r="E48" s="61">
        <v>6</v>
      </c>
      <c r="F48" s="61">
        <v>6</v>
      </c>
      <c r="G48" s="61">
        <v>6</v>
      </c>
      <c r="H48" s="61">
        <v>6</v>
      </c>
      <c r="I48" s="61">
        <v>6</v>
      </c>
      <c r="J48" s="61">
        <v>6</v>
      </c>
      <c r="K48" s="61">
        <v>6</v>
      </c>
      <c r="L48" s="61">
        <v>6</v>
      </c>
      <c r="M48" s="61">
        <v>6</v>
      </c>
      <c r="N48" s="61">
        <v>6</v>
      </c>
      <c r="O48" s="61">
        <v>6</v>
      </c>
      <c r="P48" s="61">
        <v>6</v>
      </c>
      <c r="Q48" s="61">
        <v>6</v>
      </c>
      <c r="R48" s="61">
        <v>6</v>
      </c>
      <c r="S48" s="61">
        <v>6</v>
      </c>
      <c r="T48" s="61">
        <v>6</v>
      </c>
      <c r="U48" s="61">
        <v>6</v>
      </c>
      <c r="V48" s="61">
        <v>6</v>
      </c>
      <c r="W48" s="61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61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61">
        <v>8</v>
      </c>
      <c r="N49" s="61">
        <v>8</v>
      </c>
      <c r="O49" s="61">
        <v>8</v>
      </c>
      <c r="P49" s="61">
        <v>8</v>
      </c>
      <c r="Q49" s="61">
        <v>8</v>
      </c>
      <c r="R49" s="61">
        <v>8</v>
      </c>
      <c r="S49" s="61">
        <v>8</v>
      </c>
      <c r="T49" s="61">
        <v>8</v>
      </c>
      <c r="U49" s="61">
        <v>8</v>
      </c>
      <c r="V49" s="61">
        <v>8</v>
      </c>
      <c r="W49" s="61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61">
        <v>4.4000000000000004</v>
      </c>
      <c r="Q50" s="61">
        <v>4.4000000000000004</v>
      </c>
      <c r="R50" s="61">
        <v>4.4000000000000004</v>
      </c>
      <c r="S50" s="61">
        <v>4.4000000000000004</v>
      </c>
      <c r="T50" s="61">
        <v>4.4000000000000004</v>
      </c>
      <c r="U50" s="61">
        <v>4.4000000000000004</v>
      </c>
      <c r="V50" s="61">
        <v>4.4000000000000004</v>
      </c>
      <c r="W50" s="61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242.64000000000001</v>
      </c>
      <c r="C52" s="72">
        <f t="shared" ref="C52:AF52" si="6">SUM(C39:C51)</f>
        <v>216.34</v>
      </c>
      <c r="D52" s="72">
        <f t="shared" si="6"/>
        <v>236.34</v>
      </c>
      <c r="E52" s="72">
        <f t="shared" si="6"/>
        <v>261.74</v>
      </c>
      <c r="F52" s="72">
        <f t="shared" si="6"/>
        <v>251.74</v>
      </c>
      <c r="G52" s="72">
        <f t="shared" si="6"/>
        <v>222.34</v>
      </c>
      <c r="H52" s="72">
        <f t="shared" si="6"/>
        <v>232.34</v>
      </c>
      <c r="I52" s="72">
        <f t="shared" si="6"/>
        <v>232.34</v>
      </c>
      <c r="J52" s="72">
        <f t="shared" si="6"/>
        <v>290.83999999999997</v>
      </c>
      <c r="K52" s="72">
        <f t="shared" si="6"/>
        <v>411.34</v>
      </c>
      <c r="L52" s="72">
        <f t="shared" si="6"/>
        <v>409.03999999999996</v>
      </c>
      <c r="M52" s="72">
        <f t="shared" si="6"/>
        <v>429.34</v>
      </c>
      <c r="N52" s="72">
        <f t="shared" si="6"/>
        <v>389.23999999999995</v>
      </c>
      <c r="O52" s="72">
        <f t="shared" si="6"/>
        <v>380.03999999999996</v>
      </c>
      <c r="P52" s="72">
        <f t="shared" si="6"/>
        <v>338.23999999999995</v>
      </c>
      <c r="Q52" s="72">
        <f t="shared" si="6"/>
        <v>341.24</v>
      </c>
      <c r="R52" s="72">
        <f t="shared" si="6"/>
        <v>333.64000000000004</v>
      </c>
      <c r="S52" s="72">
        <f t="shared" si="6"/>
        <v>297.94</v>
      </c>
      <c r="T52" s="72">
        <f t="shared" si="6"/>
        <v>331.64</v>
      </c>
      <c r="U52" s="72">
        <f t="shared" si="6"/>
        <v>329.04</v>
      </c>
      <c r="V52" s="72">
        <f t="shared" si="6"/>
        <v>402.53999999999996</v>
      </c>
      <c r="W52" s="72">
        <f t="shared" si="6"/>
        <v>396.84</v>
      </c>
      <c r="X52" s="72">
        <f t="shared" si="6"/>
        <v>427.94</v>
      </c>
      <c r="Y52" s="72">
        <f t="shared" si="6"/>
        <v>427.94</v>
      </c>
      <c r="Z52" s="72">
        <f t="shared" si="6"/>
        <v>410.14</v>
      </c>
      <c r="AA52" s="72">
        <f t="shared" si="6"/>
        <v>375.14</v>
      </c>
      <c r="AB52" s="72">
        <f t="shared" si="6"/>
        <v>392.94</v>
      </c>
      <c r="AC52" s="72">
        <f t="shared" si="6"/>
        <v>356.34</v>
      </c>
      <c r="AD52" s="72">
        <f t="shared" si="6"/>
        <v>350.34</v>
      </c>
      <c r="AE52" s="72">
        <f t="shared" si="6"/>
        <v>296.44</v>
      </c>
      <c r="AF52" s="72">
        <f t="shared" si="6"/>
        <v>200.94</v>
      </c>
      <c r="AG52" s="78">
        <f>SUM(AG39:AG51)</f>
        <v>489.91</v>
      </c>
      <c r="AH52" s="54">
        <f t="shared" si="2"/>
        <v>429.34</v>
      </c>
      <c r="AI52" s="55">
        <f t="shared" si="3"/>
        <v>200.94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0.1</v>
      </c>
      <c r="F53" s="61">
        <v>0.1</v>
      </c>
      <c r="G53" s="61">
        <v>0.1</v>
      </c>
      <c r="H53" s="61">
        <v>0.1</v>
      </c>
      <c r="I53" s="61">
        <v>0.1</v>
      </c>
      <c r="J53" s="61">
        <v>0.1</v>
      </c>
      <c r="K53" s="61">
        <v>0.1</v>
      </c>
      <c r="L53" s="61">
        <v>55</v>
      </c>
      <c r="M53" s="79">
        <v>59.9</v>
      </c>
      <c r="N53" s="79">
        <v>59.3</v>
      </c>
      <c r="O53" s="79">
        <v>29.7</v>
      </c>
      <c r="P53" s="79">
        <v>29.9</v>
      </c>
      <c r="Q53" s="50">
        <v>29.9</v>
      </c>
      <c r="R53" s="50">
        <v>13.9</v>
      </c>
      <c r="S53" s="50">
        <v>19.7</v>
      </c>
      <c r="T53" s="50">
        <v>30</v>
      </c>
      <c r="U53" s="50">
        <v>29.8</v>
      </c>
      <c r="V53" s="50">
        <v>44.7</v>
      </c>
      <c r="W53" s="50">
        <v>52.1</v>
      </c>
      <c r="X53" s="50">
        <v>55</v>
      </c>
      <c r="Y53" s="50">
        <v>55</v>
      </c>
      <c r="Z53" s="50">
        <v>53.3</v>
      </c>
      <c r="AA53" s="50">
        <v>42.2</v>
      </c>
      <c r="AB53" s="50">
        <v>29.4</v>
      </c>
      <c r="AC53" s="50">
        <v>25</v>
      </c>
      <c r="AD53" s="50">
        <v>10</v>
      </c>
      <c r="AE53" s="50">
        <v>0</v>
      </c>
      <c r="AF53" s="50">
        <v>0</v>
      </c>
      <c r="AG53" s="62">
        <v>60</v>
      </c>
      <c r="AH53" s="54">
        <f t="shared" si="2"/>
        <v>59.9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20</v>
      </c>
      <c r="M54" s="79">
        <v>29</v>
      </c>
      <c r="N54" s="79">
        <v>28.4</v>
      </c>
      <c r="O54" s="79">
        <v>14.4</v>
      </c>
      <c r="P54" s="79">
        <v>15.4</v>
      </c>
      <c r="Q54" s="73">
        <v>15.5</v>
      </c>
      <c r="R54" s="73">
        <v>8</v>
      </c>
      <c r="S54" s="50">
        <v>15.2</v>
      </c>
      <c r="T54" s="50">
        <v>14.2</v>
      </c>
      <c r="U54" s="50">
        <v>15.3</v>
      </c>
      <c r="V54" s="73">
        <v>14.7</v>
      </c>
      <c r="W54" s="73">
        <v>24</v>
      </c>
      <c r="X54" s="73">
        <v>26.8</v>
      </c>
      <c r="Y54" s="73">
        <v>26.8</v>
      </c>
      <c r="Z54" s="73">
        <v>24.7</v>
      </c>
      <c r="AA54" s="73">
        <v>19</v>
      </c>
      <c r="AB54" s="73">
        <v>15.6</v>
      </c>
      <c r="AC54" s="73">
        <v>12</v>
      </c>
      <c r="AD54" s="73">
        <v>5</v>
      </c>
      <c r="AE54" s="73">
        <v>0</v>
      </c>
      <c r="AF54" s="73">
        <v>0</v>
      </c>
      <c r="AG54" s="67">
        <v>32</v>
      </c>
      <c r="AH54" s="54">
        <f t="shared" si="2"/>
        <v>29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7.2</v>
      </c>
      <c r="M55" s="81">
        <v>10</v>
      </c>
      <c r="N55" s="81">
        <v>10.3</v>
      </c>
      <c r="O55" s="81">
        <v>5.2</v>
      </c>
      <c r="P55" s="81">
        <v>5.6</v>
      </c>
      <c r="Q55" s="80">
        <v>5.7</v>
      </c>
      <c r="R55" s="80">
        <v>2.9</v>
      </c>
      <c r="S55" s="50">
        <v>5.5</v>
      </c>
      <c r="T55" s="50">
        <v>5.2</v>
      </c>
      <c r="U55" s="50">
        <v>5.6</v>
      </c>
      <c r="V55" s="80">
        <v>5.4</v>
      </c>
      <c r="W55" s="80">
        <v>8.8000000000000007</v>
      </c>
      <c r="X55" s="80">
        <v>9.8000000000000007</v>
      </c>
      <c r="Y55" s="80">
        <v>9.8000000000000007</v>
      </c>
      <c r="Z55" s="80">
        <v>9</v>
      </c>
      <c r="AA55" s="80">
        <v>6.9</v>
      </c>
      <c r="AB55" s="80">
        <v>5.7</v>
      </c>
      <c r="AC55" s="80">
        <v>6</v>
      </c>
      <c r="AD55" s="80">
        <v>2</v>
      </c>
      <c r="AE55" s="80">
        <v>0</v>
      </c>
      <c r="AF55" s="80">
        <v>0</v>
      </c>
      <c r="AG55" s="82">
        <v>14</v>
      </c>
      <c r="AH55" s="54">
        <f t="shared" si="2"/>
        <v>10.3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0.1</v>
      </c>
      <c r="F56" s="72">
        <f t="shared" si="7"/>
        <v>0.1</v>
      </c>
      <c r="G56" s="72">
        <f t="shared" si="7"/>
        <v>0.1</v>
      </c>
      <c r="H56" s="72">
        <f t="shared" si="7"/>
        <v>0.1</v>
      </c>
      <c r="I56" s="72">
        <f t="shared" si="7"/>
        <v>0.1</v>
      </c>
      <c r="J56" s="72">
        <f t="shared" si="7"/>
        <v>0.1</v>
      </c>
      <c r="K56" s="72">
        <f t="shared" si="7"/>
        <v>0.1</v>
      </c>
      <c r="L56" s="72">
        <f t="shared" si="7"/>
        <v>82.2</v>
      </c>
      <c r="M56" s="72">
        <f t="shared" si="7"/>
        <v>98.9</v>
      </c>
      <c r="N56" s="72">
        <f t="shared" si="7"/>
        <v>97.999999999999986</v>
      </c>
      <c r="O56" s="72">
        <f t="shared" si="7"/>
        <v>49.300000000000004</v>
      </c>
      <c r="P56" s="72">
        <f t="shared" si="7"/>
        <v>50.9</v>
      </c>
      <c r="Q56" s="72">
        <f t="shared" si="7"/>
        <v>51.1</v>
      </c>
      <c r="R56" s="72">
        <f t="shared" si="7"/>
        <v>24.799999999999997</v>
      </c>
      <c r="S56" s="72">
        <f t="shared" si="7"/>
        <v>40.4</v>
      </c>
      <c r="T56" s="72">
        <f t="shared" si="7"/>
        <v>49.400000000000006</v>
      </c>
      <c r="U56" s="72">
        <f t="shared" si="7"/>
        <v>50.7</v>
      </c>
      <c r="V56" s="72">
        <f t="shared" si="7"/>
        <v>64.800000000000011</v>
      </c>
      <c r="W56" s="72">
        <f t="shared" si="7"/>
        <v>84.899999999999991</v>
      </c>
      <c r="X56" s="72">
        <f t="shared" si="7"/>
        <v>91.6</v>
      </c>
      <c r="Y56" s="72">
        <f t="shared" si="7"/>
        <v>91.6</v>
      </c>
      <c r="Z56" s="72">
        <f t="shared" si="7"/>
        <v>87</v>
      </c>
      <c r="AA56" s="72">
        <f t="shared" si="7"/>
        <v>68.100000000000009</v>
      </c>
      <c r="AB56" s="72">
        <f t="shared" si="7"/>
        <v>50.7</v>
      </c>
      <c r="AC56" s="72">
        <f t="shared" si="7"/>
        <v>43</v>
      </c>
      <c r="AD56" s="72">
        <f t="shared" si="7"/>
        <v>17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98.9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0</v>
      </c>
      <c r="C57" s="50">
        <v>30</v>
      </c>
      <c r="D57" s="50">
        <v>30</v>
      </c>
      <c r="E57" s="50">
        <v>30</v>
      </c>
      <c r="F57" s="50">
        <v>39</v>
      </c>
      <c r="G57" s="50">
        <v>39</v>
      </c>
      <c r="H57" s="50">
        <v>41</v>
      </c>
      <c r="I57" s="50">
        <v>40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44</v>
      </c>
      <c r="AF57" s="50">
        <v>49.2</v>
      </c>
      <c r="AG57" s="62"/>
      <c r="AH57" s="54">
        <f t="shared" si="2"/>
        <v>49.2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103</v>
      </c>
      <c r="C59" s="73">
        <v>105</v>
      </c>
      <c r="D59" s="73">
        <v>40</v>
      </c>
      <c r="E59" s="73">
        <v>41.5</v>
      </c>
      <c r="F59" s="73">
        <v>48</v>
      </c>
      <c r="G59" s="73">
        <v>72</v>
      </c>
      <c r="H59" s="73">
        <v>77</v>
      </c>
      <c r="I59" s="73">
        <v>77</v>
      </c>
      <c r="J59" s="50">
        <v>220</v>
      </c>
      <c r="K59" s="50">
        <v>192</v>
      </c>
      <c r="L59" s="50">
        <v>310</v>
      </c>
      <c r="M59" s="73">
        <v>206</v>
      </c>
      <c r="N59" s="73">
        <v>197</v>
      </c>
      <c r="O59" s="73">
        <v>270</v>
      </c>
      <c r="P59" s="73">
        <v>320</v>
      </c>
      <c r="Q59" s="73">
        <v>327</v>
      </c>
      <c r="R59" s="73">
        <v>335</v>
      </c>
      <c r="S59" s="73">
        <v>302.5</v>
      </c>
      <c r="T59" s="73">
        <v>312.10000000000002</v>
      </c>
      <c r="U59" s="73">
        <v>274</v>
      </c>
      <c r="V59" s="73">
        <v>207.3</v>
      </c>
      <c r="W59" s="73">
        <v>263.2</v>
      </c>
      <c r="X59" s="84">
        <v>157</v>
      </c>
      <c r="Y59" s="84">
        <v>141</v>
      </c>
      <c r="Z59" s="84">
        <v>210</v>
      </c>
      <c r="AA59" s="84">
        <v>193.3</v>
      </c>
      <c r="AB59" s="73">
        <v>200</v>
      </c>
      <c r="AC59" s="73">
        <v>285</v>
      </c>
      <c r="AD59" s="73">
        <v>275</v>
      </c>
      <c r="AE59" s="73">
        <v>220</v>
      </c>
      <c r="AF59" s="73">
        <v>130</v>
      </c>
      <c r="AG59" s="85"/>
      <c r="AH59" s="54">
        <f t="shared" si="2"/>
        <v>335</v>
      </c>
      <c r="AI59" s="55">
        <f t="shared" si="3"/>
        <v>40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48</v>
      </c>
      <c r="J60" s="58">
        <v>48</v>
      </c>
      <c r="K60" s="58">
        <v>48</v>
      </c>
      <c r="L60" s="58">
        <v>50</v>
      </c>
      <c r="M60" s="73">
        <v>54</v>
      </c>
      <c r="N60" s="73">
        <v>54</v>
      </c>
      <c r="O60" s="73">
        <v>54</v>
      </c>
      <c r="P60" s="73">
        <v>50</v>
      </c>
      <c r="Q60" s="73">
        <v>50</v>
      </c>
      <c r="R60" s="73">
        <v>50</v>
      </c>
      <c r="S60" s="73">
        <v>55</v>
      </c>
      <c r="T60" s="73">
        <v>55</v>
      </c>
      <c r="U60" s="73">
        <v>55</v>
      </c>
      <c r="V60" s="73">
        <v>54</v>
      </c>
      <c r="W60" s="73">
        <v>52</v>
      </c>
      <c r="X60" s="73">
        <v>57</v>
      </c>
      <c r="Y60" s="73">
        <v>50</v>
      </c>
      <c r="Z60" s="73">
        <v>50</v>
      </c>
      <c r="AA60" s="73">
        <v>50</v>
      </c>
      <c r="AB60" s="73">
        <v>48</v>
      </c>
      <c r="AC60" s="73">
        <v>5</v>
      </c>
      <c r="AD60" s="73">
        <v>5</v>
      </c>
      <c r="AE60" s="73">
        <v>0</v>
      </c>
      <c r="AF60" s="58">
        <v>0</v>
      </c>
      <c r="AG60" s="85"/>
      <c r="AH60" s="54">
        <f t="shared" si="2"/>
        <v>57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60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58.4</v>
      </c>
      <c r="V61" s="50">
        <v>56.3</v>
      </c>
      <c r="W61" s="50">
        <v>60.5</v>
      </c>
      <c r="X61" s="50">
        <v>66.3</v>
      </c>
      <c r="Y61" s="50">
        <v>75</v>
      </c>
      <c r="Z61" s="50">
        <v>68.599999999999994</v>
      </c>
      <c r="AA61" s="50">
        <v>74.7</v>
      </c>
      <c r="AB61" s="50">
        <v>55</v>
      </c>
      <c r="AC61" s="50">
        <v>55</v>
      </c>
      <c r="AD61" s="50">
        <v>55</v>
      </c>
      <c r="AE61" s="50">
        <v>0</v>
      </c>
      <c r="AF61" s="50">
        <v>0</v>
      </c>
      <c r="AG61" s="85"/>
      <c r="AH61" s="54">
        <f t="shared" si="2"/>
        <v>75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60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60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0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0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103</v>
      </c>
      <c r="C68" s="72">
        <f>SUM(C57:C67)</f>
        <v>135</v>
      </c>
      <c r="D68" s="72">
        <f t="shared" ref="D68:AF68" si="8">SUM(D57:D67)</f>
        <v>70</v>
      </c>
      <c r="E68" s="72">
        <f t="shared" si="8"/>
        <v>71.5</v>
      </c>
      <c r="F68" s="72">
        <f t="shared" si="8"/>
        <v>87</v>
      </c>
      <c r="G68" s="72">
        <f t="shared" si="8"/>
        <v>111</v>
      </c>
      <c r="H68" s="72">
        <f t="shared" si="8"/>
        <v>118</v>
      </c>
      <c r="I68" s="72">
        <f t="shared" si="8"/>
        <v>225</v>
      </c>
      <c r="J68" s="72">
        <f t="shared" si="8"/>
        <v>268</v>
      </c>
      <c r="K68" s="72">
        <f t="shared" si="8"/>
        <v>240</v>
      </c>
      <c r="L68" s="72">
        <f t="shared" si="8"/>
        <v>360</v>
      </c>
      <c r="M68" s="72">
        <f t="shared" si="8"/>
        <v>260</v>
      </c>
      <c r="N68" s="72">
        <f t="shared" si="8"/>
        <v>251</v>
      </c>
      <c r="O68" s="72">
        <f t="shared" si="8"/>
        <v>324</v>
      </c>
      <c r="P68" s="72">
        <f t="shared" si="8"/>
        <v>370</v>
      </c>
      <c r="Q68" s="72">
        <f t="shared" si="8"/>
        <v>377</v>
      </c>
      <c r="R68" s="72">
        <f t="shared" si="8"/>
        <v>385</v>
      </c>
      <c r="S68" s="72">
        <f t="shared" si="8"/>
        <v>357.5</v>
      </c>
      <c r="T68" s="72">
        <f t="shared" si="8"/>
        <v>367.1</v>
      </c>
      <c r="U68" s="72">
        <f t="shared" si="8"/>
        <v>387.4</v>
      </c>
      <c r="V68" s="72">
        <f t="shared" si="8"/>
        <v>317.60000000000002</v>
      </c>
      <c r="W68" s="72">
        <f t="shared" si="8"/>
        <v>375.7</v>
      </c>
      <c r="X68" s="72">
        <f t="shared" si="8"/>
        <v>280.3</v>
      </c>
      <c r="Y68" s="72">
        <f t="shared" si="8"/>
        <v>266</v>
      </c>
      <c r="Z68" s="72">
        <f t="shared" si="8"/>
        <v>328.6</v>
      </c>
      <c r="AA68" s="72">
        <f t="shared" si="8"/>
        <v>318</v>
      </c>
      <c r="AB68" s="72">
        <f t="shared" si="8"/>
        <v>303</v>
      </c>
      <c r="AC68" s="72">
        <f t="shared" si="8"/>
        <v>345</v>
      </c>
      <c r="AD68" s="72">
        <f t="shared" si="8"/>
        <v>335</v>
      </c>
      <c r="AE68" s="72">
        <f t="shared" si="8"/>
        <v>264</v>
      </c>
      <c r="AF68" s="72">
        <f t="shared" si="8"/>
        <v>179.2</v>
      </c>
      <c r="AG68" s="78">
        <f>SUM(AG57:AG67)</f>
        <v>0</v>
      </c>
      <c r="AH68" s="54">
        <f t="shared" si="2"/>
        <v>387.4</v>
      </c>
      <c r="AI68" s="55">
        <f t="shared" si="3"/>
        <v>70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878.74</v>
      </c>
      <c r="C73" s="89">
        <f>C68+C56+C52+C38+C72</f>
        <v>839.44</v>
      </c>
      <c r="D73" s="89">
        <f t="shared" ref="D73:AG73" si="10">D68+D56+D52+D38+D72</f>
        <v>824.44</v>
      </c>
      <c r="E73" s="89">
        <f t="shared" si="10"/>
        <v>819.44</v>
      </c>
      <c r="F73" s="89">
        <f t="shared" si="10"/>
        <v>824.94</v>
      </c>
      <c r="G73" s="89">
        <f t="shared" si="10"/>
        <v>901.54</v>
      </c>
      <c r="H73" s="89">
        <f t="shared" si="10"/>
        <v>958.54</v>
      </c>
      <c r="I73" s="89">
        <f t="shared" si="10"/>
        <v>1075.54</v>
      </c>
      <c r="J73" s="89">
        <f t="shared" si="10"/>
        <v>1177.04</v>
      </c>
      <c r="K73" s="89">
        <f t="shared" si="10"/>
        <v>1269.54</v>
      </c>
      <c r="L73" s="89">
        <f t="shared" si="10"/>
        <v>1429.3400000000001</v>
      </c>
      <c r="M73" s="89">
        <f t="shared" si="10"/>
        <v>1476.3400000000001</v>
      </c>
      <c r="N73" s="89">
        <f t="shared" si="10"/>
        <v>1416.3400000000001</v>
      </c>
      <c r="O73" s="89">
        <f t="shared" si="10"/>
        <v>1502.44</v>
      </c>
      <c r="P73" s="89">
        <f t="shared" si="10"/>
        <v>1317.2399999999998</v>
      </c>
      <c r="Q73" s="89">
        <f t="shared" si="10"/>
        <v>1327.44</v>
      </c>
      <c r="R73" s="89">
        <f t="shared" si="10"/>
        <v>1271.54</v>
      </c>
      <c r="S73" s="89">
        <f t="shared" si="10"/>
        <v>1245.94</v>
      </c>
      <c r="T73" s="89">
        <f t="shared" si="10"/>
        <v>1298.24</v>
      </c>
      <c r="U73" s="89">
        <f t="shared" si="10"/>
        <v>1315.24</v>
      </c>
      <c r="V73" s="89">
        <f t="shared" si="10"/>
        <v>1403.04</v>
      </c>
      <c r="W73" s="89">
        <f t="shared" si="10"/>
        <v>1525.54</v>
      </c>
      <c r="X73" s="89">
        <f t="shared" si="10"/>
        <v>1595.54</v>
      </c>
      <c r="Y73" s="89">
        <f t="shared" si="10"/>
        <v>1571.04</v>
      </c>
      <c r="Z73" s="89">
        <f t="shared" si="10"/>
        <v>1511.24</v>
      </c>
      <c r="AA73" s="89">
        <f t="shared" si="10"/>
        <v>1456.74</v>
      </c>
      <c r="AB73" s="89">
        <f t="shared" si="10"/>
        <v>1402.1399999999999</v>
      </c>
      <c r="AC73" s="89">
        <f t="shared" si="10"/>
        <v>1299.8399999999999</v>
      </c>
      <c r="AD73" s="89">
        <f t="shared" si="10"/>
        <v>1252.04</v>
      </c>
      <c r="AE73" s="89">
        <f t="shared" si="10"/>
        <v>1069.94</v>
      </c>
      <c r="AF73" s="89">
        <f t="shared" si="10"/>
        <v>920.54</v>
      </c>
      <c r="AG73" s="89">
        <f t="shared" si="10"/>
        <v>2144.14</v>
      </c>
      <c r="AH73" s="54">
        <f t="shared" si="2"/>
        <v>1595.54</v>
      </c>
      <c r="AI73" s="55">
        <f t="shared" si="3"/>
        <v>819.44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878.74</v>
      </c>
      <c r="C75" s="89">
        <f>C73+C74</f>
        <v>839.44</v>
      </c>
      <c r="D75" s="89">
        <f t="shared" ref="D75:AF75" si="11">D72+D68+D56+D52+D38+D74</f>
        <v>824.44</v>
      </c>
      <c r="E75" s="89">
        <f t="shared" si="11"/>
        <v>819.44</v>
      </c>
      <c r="F75" s="89">
        <f t="shared" si="11"/>
        <v>824.94</v>
      </c>
      <c r="G75" s="89">
        <f t="shared" si="11"/>
        <v>901.54</v>
      </c>
      <c r="H75" s="89">
        <f t="shared" si="11"/>
        <v>958.54</v>
      </c>
      <c r="I75" s="89">
        <f t="shared" si="11"/>
        <v>1075.54</v>
      </c>
      <c r="J75" s="89">
        <f t="shared" si="11"/>
        <v>1177.04</v>
      </c>
      <c r="K75" s="89">
        <f t="shared" si="11"/>
        <v>1269.54</v>
      </c>
      <c r="L75" s="89">
        <f t="shared" si="11"/>
        <v>1429.3400000000001</v>
      </c>
      <c r="M75" s="89">
        <f t="shared" si="11"/>
        <v>1476.3400000000001</v>
      </c>
      <c r="N75" s="89">
        <f t="shared" si="11"/>
        <v>1416.3400000000001</v>
      </c>
      <c r="O75" s="89">
        <f t="shared" si="11"/>
        <v>1502.44</v>
      </c>
      <c r="P75" s="89">
        <f t="shared" si="11"/>
        <v>1317.2399999999998</v>
      </c>
      <c r="Q75" s="89">
        <f t="shared" si="11"/>
        <v>1327.44</v>
      </c>
      <c r="R75" s="89">
        <f t="shared" si="11"/>
        <v>1271.54</v>
      </c>
      <c r="S75" s="89">
        <f t="shared" si="11"/>
        <v>1245.94</v>
      </c>
      <c r="T75" s="89">
        <f t="shared" si="11"/>
        <v>1298.24</v>
      </c>
      <c r="U75" s="89">
        <f t="shared" si="11"/>
        <v>1315.24</v>
      </c>
      <c r="V75" s="89">
        <f t="shared" si="11"/>
        <v>1403.04</v>
      </c>
      <c r="W75" s="89">
        <f t="shared" si="11"/>
        <v>1525.54</v>
      </c>
      <c r="X75" s="89">
        <f t="shared" si="11"/>
        <v>1595.54</v>
      </c>
      <c r="Y75" s="89">
        <f t="shared" si="11"/>
        <v>1571.04</v>
      </c>
      <c r="Z75" s="89">
        <f t="shared" si="11"/>
        <v>1511.24</v>
      </c>
      <c r="AA75" s="89">
        <f t="shared" si="11"/>
        <v>1456.74</v>
      </c>
      <c r="AB75" s="89">
        <f t="shared" si="11"/>
        <v>1402.1399999999999</v>
      </c>
      <c r="AC75" s="89">
        <f t="shared" si="11"/>
        <v>1299.8399999999999</v>
      </c>
      <c r="AD75" s="89">
        <f t="shared" si="11"/>
        <v>1252.04</v>
      </c>
      <c r="AE75" s="89">
        <f t="shared" si="11"/>
        <v>1069.94</v>
      </c>
      <c r="AF75" s="89">
        <f t="shared" si="11"/>
        <v>920.54</v>
      </c>
      <c r="AG75" s="78">
        <f>AG72+AG68+AG56+AG52+AG38+AG74</f>
        <v>2144.14</v>
      </c>
      <c r="AH75" s="54">
        <f t="shared" si="2"/>
        <v>1595.54</v>
      </c>
      <c r="AI75" s="55">
        <f t="shared" si="3"/>
        <v>819.44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1757.48</v>
      </c>
      <c r="C83" s="72">
        <f t="shared" ref="C83:AG83" si="20">SUM(C70:C82)</f>
        <v>1678.88</v>
      </c>
      <c r="D83" s="72">
        <f t="shared" si="20"/>
        <v>1648.88</v>
      </c>
      <c r="E83" s="72">
        <f t="shared" si="20"/>
        <v>1638.88</v>
      </c>
      <c r="F83" s="72">
        <f t="shared" si="20"/>
        <v>1649.88</v>
      </c>
      <c r="G83" s="72">
        <f t="shared" si="20"/>
        <v>1803.08</v>
      </c>
      <c r="H83" s="72">
        <f t="shared" si="20"/>
        <v>1917.08</v>
      </c>
      <c r="I83" s="72">
        <f t="shared" si="20"/>
        <v>2151.08</v>
      </c>
      <c r="J83" s="72">
        <f t="shared" si="20"/>
        <v>2354.08</v>
      </c>
      <c r="K83" s="72">
        <f t="shared" si="20"/>
        <v>2539.08</v>
      </c>
      <c r="L83" s="72">
        <f t="shared" si="20"/>
        <v>2858.6800000000003</v>
      </c>
      <c r="M83" s="72">
        <f t="shared" si="20"/>
        <v>2952.6800000000003</v>
      </c>
      <c r="N83" s="72">
        <f t="shared" si="20"/>
        <v>2832.6800000000003</v>
      </c>
      <c r="O83" s="72">
        <f t="shared" si="20"/>
        <v>3004.88</v>
      </c>
      <c r="P83" s="72">
        <f t="shared" si="20"/>
        <v>2634.4799999999996</v>
      </c>
      <c r="Q83" s="72">
        <f t="shared" si="20"/>
        <v>2654.88</v>
      </c>
      <c r="R83" s="72">
        <f t="shared" si="20"/>
        <v>2543.08</v>
      </c>
      <c r="S83" s="72">
        <f t="shared" si="20"/>
        <v>2491.88</v>
      </c>
      <c r="T83" s="72">
        <f t="shared" si="20"/>
        <v>2596.48</v>
      </c>
      <c r="U83" s="72">
        <f t="shared" si="20"/>
        <v>2630.48</v>
      </c>
      <c r="V83" s="72">
        <f t="shared" si="20"/>
        <v>2806.08</v>
      </c>
      <c r="W83" s="72">
        <f t="shared" si="20"/>
        <v>3051.08</v>
      </c>
      <c r="X83" s="72">
        <f t="shared" si="20"/>
        <v>3191.08</v>
      </c>
      <c r="Y83" s="72">
        <f t="shared" si="20"/>
        <v>3142.08</v>
      </c>
      <c r="Z83" s="72">
        <f t="shared" si="20"/>
        <v>3022.48</v>
      </c>
      <c r="AA83" s="72">
        <f t="shared" si="20"/>
        <v>2913.48</v>
      </c>
      <c r="AB83" s="72">
        <f t="shared" si="20"/>
        <v>2804.2799999999997</v>
      </c>
      <c r="AC83" s="72">
        <f t="shared" si="20"/>
        <v>2599.6799999999998</v>
      </c>
      <c r="AD83" s="72">
        <f t="shared" si="20"/>
        <v>2504.08</v>
      </c>
      <c r="AE83" s="72">
        <f t="shared" si="20"/>
        <v>2139.88</v>
      </c>
      <c r="AF83" s="72">
        <f t="shared" si="20"/>
        <v>1841.08</v>
      </c>
      <c r="AG83" s="78">
        <f t="shared" si="20"/>
        <v>4360.08</v>
      </c>
      <c r="AH83" s="54">
        <f t="shared" si="13"/>
        <v>3191.08</v>
      </c>
      <c r="AI83" s="55">
        <f t="shared" si="14"/>
        <v>1638.88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49.98</v>
      </c>
      <c r="C84" s="95">
        <v>49.95</v>
      </c>
      <c r="D84" s="95">
        <v>49.78</v>
      </c>
      <c r="E84" s="95">
        <v>49.994</v>
      </c>
      <c r="F84" s="95">
        <v>49.987000000000002</v>
      </c>
      <c r="G84" s="95">
        <v>49.975999999999999</v>
      </c>
      <c r="H84" s="95">
        <v>50.5</v>
      </c>
      <c r="I84" s="95">
        <v>50.5</v>
      </c>
      <c r="J84" s="95">
        <v>49.965000000000003</v>
      </c>
      <c r="K84" s="95">
        <v>49.93</v>
      </c>
      <c r="L84" s="95">
        <v>49.889000000000003</v>
      </c>
      <c r="M84" s="95">
        <v>50.052999999999997</v>
      </c>
      <c r="N84" s="95">
        <v>50.07</v>
      </c>
      <c r="O84" s="95">
        <v>49.86</v>
      </c>
      <c r="P84" s="95">
        <v>50.05</v>
      </c>
      <c r="Q84" s="95">
        <v>49.954000000000001</v>
      </c>
      <c r="R84" s="95">
        <v>49.92</v>
      </c>
      <c r="S84" s="95">
        <v>50.101999999999997</v>
      </c>
      <c r="T84" s="95">
        <v>50.024999999999999</v>
      </c>
      <c r="U84" s="95">
        <v>49.959000000000003</v>
      </c>
      <c r="V84" s="95">
        <v>50.027000000000001</v>
      </c>
      <c r="W84" s="95">
        <v>50.085000000000001</v>
      </c>
      <c r="X84" s="95">
        <v>50.084000000000003</v>
      </c>
      <c r="Y84" s="95">
        <v>50.084000000000003</v>
      </c>
      <c r="Z84" s="95">
        <v>50.054000000000002</v>
      </c>
      <c r="AA84" s="95">
        <v>49.991999999999997</v>
      </c>
      <c r="AB84" s="95">
        <v>50.081000000000003</v>
      </c>
      <c r="AC84" s="95">
        <v>49.99</v>
      </c>
      <c r="AD84" s="95">
        <v>49.99</v>
      </c>
      <c r="AE84" s="95">
        <v>50.03</v>
      </c>
      <c r="AF84" s="95">
        <v>49.99</v>
      </c>
      <c r="AG84" s="96"/>
      <c r="AH84" s="54">
        <f t="shared" si="13"/>
        <v>50.5</v>
      </c>
      <c r="AI84" s="55">
        <f t="shared" si="14"/>
        <v>49.78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128.6</v>
      </c>
      <c r="C85" s="73">
        <v>129</v>
      </c>
      <c r="D85" s="73">
        <v>129</v>
      </c>
      <c r="E85" s="73">
        <v>130.4</v>
      </c>
      <c r="F85" s="73">
        <v>129</v>
      </c>
      <c r="G85" s="73">
        <v>127.3</v>
      </c>
      <c r="H85" s="73">
        <v>128.6</v>
      </c>
      <c r="I85" s="73">
        <v>128.6</v>
      </c>
      <c r="J85" s="73">
        <v>122.6</v>
      </c>
      <c r="K85" s="73">
        <v>124.7</v>
      </c>
      <c r="L85" s="73">
        <v>122</v>
      </c>
      <c r="M85" s="73">
        <v>122.6</v>
      </c>
      <c r="N85" s="73">
        <v>124.4</v>
      </c>
      <c r="O85" s="73">
        <v>122</v>
      </c>
      <c r="P85" s="73">
        <v>123.9</v>
      </c>
      <c r="Q85" s="73">
        <v>122.6</v>
      </c>
      <c r="R85" s="73">
        <v>123.5</v>
      </c>
      <c r="S85" s="73">
        <v>122.2</v>
      </c>
      <c r="T85" s="73">
        <v>122.5</v>
      </c>
      <c r="U85" s="98">
        <v>124.1</v>
      </c>
      <c r="V85" s="98">
        <v>124.4</v>
      </c>
      <c r="W85" s="98">
        <v>123.8</v>
      </c>
      <c r="X85" s="98">
        <v>123.9</v>
      </c>
      <c r="Y85" s="98">
        <v>125.4</v>
      </c>
      <c r="Z85" s="98">
        <v>126.7</v>
      </c>
      <c r="AA85" s="98">
        <v>126.1</v>
      </c>
      <c r="AB85" s="73">
        <v>125.6</v>
      </c>
      <c r="AC85" s="73">
        <v>125.6</v>
      </c>
      <c r="AD85" s="73">
        <v>125.8</v>
      </c>
      <c r="AE85" s="73">
        <v>126.4</v>
      </c>
      <c r="AF85" s="73">
        <v>127.3</v>
      </c>
      <c r="AG85" s="99"/>
      <c r="AH85" s="54">
        <f t="shared" si="13"/>
        <v>130.4</v>
      </c>
      <c r="AI85" s="55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132</v>
      </c>
      <c r="C86" s="73">
        <v>132.80000000000001</v>
      </c>
      <c r="D86" s="73">
        <v>133</v>
      </c>
      <c r="E86" s="73">
        <v>133.69999999999999</v>
      </c>
      <c r="F86" s="73">
        <v>132.80000000000001</v>
      </c>
      <c r="G86" s="73">
        <v>131.19999999999999</v>
      </c>
      <c r="H86" s="73">
        <v>131.5</v>
      </c>
      <c r="I86" s="73">
        <v>131.5</v>
      </c>
      <c r="J86" s="73">
        <v>126.1</v>
      </c>
      <c r="K86" s="73">
        <v>127.4</v>
      </c>
      <c r="L86" s="73">
        <v>125</v>
      </c>
      <c r="M86" s="73">
        <v>125</v>
      </c>
      <c r="N86" s="73">
        <v>127</v>
      </c>
      <c r="O86" s="73">
        <v>124.8</v>
      </c>
      <c r="P86" s="73">
        <v>126.5</v>
      </c>
      <c r="Q86" s="73">
        <v>125.6</v>
      </c>
      <c r="R86" s="73">
        <v>1268</v>
      </c>
      <c r="S86" s="73">
        <v>125.3</v>
      </c>
      <c r="T86" s="73">
        <v>125.3</v>
      </c>
      <c r="U86" s="98">
        <v>126.1</v>
      </c>
      <c r="V86" s="98">
        <v>125.9</v>
      </c>
      <c r="W86" s="98">
        <v>125.2</v>
      </c>
      <c r="X86" s="98">
        <v>124.9</v>
      </c>
      <c r="Y86" s="98">
        <v>126.3</v>
      </c>
      <c r="Z86" s="98">
        <v>127.6</v>
      </c>
      <c r="AA86" s="98">
        <v>127.3</v>
      </c>
      <c r="AB86" s="73">
        <v>127.5</v>
      </c>
      <c r="AC86" s="73">
        <v>127.5</v>
      </c>
      <c r="AD86" s="73">
        <v>127.8</v>
      </c>
      <c r="AE86" s="73">
        <v>129.4</v>
      </c>
      <c r="AF86" s="73">
        <v>131.1</v>
      </c>
      <c r="AG86" s="99"/>
      <c r="AH86" s="54">
        <f t="shared" si="13"/>
        <v>1268</v>
      </c>
      <c r="AI86" s="55">
        <f t="shared" si="14"/>
        <v>124.8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98"/>
      <c r="Y87" s="98"/>
      <c r="Z87" s="98"/>
      <c r="AA87" s="98"/>
      <c r="AB87" s="73"/>
      <c r="AC87" s="73"/>
      <c r="AD87" s="73"/>
      <c r="AE87" s="73"/>
      <c r="AF87" s="73"/>
      <c r="AG87" s="99"/>
      <c r="AH87" s="54">
        <f t="shared" si="13"/>
        <v>0</v>
      </c>
      <c r="AI87" s="55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98"/>
      <c r="Y88" s="98"/>
      <c r="Z88" s="98"/>
      <c r="AA88" s="98"/>
      <c r="AB88" s="73"/>
      <c r="AC88" s="73"/>
      <c r="AD88" s="73"/>
      <c r="AE88" s="73"/>
      <c r="AF88" s="73"/>
      <c r="AG88" s="99"/>
      <c r="AH88" s="54">
        <f t="shared" si="13"/>
        <v>0</v>
      </c>
      <c r="AI88" s="55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</v>
      </c>
      <c r="C89" s="101">
        <v>132</v>
      </c>
      <c r="D89" s="101">
        <v>134</v>
      </c>
      <c r="E89" s="101">
        <v>135.6</v>
      </c>
      <c r="F89" s="101">
        <v>134.9</v>
      </c>
      <c r="G89" s="101">
        <v>130.19999999999999</v>
      </c>
      <c r="H89" s="101">
        <v>134.30000000000001</v>
      </c>
      <c r="I89" s="101">
        <v>134.30000000000001</v>
      </c>
      <c r="J89" s="101">
        <v>133.80000000000001</v>
      </c>
      <c r="K89" s="101"/>
      <c r="L89" s="101">
        <v>133</v>
      </c>
      <c r="M89" s="101">
        <v>134.6</v>
      </c>
      <c r="N89" s="101">
        <v>137.69999999999999</v>
      </c>
      <c r="O89" s="101">
        <v>134.6</v>
      </c>
      <c r="P89" s="101">
        <v>132.4</v>
      </c>
      <c r="Q89" s="101">
        <v>130</v>
      </c>
      <c r="R89" s="101">
        <v>134.6</v>
      </c>
      <c r="S89" s="101">
        <v>132.19999999999999</v>
      </c>
      <c r="T89" s="101">
        <v>132.6</v>
      </c>
      <c r="U89" s="101">
        <v>132.69999999999999</v>
      </c>
      <c r="V89" s="101">
        <v>131.5</v>
      </c>
      <c r="W89" s="101">
        <v>134</v>
      </c>
      <c r="X89" s="98">
        <v>134.30000000000001</v>
      </c>
      <c r="Y89" s="98">
        <v>134.9</v>
      </c>
      <c r="Z89" s="98">
        <v>137.30000000000001</v>
      </c>
      <c r="AA89" s="98">
        <v>134.1</v>
      </c>
      <c r="AB89" s="101">
        <v>135.1</v>
      </c>
      <c r="AC89" s="101">
        <v>135.1</v>
      </c>
      <c r="AD89" s="101">
        <v>132.4</v>
      </c>
      <c r="AE89" s="101">
        <v>133.5</v>
      </c>
      <c r="AF89" s="101">
        <v>129.9</v>
      </c>
      <c r="AG89" s="102"/>
      <c r="AH89" s="54">
        <f t="shared" si="13"/>
        <v>137.69999999999999</v>
      </c>
      <c r="AI89" s="55">
        <f t="shared" si="14"/>
        <v>129.9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135</v>
      </c>
      <c r="C90" s="73">
        <v>136</v>
      </c>
      <c r="D90" s="73">
        <v>136</v>
      </c>
      <c r="E90" s="73">
        <v>137.1</v>
      </c>
      <c r="F90" s="73">
        <v>137.19999999999999</v>
      </c>
      <c r="G90" s="73">
        <v>135.5</v>
      </c>
      <c r="H90" s="73">
        <v>137</v>
      </c>
      <c r="I90" s="73">
        <v>137</v>
      </c>
      <c r="J90" s="73">
        <v>129.9</v>
      </c>
      <c r="K90" s="73"/>
      <c r="L90" s="73">
        <v>130</v>
      </c>
      <c r="M90" s="73">
        <v>132</v>
      </c>
      <c r="N90" s="73">
        <v>130.69999999999999</v>
      </c>
      <c r="O90" s="73">
        <v>130.80000000000001</v>
      </c>
      <c r="P90" s="73">
        <v>130.5</v>
      </c>
      <c r="Q90" s="73">
        <v>128.5</v>
      </c>
      <c r="R90" s="73">
        <v>133.9</v>
      </c>
      <c r="S90" s="73">
        <v>128.69999999999999</v>
      </c>
      <c r="T90" s="73">
        <v>132.6</v>
      </c>
      <c r="U90" s="73">
        <v>131.80000000000001</v>
      </c>
      <c r="V90" s="73">
        <v>132</v>
      </c>
      <c r="W90" s="73">
        <v>133.4</v>
      </c>
      <c r="X90" s="98">
        <v>134</v>
      </c>
      <c r="Y90" s="98">
        <v>133.69999999999999</v>
      </c>
      <c r="Z90" s="98">
        <v>136.30000000000001</v>
      </c>
      <c r="AA90" s="98">
        <v>130</v>
      </c>
      <c r="AB90" s="73">
        <v>133</v>
      </c>
      <c r="AC90" s="73">
        <v>133</v>
      </c>
      <c r="AD90" s="73">
        <v>133.30000000000001</v>
      </c>
      <c r="AE90" s="73">
        <v>136</v>
      </c>
      <c r="AF90" s="73">
        <v>135.4</v>
      </c>
      <c r="AG90" s="99"/>
      <c r="AH90" s="54">
        <f t="shared" si="13"/>
        <v>137.19999999999999</v>
      </c>
      <c r="AI90" s="55">
        <f t="shared" si="14"/>
        <v>128.5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</v>
      </c>
      <c r="C91" s="103">
        <v>67</v>
      </c>
      <c r="D91" s="103">
        <v>67.5</v>
      </c>
      <c r="E91" s="103">
        <v>67.8</v>
      </c>
      <c r="F91" s="103">
        <v>67.3</v>
      </c>
      <c r="G91" s="103">
        <v>66.400000000000006</v>
      </c>
      <c r="H91" s="103">
        <v>66.400000000000006</v>
      </c>
      <c r="I91" s="103">
        <v>66.400000000000006</v>
      </c>
      <c r="J91" s="103">
        <v>64</v>
      </c>
      <c r="K91" s="103"/>
      <c r="L91" s="103">
        <v>63.6</v>
      </c>
      <c r="M91" s="103">
        <v>63.7</v>
      </c>
      <c r="N91" s="103">
        <v>64.3</v>
      </c>
      <c r="O91" s="103">
        <v>62.5</v>
      </c>
      <c r="P91" s="103">
        <v>63.2</v>
      </c>
      <c r="Q91" s="103">
        <v>63.6</v>
      </c>
      <c r="R91" s="103">
        <v>64.2</v>
      </c>
      <c r="S91" s="103">
        <v>63.3</v>
      </c>
      <c r="T91" s="103">
        <v>62.9</v>
      </c>
      <c r="U91" s="103">
        <v>63.2</v>
      </c>
      <c r="V91" s="103">
        <v>63.3</v>
      </c>
      <c r="W91" s="103">
        <v>63.2</v>
      </c>
      <c r="X91" s="103">
        <v>62.8</v>
      </c>
      <c r="Y91" s="103">
        <v>63.6</v>
      </c>
      <c r="Z91" s="103">
        <v>64.3</v>
      </c>
      <c r="AA91" s="103">
        <v>64.3</v>
      </c>
      <c r="AB91" s="103">
        <v>64.599999999999994</v>
      </c>
      <c r="AC91" s="103">
        <v>64.599999999999994</v>
      </c>
      <c r="AD91" s="103">
        <v>64.5</v>
      </c>
      <c r="AE91" s="103">
        <v>65.3</v>
      </c>
      <c r="AF91" s="103">
        <v>66.2</v>
      </c>
      <c r="AG91" s="104"/>
      <c r="AH91" s="54">
        <f t="shared" si="13"/>
        <v>67.8</v>
      </c>
      <c r="AI91" s="55">
        <f t="shared" si="14"/>
        <v>62.5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206.23999999999998</v>
      </c>
      <c r="C93" s="110">
        <f>SUM(C15,C18,C21:C22,C42,C44:C45,C47,C49,C94:C97,C102,C108,C114,C123,C125,C137,C144,C147:C148,C155,C157,C159,C163:C165,C167:C169,C174,C180:C181,C183:C185,C193,C198)</f>
        <v>182.73999999999998</v>
      </c>
      <c r="D93" s="110">
        <f t="shared" ref="D93:AF93" si="21">SUM(D15,D18,D21:D22,D42,D44:D45,D47,D49,D94:D97,D102,D108,D114,D123,D125,D137,D144,D147:D148,D155,D157,D159,D163:D165,D167:D169,D174,D180:D181,D183:D185,D193,D198)</f>
        <v>179.73999999999998</v>
      </c>
      <c r="E93" s="110">
        <f t="shared" si="21"/>
        <v>177.83999999999997</v>
      </c>
      <c r="F93" s="110">
        <f t="shared" si="21"/>
        <v>179.83999999999997</v>
      </c>
      <c r="G93" s="109">
        <f t="shared" si="21"/>
        <v>203.94</v>
      </c>
      <c r="H93" s="109">
        <f t="shared" si="21"/>
        <v>259.64000000000004</v>
      </c>
      <c r="I93" s="109">
        <f t="shared" si="21"/>
        <v>259.64000000000004</v>
      </c>
      <c r="J93" s="109">
        <f t="shared" si="21"/>
        <v>326.94000000000005</v>
      </c>
      <c r="K93" s="109">
        <f t="shared" si="21"/>
        <v>200.73999999999998</v>
      </c>
      <c r="L93" s="109">
        <f t="shared" si="21"/>
        <v>435.74</v>
      </c>
      <c r="M93" s="109">
        <f t="shared" si="21"/>
        <v>440.04</v>
      </c>
      <c r="N93" s="109">
        <f t="shared" si="21"/>
        <v>415.24</v>
      </c>
      <c r="O93" s="109">
        <f t="shared" si="21"/>
        <v>410.14000000000004</v>
      </c>
      <c r="P93" s="109">
        <f t="shared" si="21"/>
        <v>395.04</v>
      </c>
      <c r="Q93" s="109">
        <f t="shared" si="21"/>
        <v>383.44000000000005</v>
      </c>
      <c r="R93" s="109">
        <f t="shared" si="21"/>
        <v>366.24000000000007</v>
      </c>
      <c r="S93" s="109">
        <f t="shared" si="21"/>
        <v>360.74</v>
      </c>
      <c r="T93" s="109">
        <f t="shared" si="21"/>
        <v>384.44000000000005</v>
      </c>
      <c r="U93" s="109">
        <f t="shared" si="21"/>
        <v>397.74000000000007</v>
      </c>
      <c r="V93" s="109">
        <f t="shared" si="21"/>
        <v>432.64</v>
      </c>
      <c r="W93" s="109">
        <f t="shared" si="21"/>
        <v>470.74000000000007</v>
      </c>
      <c r="X93" s="109">
        <f t="shared" si="21"/>
        <v>499.94000000000005</v>
      </c>
      <c r="Y93" s="109">
        <f t="shared" si="21"/>
        <v>498.84000000000003</v>
      </c>
      <c r="Z93" s="109">
        <f t="shared" si="21"/>
        <v>489.44000000000005</v>
      </c>
      <c r="AA93" s="109">
        <f t="shared" si="21"/>
        <v>477.34000000000009</v>
      </c>
      <c r="AB93" s="109">
        <f t="shared" si="21"/>
        <v>444.54</v>
      </c>
      <c r="AC93" s="109">
        <f t="shared" si="21"/>
        <v>414.14000000000004</v>
      </c>
      <c r="AD93" s="109">
        <f t="shared" si="21"/>
        <v>370.34000000000003</v>
      </c>
      <c r="AE93" s="109">
        <f t="shared" si="21"/>
        <v>295.74</v>
      </c>
      <c r="AF93" s="109">
        <f t="shared" si="21"/>
        <v>198.13999999999996</v>
      </c>
      <c r="AG93" s="111"/>
      <c r="AH93" s="54">
        <f>MAX(C93:AF93)</f>
        <v>499.94000000000005</v>
      </c>
      <c r="AI93" s="55">
        <f>MIN(C93:AF93)</f>
        <v>177.83999999999997</v>
      </c>
    </row>
    <row r="94" spans="1:88" x14ac:dyDescent="0.25">
      <c r="A94" s="112" t="s">
        <v>98</v>
      </c>
      <c r="B94" s="175">
        <v>10</v>
      </c>
      <c r="C94" s="58">
        <v>11</v>
      </c>
      <c r="D94" s="58">
        <v>23</v>
      </c>
      <c r="E94" s="58">
        <v>37.4</v>
      </c>
      <c r="F94" s="58">
        <v>35.5</v>
      </c>
      <c r="G94" s="114">
        <v>13.8</v>
      </c>
      <c r="H94" s="114">
        <v>21.6</v>
      </c>
      <c r="I94" s="114">
        <v>21.6</v>
      </c>
      <c r="J94" s="114">
        <v>20.399999999999999</v>
      </c>
      <c r="K94" s="114"/>
      <c r="L94" s="114">
        <v>44</v>
      </c>
      <c r="M94" s="113">
        <v>49</v>
      </c>
      <c r="N94" s="113">
        <v>41</v>
      </c>
      <c r="O94" s="113">
        <v>49.2</v>
      </c>
      <c r="P94" s="114">
        <v>23.7</v>
      </c>
      <c r="Q94" s="114">
        <v>20.2</v>
      </c>
      <c r="R94" s="114">
        <v>20.6</v>
      </c>
      <c r="S94" s="114">
        <v>23</v>
      </c>
      <c r="T94" s="114">
        <v>27.8</v>
      </c>
      <c r="U94" s="113">
        <v>26.7</v>
      </c>
      <c r="V94" s="113">
        <v>42.2</v>
      </c>
      <c r="W94" s="113">
        <v>35.200000000000003</v>
      </c>
      <c r="X94" s="114">
        <v>28.9</v>
      </c>
      <c r="Y94" s="114">
        <v>35.700000000000003</v>
      </c>
      <c r="Z94" s="114">
        <v>35.9</v>
      </c>
      <c r="AA94" s="114">
        <v>32.9</v>
      </c>
      <c r="AB94" s="113">
        <v>35</v>
      </c>
      <c r="AC94" s="113">
        <v>35</v>
      </c>
      <c r="AD94" s="113">
        <v>35</v>
      </c>
      <c r="AE94" s="113">
        <v>33.6</v>
      </c>
      <c r="AF94" s="113">
        <v>22.7</v>
      </c>
      <c r="AG94" s="115">
        <v>75</v>
      </c>
      <c r="AH94" s="54">
        <f t="shared" ref="AH94:AH99" si="22">IF(ABS(MAX(C94:AF94))&gt;ABS(MIN(C94:AF94)),MAX(C94:AF94),MIN(C94:AF94))</f>
        <v>49.2</v>
      </c>
      <c r="AI94" s="116">
        <f t="shared" ref="AI94:AI99" si="23">INDEX($C$9:$AF$9,1,MATCH(AH94,C94:AF94,0))</f>
        <v>0.41666666666666702</v>
      </c>
    </row>
    <row r="95" spans="1:88" x14ac:dyDescent="0.25">
      <c r="A95" s="117" t="s">
        <v>99</v>
      </c>
      <c r="B95" s="176">
        <v>-55</v>
      </c>
      <c r="C95" s="60">
        <v>-64</v>
      </c>
      <c r="D95" s="60">
        <v>-68</v>
      </c>
      <c r="E95" s="60">
        <v>-70</v>
      </c>
      <c r="F95" s="60">
        <v>-68</v>
      </c>
      <c r="G95" s="60">
        <v>-60</v>
      </c>
      <c r="H95" s="60">
        <v>-25</v>
      </c>
      <c r="I95" s="60">
        <v>-25</v>
      </c>
      <c r="J95" s="60">
        <v>-11</v>
      </c>
      <c r="K95" s="60"/>
      <c r="L95" s="60">
        <v>47</v>
      </c>
      <c r="M95" s="60">
        <v>49</v>
      </c>
      <c r="N95" s="60">
        <f>12.6+6.9</f>
        <v>19.5</v>
      </c>
      <c r="O95" s="60">
        <f>9.5+6.6</f>
        <v>16.100000000000001</v>
      </c>
      <c r="P95" s="60">
        <f>10.2+7.2</f>
        <v>17.399999999999999</v>
      </c>
      <c r="Q95" s="60">
        <v>14.3</v>
      </c>
      <c r="R95" s="60">
        <f>4.8+3.5</f>
        <v>8.3000000000000007</v>
      </c>
      <c r="S95" s="60">
        <v>5.5</v>
      </c>
      <c r="T95" s="60">
        <v>3.6</v>
      </c>
      <c r="U95" s="60">
        <v>25</v>
      </c>
      <c r="V95" s="60">
        <v>50.4</v>
      </c>
      <c r="W95" s="60">
        <v>68.7</v>
      </c>
      <c r="X95" s="60">
        <v>90.7</v>
      </c>
      <c r="Y95" s="60">
        <v>83</v>
      </c>
      <c r="Z95" s="60">
        <v>75</v>
      </c>
      <c r="AA95" s="60">
        <v>78</v>
      </c>
      <c r="AB95" s="73">
        <v>73</v>
      </c>
      <c r="AC95" s="73">
        <v>65</v>
      </c>
      <c r="AD95" s="73">
        <v>47</v>
      </c>
      <c r="AE95" s="73">
        <f>-6-6.4</f>
        <v>-12.4</v>
      </c>
      <c r="AF95" s="73">
        <f>-25.5-29.9</f>
        <v>-55.4</v>
      </c>
      <c r="AG95" s="115">
        <v>240</v>
      </c>
      <c r="AH95" s="54">
        <f t="shared" si="22"/>
        <v>90.7</v>
      </c>
      <c r="AI95" s="116">
        <f t="shared" si="23"/>
        <v>0.75</v>
      </c>
    </row>
    <row r="96" spans="1:88" x14ac:dyDescent="0.25">
      <c r="A96" s="117" t="s">
        <v>100</v>
      </c>
      <c r="B96" s="176">
        <v>-2.5</v>
      </c>
      <c r="C96" s="60">
        <v>-5</v>
      </c>
      <c r="D96" s="60">
        <v>-7</v>
      </c>
      <c r="E96" s="60">
        <v>-4.9000000000000004</v>
      </c>
      <c r="F96" s="60">
        <v>-5</v>
      </c>
      <c r="G96" s="60">
        <v>-3.3</v>
      </c>
      <c r="H96" s="60">
        <v>4.7</v>
      </c>
      <c r="I96" s="60">
        <v>4.7</v>
      </c>
      <c r="J96" s="60">
        <v>12</v>
      </c>
      <c r="K96" s="60"/>
      <c r="L96" s="60">
        <v>53</v>
      </c>
      <c r="M96" s="60">
        <v>54.6</v>
      </c>
      <c r="N96" s="60">
        <v>46</v>
      </c>
      <c r="O96" s="60">
        <v>34.1</v>
      </c>
      <c r="P96" s="60">
        <v>40.5</v>
      </c>
      <c r="Q96" s="60">
        <v>29.8</v>
      </c>
      <c r="R96" s="60">
        <v>26.3</v>
      </c>
      <c r="S96" s="60">
        <v>21.2</v>
      </c>
      <c r="T96" s="60">
        <v>39</v>
      </c>
      <c r="U96" s="60">
        <v>39.5</v>
      </c>
      <c r="V96" s="60">
        <v>53.4</v>
      </c>
      <c r="W96" s="60">
        <v>61.1</v>
      </c>
      <c r="X96" s="60">
        <v>63.8</v>
      </c>
      <c r="Y96" s="60">
        <v>64.5</v>
      </c>
      <c r="Z96" s="60">
        <v>63.3</v>
      </c>
      <c r="AA96" s="60">
        <v>53</v>
      </c>
      <c r="AB96" s="73">
        <v>40.4</v>
      </c>
      <c r="AC96" s="73">
        <v>26</v>
      </c>
      <c r="AD96" s="73">
        <v>12</v>
      </c>
      <c r="AE96" s="73">
        <v>12.4</v>
      </c>
      <c r="AF96" s="73">
        <v>13.2</v>
      </c>
      <c r="AG96" s="115">
        <v>60</v>
      </c>
      <c r="AH96" s="54">
        <f t="shared" si="22"/>
        <v>64.5</v>
      </c>
      <c r="AI96" s="116">
        <f t="shared" si="23"/>
        <v>0.77083333333333337</v>
      </c>
    </row>
    <row r="97" spans="1:37" x14ac:dyDescent="0.25">
      <c r="A97" s="118" t="s">
        <v>101</v>
      </c>
      <c r="B97" s="177">
        <v>53</v>
      </c>
      <c r="C97" s="63">
        <v>40</v>
      </c>
      <c r="D97" s="63">
        <v>31</v>
      </c>
      <c r="E97" s="63">
        <v>14.6</v>
      </c>
      <c r="F97" s="63">
        <v>16.600000000000001</v>
      </c>
      <c r="G97" s="63">
        <v>52.7</v>
      </c>
      <c r="H97" s="63">
        <v>57.6</v>
      </c>
      <c r="I97" s="63">
        <v>57.6</v>
      </c>
      <c r="J97" s="63">
        <v>104.8</v>
      </c>
      <c r="K97" s="63"/>
      <c r="L97" s="63">
        <v>91</v>
      </c>
      <c r="M97" s="63">
        <v>86.7</v>
      </c>
      <c r="N97" s="63">
        <v>108</v>
      </c>
      <c r="O97" s="63">
        <v>110</v>
      </c>
      <c r="P97" s="63">
        <v>112.7</v>
      </c>
      <c r="Q97" s="63">
        <v>118.4</v>
      </c>
      <c r="R97" s="63">
        <v>110.3</v>
      </c>
      <c r="S97" s="63">
        <v>110.3</v>
      </c>
      <c r="T97" s="63">
        <v>113.3</v>
      </c>
      <c r="U97" s="63">
        <v>105.8</v>
      </c>
      <c r="V97" s="63">
        <v>85.9</v>
      </c>
      <c r="W97" s="63">
        <v>105</v>
      </c>
      <c r="X97" s="63">
        <v>118.4</v>
      </c>
      <c r="Y97" s="63">
        <v>117.5</v>
      </c>
      <c r="Z97" s="63">
        <v>117.1</v>
      </c>
      <c r="AA97" s="63">
        <v>115.3</v>
      </c>
      <c r="AB97" s="119">
        <v>98</v>
      </c>
      <c r="AC97" s="119">
        <v>90</v>
      </c>
      <c r="AD97" s="119">
        <v>84</v>
      </c>
      <c r="AE97" s="119">
        <v>69.900000000000006</v>
      </c>
      <c r="AF97" s="119">
        <v>54.6</v>
      </c>
      <c r="AG97" s="120">
        <v>120</v>
      </c>
      <c r="AH97" s="54">
        <f t="shared" si="22"/>
        <v>118.4</v>
      </c>
      <c r="AI97" s="116">
        <f t="shared" si="23"/>
        <v>0.5</v>
      </c>
    </row>
    <row r="98" spans="1:37" x14ac:dyDescent="0.25">
      <c r="A98" s="118" t="s">
        <v>102</v>
      </c>
      <c r="B98" s="177">
        <v>51</v>
      </c>
      <c r="C98" s="63">
        <v>42</v>
      </c>
      <c r="D98" s="63">
        <v>33</v>
      </c>
      <c r="E98" s="63">
        <v>22.2</v>
      </c>
      <c r="F98" s="63">
        <v>23</v>
      </c>
      <c r="G98" s="63">
        <v>48.4</v>
      </c>
      <c r="H98" s="63">
        <v>42.3</v>
      </c>
      <c r="I98" s="63">
        <v>42.3</v>
      </c>
      <c r="J98" s="63">
        <v>86.8</v>
      </c>
      <c r="K98" s="63"/>
      <c r="L98" s="63">
        <v>104</v>
      </c>
      <c r="M98" s="63">
        <v>104</v>
      </c>
      <c r="N98" s="63">
        <v>81.900000000000006</v>
      </c>
      <c r="O98" s="63">
        <v>90.3</v>
      </c>
      <c r="P98" s="63">
        <v>96.5</v>
      </c>
      <c r="Q98" s="63">
        <v>100</v>
      </c>
      <c r="R98" s="63">
        <v>100.3</v>
      </c>
      <c r="S98" s="63">
        <v>97.3</v>
      </c>
      <c r="T98" s="63">
        <v>98.4</v>
      </c>
      <c r="U98" s="63">
        <v>80.900000000000006</v>
      </c>
      <c r="V98" s="63">
        <v>79</v>
      </c>
      <c r="W98" s="63">
        <v>83</v>
      </c>
      <c r="X98" s="63">
        <v>101.6</v>
      </c>
      <c r="Y98" s="63">
        <v>93.2</v>
      </c>
      <c r="Z98" s="63">
        <v>84.1</v>
      </c>
      <c r="AA98" s="63">
        <v>100</v>
      </c>
      <c r="AB98" s="119">
        <v>100</v>
      </c>
      <c r="AC98" s="119">
        <v>109</v>
      </c>
      <c r="AD98" s="119">
        <v>98</v>
      </c>
      <c r="AE98" s="119">
        <v>78</v>
      </c>
      <c r="AF98" s="119">
        <v>55</v>
      </c>
      <c r="AG98" s="120"/>
      <c r="AH98" s="54">
        <f t="shared" si="22"/>
        <v>109</v>
      </c>
      <c r="AI98" s="116">
        <f t="shared" si="23"/>
        <v>0.85416666666666663</v>
      </c>
    </row>
    <row r="99" spans="1:37" ht="15.75" thickBot="1" x14ac:dyDescent="0.3">
      <c r="A99" s="118" t="s">
        <v>217</v>
      </c>
      <c r="B99" s="177">
        <v>77</v>
      </c>
      <c r="C99" s="63">
        <v>70</v>
      </c>
      <c r="D99" s="63">
        <v>58</v>
      </c>
      <c r="E99" s="63">
        <v>54.6</v>
      </c>
      <c r="F99" s="63">
        <v>55.6</v>
      </c>
      <c r="G99" s="63">
        <v>72.5</v>
      </c>
      <c r="H99" s="63">
        <v>55.1</v>
      </c>
      <c r="I99" s="63">
        <v>55.1</v>
      </c>
      <c r="J99" s="63">
        <v>60.2</v>
      </c>
      <c r="K99" s="63"/>
      <c r="L99" s="63">
        <v>55.3</v>
      </c>
      <c r="M99" s="63">
        <v>46</v>
      </c>
      <c r="N99" s="63">
        <v>39.6</v>
      </c>
      <c r="O99" s="63">
        <v>33</v>
      </c>
      <c r="P99" s="63">
        <v>62.1</v>
      </c>
      <c r="Q99" s="63">
        <v>101</v>
      </c>
      <c r="R99" s="63">
        <v>68.099999999999994</v>
      </c>
      <c r="S99" s="63">
        <v>65.3</v>
      </c>
      <c r="T99" s="63">
        <v>66.5</v>
      </c>
      <c r="U99" s="63">
        <v>67</v>
      </c>
      <c r="V99" s="63">
        <v>52.7</v>
      </c>
      <c r="W99" s="63">
        <v>61</v>
      </c>
      <c r="X99" s="63">
        <v>69.3</v>
      </c>
      <c r="Y99" s="63">
        <v>65.5</v>
      </c>
      <c r="Z99" s="63">
        <v>60.7</v>
      </c>
      <c r="AA99" s="63">
        <v>64.8</v>
      </c>
      <c r="AB99" s="119">
        <v>74</v>
      </c>
      <c r="AC99" s="119">
        <v>71</v>
      </c>
      <c r="AD99" s="119">
        <v>69</v>
      </c>
      <c r="AE99" s="119">
        <v>50.1</v>
      </c>
      <c r="AF99" s="119">
        <v>65</v>
      </c>
      <c r="AG99" s="121"/>
      <c r="AH99" s="54">
        <f t="shared" si="22"/>
        <v>101</v>
      </c>
      <c r="AI99" s="116">
        <f t="shared" si="23"/>
        <v>0.5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1476.3400000000001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2078/08/11)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2078/08/11)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878.74</v>
      </c>
      <c r="U213" s="167">
        <f t="shared" si="60"/>
        <v>839.44</v>
      </c>
      <c r="V213" s="167">
        <f t="shared" si="60"/>
        <v>824.44</v>
      </c>
      <c r="W213" s="167">
        <f t="shared" si="60"/>
        <v>819.44</v>
      </c>
      <c r="X213" s="167">
        <f t="shared" si="60"/>
        <v>824.94</v>
      </c>
      <c r="Y213" s="167">
        <f t="shared" si="60"/>
        <v>901.54</v>
      </c>
      <c r="Z213" s="167">
        <f t="shared" si="60"/>
        <v>958.54</v>
      </c>
      <c r="AA213" s="167">
        <f t="shared" si="60"/>
        <v>1075.54</v>
      </c>
      <c r="AB213" s="167">
        <f t="shared" si="60"/>
        <v>1177.04</v>
      </c>
      <c r="AC213" s="167">
        <f t="shared" si="60"/>
        <v>1269.54</v>
      </c>
      <c r="AD213" s="167">
        <f t="shared" si="60"/>
        <v>1429.3400000000001</v>
      </c>
      <c r="AE213" s="167">
        <f t="shared" si="60"/>
        <v>1476.3400000000001</v>
      </c>
      <c r="AF213" s="167">
        <f t="shared" si="60"/>
        <v>1416.3400000000001</v>
      </c>
      <c r="AG213" s="167">
        <f t="shared" si="60"/>
        <v>1502.44</v>
      </c>
      <c r="AH213" s="167">
        <f t="shared" si="60"/>
        <v>1317.2399999999998</v>
      </c>
      <c r="AI213" s="167">
        <f t="shared" si="60"/>
        <v>1327.44</v>
      </c>
      <c r="AJ213" s="167">
        <f t="shared" si="60"/>
        <v>1271.54</v>
      </c>
      <c r="AK213" s="167">
        <f t="shared" si="60"/>
        <v>1245.94</v>
      </c>
      <c r="AL213" s="167">
        <f t="shared" si="60"/>
        <v>1298.24</v>
      </c>
      <c r="AM213" s="167">
        <f t="shared" si="60"/>
        <v>1315.24</v>
      </c>
      <c r="AN213" s="167">
        <f t="shared" si="60"/>
        <v>1403.04</v>
      </c>
      <c r="AO213" s="167">
        <f t="shared" si="60"/>
        <v>1525.54</v>
      </c>
      <c r="AP213" s="167">
        <f t="shared" si="60"/>
        <v>1595.54</v>
      </c>
      <c r="AQ213" s="167">
        <f t="shared" si="60"/>
        <v>1571.04</v>
      </c>
      <c r="AR213" s="167">
        <f t="shared" si="60"/>
        <v>1511.24</v>
      </c>
      <c r="AS213" s="167">
        <f t="shared" si="60"/>
        <v>1456.74</v>
      </c>
      <c r="AT213" s="167">
        <f t="shared" si="60"/>
        <v>1402.1399999999999</v>
      </c>
      <c r="AU213" s="167">
        <f t="shared" si="60"/>
        <v>1299.8399999999999</v>
      </c>
      <c r="AV213" s="167">
        <f t="shared" si="60"/>
        <v>1252.04</v>
      </c>
      <c r="AW213" s="167">
        <f t="shared" si="60"/>
        <v>1069.94</v>
      </c>
      <c r="AX213" s="167">
        <f t="shared" si="60"/>
        <v>920.54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Q37 C57:E59 P39:R39 P40:Q42 Q12:Q14 M58:M59 X85:AA91 AB81:AF81 B81:R81 C56:AF56 B82:AF83 D193:AF199 B193:B199 C68:AF72 B84:B91 B73:AF80 B9:AF10 B191:AF191 AF57:AF67 B53:B72 AG73 AB94:AF99 B94:B99 U212:AF212 C60:C67 D60:E61 L57:L59 F57:K61 L60:M61 M11:Q11 B36:Q36 M39:P42 Q42:R42 R39:R42 N58:S61 R11:T14 R40:T41 T61:U61 Q16:W32 U12:W14 R36:W37 N45:W48 T58:W59 D63:W67 U40:Y42 Z40:AE43 M53:AF55 AB84:AF91 X36:AF36 U11:AF11 X18:AF30">
    <cfRule type="expression" dxfId="6386" priority="274">
      <formula>B$9&gt;=20/24</formula>
    </cfRule>
    <cfRule type="expression" dxfId="6385" priority="275">
      <formula>AND(B$9&gt;=14/24,B$9&lt;20/24)</formula>
    </cfRule>
    <cfRule type="expression" dxfId="6384" priority="276">
      <formula>AND(B$9&gt;=8/24,B$9&lt;14/24)</formula>
    </cfRule>
    <cfRule type="expression" dxfId="6383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6382" priority="269">
      <formula>M$9&gt;=20/24</formula>
    </cfRule>
    <cfRule type="expression" dxfId="6381" priority="270">
      <formula>AND(M$9&gt;=14/24,M$9&lt;20/24)</formula>
    </cfRule>
    <cfRule type="expression" dxfId="6380" priority="271">
      <formula>AND(M$9&gt;=8/24,M$9&lt;14/24)</formula>
    </cfRule>
    <cfRule type="expression" dxfId="6379" priority="272">
      <formula>M$9&lt;8/24</formula>
    </cfRule>
  </conditionalFormatting>
  <conditionalFormatting sqref="M43:R43">
    <cfRule type="expression" dxfId="6378" priority="265">
      <formula>M$9&gt;=20/24</formula>
    </cfRule>
    <cfRule type="expression" dxfId="6377" priority="266">
      <formula>AND(M$9&gt;=14/24,M$9&lt;20/24)</formula>
    </cfRule>
    <cfRule type="expression" dxfId="6376" priority="267">
      <formula>AND(M$9&gt;=8/24,M$9&lt;14/24)</formula>
    </cfRule>
    <cfRule type="expression" dxfId="6375" priority="268">
      <formula>M$9&lt;8/24</formula>
    </cfRule>
  </conditionalFormatting>
  <conditionalFormatting sqref="S39:AE39">
    <cfRule type="expression" dxfId="6374" priority="257">
      <formula>S$9&gt;=20/24</formula>
    </cfRule>
    <cfRule type="expression" dxfId="6373" priority="258">
      <formula>AND(S$9&gt;=14/24,S$9&lt;20/24)</formula>
    </cfRule>
    <cfRule type="expression" dxfId="6372" priority="259">
      <formula>AND(S$9&gt;=8/24,S$9&lt;14/24)</formula>
    </cfRule>
    <cfRule type="expression" dxfId="6371" priority="260">
      <formula>S$9&lt;8/24</formula>
    </cfRule>
  </conditionalFormatting>
  <conditionalFormatting sqref="T57:AE57">
    <cfRule type="expression" dxfId="6370" priority="253">
      <formula>T$9&gt;=20/24</formula>
    </cfRule>
    <cfRule type="expression" dxfId="6369" priority="254">
      <formula>AND(T$9&gt;=14/24,T$9&lt;20/24)</formula>
    </cfRule>
    <cfRule type="expression" dxfId="6368" priority="255">
      <formula>AND(T$9&gt;=8/24,T$9&lt;14/24)</formula>
    </cfRule>
    <cfRule type="expression" dxfId="6367" priority="256">
      <formula>T$9&lt;8/24</formula>
    </cfRule>
  </conditionalFormatting>
  <conditionalFormatting sqref="S81:AA81">
    <cfRule type="expression" dxfId="6366" priority="249">
      <formula>S$9&gt;=20/24</formula>
    </cfRule>
    <cfRule type="expression" dxfId="6365" priority="250">
      <formula>AND(S$9&gt;=14/24,S$9&lt;20/24)</formula>
    </cfRule>
    <cfRule type="expression" dxfId="6364" priority="251">
      <formula>AND(S$9&gt;=8/24,S$9&lt;14/24)</formula>
    </cfRule>
    <cfRule type="expression" dxfId="6363" priority="252">
      <formula>S$9&lt;8/24</formula>
    </cfRule>
  </conditionalFormatting>
  <conditionalFormatting sqref="U84:AA84">
    <cfRule type="expression" dxfId="6362" priority="245">
      <formula>U$9&gt;=20/24</formula>
    </cfRule>
    <cfRule type="expression" dxfId="6361" priority="246">
      <formula>AND(U$9&gt;=14/24,U$9&lt;20/24)</formula>
    </cfRule>
    <cfRule type="expression" dxfId="6360" priority="247">
      <formula>AND(U$9&gt;=8/24,U$9&lt;14/24)</formula>
    </cfRule>
    <cfRule type="expression" dxfId="6359" priority="248">
      <formula>U$9&lt;8/24</formula>
    </cfRule>
  </conditionalFormatting>
  <conditionalFormatting sqref="Q35:W35">
    <cfRule type="expression" dxfId="6358" priority="241">
      <formula>Q$9&gt;=20/24</formula>
    </cfRule>
    <cfRule type="expression" dxfId="6357" priority="242">
      <formula>AND(Q$9&gt;=14/24,Q$9&lt;20/24)</formula>
    </cfRule>
    <cfRule type="expression" dxfId="6356" priority="243">
      <formula>AND(Q$9&gt;=8/24,Q$9&lt;14/24)</formula>
    </cfRule>
    <cfRule type="expression" dxfId="6355" priority="244">
      <formula>Q$9&lt;8/24</formula>
    </cfRule>
  </conditionalFormatting>
  <conditionalFormatting sqref="M49:W49">
    <cfRule type="expression" dxfId="6354" priority="237">
      <formula>M$9&gt;=20/24</formula>
    </cfRule>
    <cfRule type="expression" dxfId="6353" priority="238">
      <formula>AND(M$9&gt;=14/24,M$9&lt;20/24)</formula>
    </cfRule>
    <cfRule type="expression" dxfId="6352" priority="239">
      <formula>AND(M$9&gt;=8/24,M$9&lt;14/24)</formula>
    </cfRule>
    <cfRule type="expression" dxfId="6351" priority="240">
      <formula>M$9&lt;8/24</formula>
    </cfRule>
  </conditionalFormatting>
  <conditionalFormatting sqref="M50:W50">
    <cfRule type="expression" dxfId="6350" priority="233">
      <formula>M$9&gt;=20/24</formula>
    </cfRule>
    <cfRule type="expression" dxfId="6349" priority="234">
      <formula>AND(M$9&gt;=14/24,M$9&lt;20/24)</formula>
    </cfRule>
    <cfRule type="expression" dxfId="6348" priority="235">
      <formula>AND(M$9&gt;=8/24,M$9&lt;14/24)</formula>
    </cfRule>
    <cfRule type="expression" dxfId="6347" priority="236">
      <formula>M$9&lt;8/24</formula>
    </cfRule>
  </conditionalFormatting>
  <conditionalFormatting sqref="M45:W48">
    <cfRule type="expression" dxfId="6346" priority="229">
      <formula>M$9&gt;=20/24</formula>
    </cfRule>
    <cfRule type="expression" dxfId="6345" priority="230">
      <formula>AND(M$9&gt;=14/24,M$9&lt;20/24)</formula>
    </cfRule>
    <cfRule type="expression" dxfId="6344" priority="231">
      <formula>AND(M$9&gt;=8/24,M$9&lt;14/24)</formula>
    </cfRule>
    <cfRule type="expression" dxfId="6343" priority="232">
      <formula>M$9&lt;8/24</formula>
    </cfRule>
  </conditionalFormatting>
  <conditionalFormatting sqref="X37:AF37">
    <cfRule type="expression" dxfId="6342" priority="225">
      <formula>X$9&gt;=20/24</formula>
    </cfRule>
    <cfRule type="expression" dxfId="6341" priority="226">
      <formula>AND(X$9&gt;=14/24,X$9&lt;20/24)</formula>
    </cfRule>
    <cfRule type="expression" dxfId="6340" priority="227">
      <formula>AND(X$9&gt;=8/24,X$9&lt;14/24)</formula>
    </cfRule>
    <cfRule type="expression" dxfId="6339" priority="228">
      <formula>X$9&lt;8/24</formula>
    </cfRule>
  </conditionalFormatting>
  <conditionalFormatting sqref="X31:AF32 X35:AF35">
    <cfRule type="expression" dxfId="6338" priority="221">
      <formula>X$9&gt;=20/24</formula>
    </cfRule>
    <cfRule type="expression" dxfId="6337" priority="222">
      <formula>AND(X$9&gt;=14/24,X$9&lt;20/24)</formula>
    </cfRule>
    <cfRule type="expression" dxfId="6336" priority="223">
      <formula>AND(X$9&gt;=8/24,X$9&lt;14/24)</formula>
    </cfRule>
    <cfRule type="expression" dxfId="6335" priority="224">
      <formula>X$9&lt;8/24</formula>
    </cfRule>
  </conditionalFormatting>
  <conditionalFormatting sqref="S42:T43 U43:Y43 S45:AE48">
    <cfRule type="expression" dxfId="6334" priority="217">
      <formula>S$9&gt;=20/24</formula>
    </cfRule>
    <cfRule type="expression" dxfId="6333" priority="218">
      <formula>AND(S$9&gt;=14/24,S$9&lt;20/24)</formula>
    </cfRule>
    <cfRule type="expression" dxfId="6332" priority="219">
      <formula>AND(S$9&gt;=8/24,S$9&lt;14/24)</formula>
    </cfRule>
    <cfRule type="expression" dxfId="6331" priority="220">
      <formula>S$9&lt;8/24</formula>
    </cfRule>
  </conditionalFormatting>
  <conditionalFormatting sqref="S49:AE49">
    <cfRule type="expression" dxfId="6330" priority="213">
      <formula>S$9&gt;=20/24</formula>
    </cfRule>
    <cfRule type="expression" dxfId="6329" priority="214">
      <formula>AND(S$9&gt;=14/24,S$9&lt;20/24)</formula>
    </cfRule>
    <cfRule type="expression" dxfId="6328" priority="215">
      <formula>AND(S$9&gt;=8/24,S$9&lt;14/24)</formula>
    </cfRule>
    <cfRule type="expression" dxfId="6327" priority="216">
      <formula>S$9&lt;8/24</formula>
    </cfRule>
  </conditionalFormatting>
  <conditionalFormatting sqref="S50:AE50">
    <cfRule type="expression" dxfId="6326" priority="209">
      <formula>S$9&gt;=20/24</formula>
    </cfRule>
    <cfRule type="expression" dxfId="6325" priority="210">
      <formula>AND(S$9&gt;=14/24,S$9&lt;20/24)</formula>
    </cfRule>
    <cfRule type="expression" dxfId="6324" priority="211">
      <formula>AND(S$9&gt;=8/24,S$9&lt;14/24)</formula>
    </cfRule>
    <cfRule type="expression" dxfId="6323" priority="212">
      <formula>S$9&lt;8/24</formula>
    </cfRule>
  </conditionalFormatting>
  <conditionalFormatting sqref="T60:U60 X60:AE67">
    <cfRule type="expression" dxfId="6322" priority="205">
      <formula>T$9&gt;=20/24</formula>
    </cfRule>
    <cfRule type="expression" dxfId="6321" priority="206">
      <formula>AND(T$9&gt;=14/24,T$9&lt;20/24)</formula>
    </cfRule>
    <cfRule type="expression" dxfId="6320" priority="207">
      <formula>AND(T$9&gt;=8/24,T$9&lt;14/24)</formula>
    </cfRule>
    <cfRule type="expression" dxfId="6319" priority="208">
      <formula>T$9&lt;8/24</formula>
    </cfRule>
  </conditionalFormatting>
  <conditionalFormatting sqref="D62:W62">
    <cfRule type="expression" dxfId="6318" priority="201">
      <formula>D$9&gt;=20/24</formula>
    </cfRule>
    <cfRule type="expression" dxfId="6317" priority="202">
      <formula>AND(D$9&gt;=14/24,D$9&lt;20/24)</formula>
    </cfRule>
    <cfRule type="expression" dxfId="6316" priority="203">
      <formula>AND(D$9&gt;=8/24,D$9&lt;14/24)</formula>
    </cfRule>
    <cfRule type="expression" dxfId="6315" priority="204">
      <formula>D$9&lt;8/24</formula>
    </cfRule>
  </conditionalFormatting>
  <conditionalFormatting sqref="U94:AA97">
    <cfRule type="expression" dxfId="6314" priority="197">
      <formula>U$9&gt;=20/24</formula>
    </cfRule>
    <cfRule type="expression" dxfId="6313" priority="198">
      <formula>AND(U$9&gt;=14/24,U$9&lt;20/24)</formula>
    </cfRule>
    <cfRule type="expression" dxfId="6312" priority="199">
      <formula>AND(U$9&gt;=8/24,U$9&lt;14/24)</formula>
    </cfRule>
    <cfRule type="expression" dxfId="6311" priority="200">
      <formula>U$9&lt;8/24</formula>
    </cfRule>
  </conditionalFormatting>
  <conditionalFormatting sqref="AG51 B11:P11 Q11:T14 Q16:W32 U12:W14 B34:L35 B12:L32 U11:AF11 X18:AF32 Q34:AF35 B36:AF56">
    <cfRule type="expression" dxfId="6310" priority="196">
      <formula>B11&gt;$AG11</formula>
    </cfRule>
  </conditionalFormatting>
  <conditionalFormatting sqref="A100:A156 A84:A97 A11:A14 A16:A32 A45:A72 A80:A82 A74:A78 A35:A43 A169:A199">
    <cfRule type="expression" dxfId="6309" priority="195">
      <formula>$AH11=0</formula>
    </cfRule>
  </conditionalFormatting>
  <conditionalFormatting sqref="U98:AA98">
    <cfRule type="expression" dxfId="6308" priority="191">
      <formula>U$9&gt;=20/24</formula>
    </cfRule>
    <cfRule type="expression" dxfId="6307" priority="192">
      <formula>AND(U$9&gt;=14/24,U$9&lt;20/24)</formula>
    </cfRule>
    <cfRule type="expression" dxfId="6306" priority="193">
      <formula>AND(U$9&gt;=8/24,U$9&lt;14/24)</formula>
    </cfRule>
    <cfRule type="expression" dxfId="6305" priority="194">
      <formula>U$9&lt;8/24</formula>
    </cfRule>
  </conditionalFormatting>
  <conditionalFormatting sqref="A98">
    <cfRule type="expression" dxfId="6304" priority="190">
      <formula>$AH98=0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Q34:W34">
    <cfRule type="expression" dxfId="6303" priority="169">
      <formula>Q$9&gt;=20/24</formula>
    </cfRule>
    <cfRule type="expression" dxfId="6302" priority="170">
      <formula>AND(Q$9&gt;=14/24,Q$9&lt;20/24)</formula>
    </cfRule>
    <cfRule type="expression" dxfId="6301" priority="171">
      <formula>AND(Q$9&gt;=8/24,Q$9&lt;14/24)</formula>
    </cfRule>
    <cfRule type="expression" dxfId="6300" priority="172">
      <formula>Q$9&lt;8/24</formula>
    </cfRule>
  </conditionalFormatting>
  <conditionalFormatting sqref="X34:AF34">
    <cfRule type="expression" dxfId="6299" priority="165">
      <formula>X$9&gt;=20/24</formula>
    </cfRule>
    <cfRule type="expression" dxfId="6298" priority="166">
      <formula>AND(X$9&gt;=14/24,X$9&lt;20/24)</formula>
    </cfRule>
    <cfRule type="expression" dxfId="6297" priority="167">
      <formula>AND(X$9&gt;=8/24,X$9&lt;14/24)</formula>
    </cfRule>
    <cfRule type="expression" dxfId="6296" priority="168">
      <formula>X$9&lt;8/24</formula>
    </cfRule>
  </conditionalFormatting>
  <conditionalFormatting sqref="A34">
    <cfRule type="expression" dxfId="6295" priority="164">
      <formula>$AH34=0</formula>
    </cfRule>
  </conditionalFormatting>
  <conditionalFormatting sqref="A83">
    <cfRule type="expression" dxfId="6294" priority="163">
      <formula>$AH83=0</formula>
    </cfRule>
  </conditionalFormatting>
  <conditionalFormatting sqref="Q15:W15">
    <cfRule type="expression" dxfId="6293" priority="155">
      <formula>Q$9&gt;=20/24</formula>
    </cfRule>
    <cfRule type="expression" dxfId="6292" priority="156">
      <formula>AND(Q$9&gt;=14/24,Q$9&lt;20/24)</formula>
    </cfRule>
    <cfRule type="expression" dxfId="6291" priority="157">
      <formula>AND(Q$9&gt;=8/24,Q$9&lt;14/24)</formula>
    </cfRule>
    <cfRule type="expression" dxfId="6290" priority="158">
      <formula>Q$9&lt;8/24</formula>
    </cfRule>
  </conditionalFormatting>
  <conditionalFormatting sqref="Q15:W15">
    <cfRule type="expression" dxfId="6289" priority="154">
      <formula>Q15&gt;$AG15</formula>
    </cfRule>
  </conditionalFormatting>
  <conditionalFormatting sqref="A15">
    <cfRule type="expression" dxfId="6288" priority="153">
      <formula>$AH15=0</formula>
    </cfRule>
  </conditionalFormatting>
  <conditionalFormatting sqref="A163:A168">
    <cfRule type="expression" dxfId="6287" priority="152">
      <formula>$AH163=0</formula>
    </cfRule>
  </conditionalFormatting>
  <conditionalFormatting sqref="A157:A162">
    <cfRule type="expression" dxfId="6286" priority="151">
      <formula>$AH157=0</formula>
    </cfRule>
  </conditionalFormatting>
  <conditionalFormatting sqref="Z44:AE44">
    <cfRule type="expression" dxfId="6285" priority="147">
      <formula>Z$9&gt;=20/24</formula>
    </cfRule>
    <cfRule type="expression" dxfId="6284" priority="148">
      <formula>AND(Z$9&gt;=14/24,Z$9&lt;20/24)</formula>
    </cfRule>
    <cfRule type="expression" dxfId="6283" priority="149">
      <formula>AND(Z$9&gt;=8/24,Z$9&lt;14/24)</formula>
    </cfRule>
    <cfRule type="expression" dxfId="6282" priority="150">
      <formula>Z$9&lt;8/24</formula>
    </cfRule>
  </conditionalFormatting>
  <conditionalFormatting sqref="M44:W44">
    <cfRule type="expression" dxfId="6281" priority="143">
      <formula>M$9&gt;=20/24</formula>
    </cfRule>
    <cfRule type="expression" dxfId="6280" priority="144">
      <formula>AND(M$9&gt;=14/24,M$9&lt;20/24)</formula>
    </cfRule>
    <cfRule type="expression" dxfId="6279" priority="145">
      <formula>AND(M$9&gt;=8/24,M$9&lt;14/24)</formula>
    </cfRule>
    <cfRule type="expression" dxfId="6278" priority="146">
      <formula>M$9&lt;8/24</formula>
    </cfRule>
  </conditionalFormatting>
  <conditionalFormatting sqref="S44:AD44">
    <cfRule type="expression" dxfId="6277" priority="139">
      <formula>S$9&gt;=20/24</formula>
    </cfRule>
    <cfRule type="expression" dxfId="6276" priority="140">
      <formula>AND(S$9&gt;=14/24,S$9&lt;20/24)</formula>
    </cfRule>
    <cfRule type="expression" dxfId="6275" priority="141">
      <formula>AND(S$9&gt;=8/24,S$9&lt;14/24)</formula>
    </cfRule>
    <cfRule type="expression" dxfId="6274" priority="142">
      <formula>S$9&lt;8/24</formula>
    </cfRule>
  </conditionalFormatting>
  <conditionalFormatting sqref="A44">
    <cfRule type="expression" dxfId="6273" priority="138">
      <formula>$AH44=0</formula>
    </cfRule>
  </conditionalFormatting>
  <conditionalFormatting sqref="A79">
    <cfRule type="expression" dxfId="6272" priority="137">
      <formula>$AH79=0</formula>
    </cfRule>
  </conditionalFormatting>
  <conditionalFormatting sqref="A73">
    <cfRule type="expression" dxfId="6271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V60:W61">
    <cfRule type="expression" dxfId="6270" priority="132">
      <formula>V$9&gt;=20/24</formula>
    </cfRule>
    <cfRule type="expression" dxfId="6269" priority="133">
      <formula>AND(V$9&gt;=14/24,V$9&lt;20/24)</formula>
    </cfRule>
    <cfRule type="expression" dxfId="6268" priority="134">
      <formula>AND(V$9&gt;=8/24,V$9&lt;14/24)</formula>
    </cfRule>
    <cfRule type="expression" dxfId="6267" priority="135">
      <formula>V$9&lt;8/24</formula>
    </cfRule>
  </conditionalFormatting>
  <conditionalFormatting sqref="U85:W91">
    <cfRule type="expression" dxfId="6266" priority="128">
      <formula>U$9&gt;=20/24</formula>
    </cfRule>
    <cfRule type="expression" dxfId="6265" priority="129">
      <formula>AND(U$9&gt;=14/24,U$9&lt;20/24)</formula>
    </cfRule>
    <cfRule type="expression" dxfId="6264" priority="130">
      <formula>AND(U$9&gt;=8/24,U$9&lt;14/24)</formula>
    </cfRule>
    <cfRule type="expression" dxfId="6263" priority="131">
      <formula>U$9&lt;8/24</formula>
    </cfRule>
  </conditionalFormatting>
  <conditionalFormatting sqref="S85:T91 C84:R91">
    <cfRule type="expression" dxfId="6262" priority="124">
      <formula>C$9&gt;=20/24</formula>
    </cfRule>
    <cfRule type="expression" dxfId="6261" priority="125">
      <formula>AND(C$9&gt;=14/24,C$9&lt;20/24)</formula>
    </cfRule>
    <cfRule type="expression" dxfId="6260" priority="126">
      <formula>AND(C$9&gt;=8/24,C$9&lt;14/24)</formula>
    </cfRule>
    <cfRule type="expression" dxfId="6259" priority="127">
      <formula>C$9&lt;8/24</formula>
    </cfRule>
  </conditionalFormatting>
  <conditionalFormatting sqref="S84:T84">
    <cfRule type="expression" dxfId="6258" priority="120">
      <formula>S$9&gt;=20/24</formula>
    </cfRule>
    <cfRule type="expression" dxfId="6257" priority="121">
      <formula>AND(S$9&gt;=14/24,S$9&lt;20/24)</formula>
    </cfRule>
    <cfRule type="expression" dxfId="6256" priority="122">
      <formula>AND(S$9&gt;=8/24,S$9&lt;14/24)</formula>
    </cfRule>
    <cfRule type="expression" dxfId="6255" priority="123">
      <formula>S$9&lt;8/24</formula>
    </cfRule>
  </conditionalFormatting>
  <conditionalFormatting sqref="C94:F94 C95:O97">
    <cfRule type="expression" dxfId="6254" priority="116">
      <formula>C$9&gt;=20/24</formula>
    </cfRule>
    <cfRule type="expression" dxfId="6253" priority="117">
      <formula>AND(C$9&gt;=14/24,C$9&lt;20/24)</formula>
    </cfRule>
    <cfRule type="expression" dxfId="6252" priority="118">
      <formula>AND(C$9&gt;=8/24,C$9&lt;14/24)</formula>
    </cfRule>
    <cfRule type="expression" dxfId="6251" priority="119">
      <formula>C$9&lt;8/24</formula>
    </cfRule>
  </conditionalFormatting>
  <conditionalFormatting sqref="P94:R97">
    <cfRule type="expression" dxfId="6250" priority="112">
      <formula>P$9&gt;=20/24</formula>
    </cfRule>
    <cfRule type="expression" dxfId="6249" priority="113">
      <formula>AND(P$9&gt;=14/24,P$9&lt;20/24)</formula>
    </cfRule>
    <cfRule type="expression" dxfId="6248" priority="114">
      <formula>AND(P$9&gt;=8/24,P$9&lt;14/24)</formula>
    </cfRule>
    <cfRule type="expression" dxfId="6247" priority="115">
      <formula>P$9&lt;8/24</formula>
    </cfRule>
  </conditionalFormatting>
  <conditionalFormatting sqref="S94:T97">
    <cfRule type="expression" dxfId="6246" priority="108">
      <formula>S$9&gt;=20/24</formula>
    </cfRule>
    <cfRule type="expression" dxfId="6245" priority="109">
      <formula>AND(S$9&gt;=14/24,S$9&lt;20/24)</formula>
    </cfRule>
    <cfRule type="expression" dxfId="6244" priority="110">
      <formula>AND(S$9&gt;=8/24,S$9&lt;14/24)</formula>
    </cfRule>
    <cfRule type="expression" dxfId="6243" priority="111">
      <formula>S$9&lt;8/24</formula>
    </cfRule>
  </conditionalFormatting>
  <conditionalFormatting sqref="C98:O98">
    <cfRule type="expression" dxfId="6242" priority="104">
      <formula>C$9&gt;=20/24</formula>
    </cfRule>
    <cfRule type="expression" dxfId="6241" priority="105">
      <formula>AND(C$9&gt;=14/24,C$9&lt;20/24)</formula>
    </cfRule>
    <cfRule type="expression" dxfId="6240" priority="106">
      <formula>AND(C$9&gt;=8/24,C$9&lt;14/24)</formula>
    </cfRule>
    <cfRule type="expression" dxfId="6239" priority="107">
      <formula>C$9&lt;8/24</formula>
    </cfRule>
  </conditionalFormatting>
  <conditionalFormatting sqref="P98:R98">
    <cfRule type="expression" dxfId="6238" priority="100">
      <formula>P$9&gt;=20/24</formula>
    </cfRule>
    <cfRule type="expression" dxfId="6237" priority="101">
      <formula>AND(P$9&gt;=14/24,P$9&lt;20/24)</formula>
    </cfRule>
    <cfRule type="expression" dxfId="6236" priority="102">
      <formula>AND(P$9&gt;=8/24,P$9&lt;14/24)</formula>
    </cfRule>
    <cfRule type="expression" dxfId="6235" priority="103">
      <formula>P$9&lt;8/24</formula>
    </cfRule>
  </conditionalFormatting>
  <conditionalFormatting sqref="S98:T98">
    <cfRule type="expression" dxfId="6234" priority="96">
      <formula>S$9&gt;=20/24</formula>
    </cfRule>
    <cfRule type="expression" dxfId="6233" priority="97">
      <formula>AND(S$9&gt;=14/24,S$9&lt;20/24)</formula>
    </cfRule>
    <cfRule type="expression" dxfId="6232" priority="98">
      <formula>AND(S$9&gt;=8/24,S$9&lt;14/24)</formula>
    </cfRule>
    <cfRule type="expression" dxfId="6231" priority="99">
      <formula>S$9&lt;8/24</formula>
    </cfRule>
  </conditionalFormatting>
  <conditionalFormatting sqref="M94:O94">
    <cfRule type="expression" dxfId="6230" priority="92">
      <formula>M$9&gt;=20/24</formula>
    </cfRule>
    <cfRule type="expression" dxfId="6229" priority="93">
      <formula>AND(M$9&gt;=14/24,M$9&lt;20/24)</formula>
    </cfRule>
    <cfRule type="expression" dxfId="6228" priority="94">
      <formula>AND(M$9&gt;=8/24,M$9&lt;14/24)</formula>
    </cfRule>
    <cfRule type="expression" dxfId="6227" priority="95">
      <formula>M$9&lt;8/24</formula>
    </cfRule>
  </conditionalFormatting>
  <conditionalFormatting sqref="G94:L94">
    <cfRule type="expression" dxfId="6226" priority="88">
      <formula>G$9&gt;=20/24</formula>
    </cfRule>
    <cfRule type="expression" dxfId="6225" priority="89">
      <formula>AND(G$9&gt;=14/24,G$9&lt;20/24)</formula>
    </cfRule>
    <cfRule type="expression" dxfId="6224" priority="90">
      <formula>AND(G$9&gt;=8/24,G$9&lt;14/24)</formula>
    </cfRule>
    <cfRule type="expression" dxfId="6223" priority="91">
      <formula>G$9&lt;8/24</formula>
    </cfRule>
  </conditionalFormatting>
  <conditionalFormatting sqref="U94:W94">
    <cfRule type="expression" dxfId="6222" priority="84">
      <formula>U$9&gt;=20/24</formula>
    </cfRule>
    <cfRule type="expression" dxfId="6221" priority="85">
      <formula>AND(U$9&gt;=14/24,U$9&lt;20/24)</formula>
    </cfRule>
    <cfRule type="expression" dxfId="6220" priority="86">
      <formula>AND(U$9&gt;=8/24,U$9&lt;14/24)</formula>
    </cfRule>
    <cfRule type="expression" dxfId="6219" priority="87">
      <formula>U$9&lt;8/24</formula>
    </cfRule>
  </conditionalFormatting>
  <conditionalFormatting sqref="P94:T94">
    <cfRule type="expression" dxfId="6218" priority="80">
      <formula>P$9&gt;=20/24</formula>
    </cfRule>
    <cfRule type="expression" dxfId="6217" priority="81">
      <formula>AND(P$9&gt;=14/24,P$9&lt;20/24)</formula>
    </cfRule>
    <cfRule type="expression" dxfId="6216" priority="82">
      <formula>AND(P$9&gt;=8/24,P$9&lt;14/24)</formula>
    </cfRule>
    <cfRule type="expression" dxfId="6215" priority="83">
      <formula>P$9&lt;8/24</formula>
    </cfRule>
  </conditionalFormatting>
  <conditionalFormatting sqref="U99:AA99">
    <cfRule type="expression" dxfId="6214" priority="76">
      <formula>U$9&gt;=20/24</formula>
    </cfRule>
    <cfRule type="expression" dxfId="6213" priority="77">
      <formula>AND(U$9&gt;=14/24,U$9&lt;20/24)</formula>
    </cfRule>
    <cfRule type="expression" dxfId="6212" priority="78">
      <formula>AND(U$9&gt;=8/24,U$9&lt;14/24)</formula>
    </cfRule>
    <cfRule type="expression" dxfId="6211" priority="79">
      <formula>U$9&lt;8/24</formula>
    </cfRule>
  </conditionalFormatting>
  <conditionalFormatting sqref="C99:O99">
    <cfRule type="expression" dxfId="6210" priority="72">
      <formula>C$9&gt;=20/24</formula>
    </cfRule>
    <cfRule type="expression" dxfId="6209" priority="73">
      <formula>AND(C$9&gt;=14/24,C$9&lt;20/24)</formula>
    </cfRule>
    <cfRule type="expression" dxfId="6208" priority="74">
      <formula>AND(C$9&gt;=8/24,C$9&lt;14/24)</formula>
    </cfRule>
    <cfRule type="expression" dxfId="6207" priority="75">
      <formula>C$9&lt;8/24</formula>
    </cfRule>
  </conditionalFormatting>
  <conditionalFormatting sqref="P99:R99">
    <cfRule type="expression" dxfId="6206" priority="68">
      <formula>P$9&gt;=20/24</formula>
    </cfRule>
    <cfRule type="expression" dxfId="6205" priority="69">
      <formula>AND(P$9&gt;=14/24,P$9&lt;20/24)</formula>
    </cfRule>
    <cfRule type="expression" dxfId="6204" priority="70">
      <formula>AND(P$9&gt;=8/24,P$9&lt;14/24)</formula>
    </cfRule>
    <cfRule type="expression" dxfId="6203" priority="71">
      <formula>P$9&lt;8/24</formula>
    </cfRule>
  </conditionalFormatting>
  <conditionalFormatting sqref="S99:T99">
    <cfRule type="expression" dxfId="6202" priority="64">
      <formula>S$9&gt;=20/24</formula>
    </cfRule>
    <cfRule type="expression" dxfId="6201" priority="65">
      <formula>AND(S$9&gt;=14/24,S$9&lt;20/24)</formula>
    </cfRule>
    <cfRule type="expression" dxfId="6200" priority="66">
      <formula>AND(S$9&gt;=8/24,S$9&lt;14/24)</formula>
    </cfRule>
    <cfRule type="expression" dxfId="6199" priority="67">
      <formula>S$9&lt;8/24</formula>
    </cfRule>
  </conditionalFormatting>
  <conditionalFormatting sqref="X12:AF16">
    <cfRule type="expression" dxfId="6198" priority="60">
      <formula>X$9&gt;=20/24</formula>
    </cfRule>
    <cfRule type="expression" dxfId="6197" priority="61">
      <formula>AND(X$9&gt;=14/24,X$9&lt;20/24)</formula>
    </cfRule>
    <cfRule type="expression" dxfId="6196" priority="62">
      <formula>AND(X$9&gt;=8/24,X$9&lt;14/24)</formula>
    </cfRule>
    <cfRule type="expression" dxfId="6195" priority="63">
      <formula>X$9&lt;8/24</formula>
    </cfRule>
  </conditionalFormatting>
  <conditionalFormatting sqref="X17:AF17">
    <cfRule type="expression" dxfId="6194" priority="56">
      <formula>X$9&gt;=20/24</formula>
    </cfRule>
    <cfRule type="expression" dxfId="6193" priority="57">
      <formula>AND(X$9&gt;=14/24,X$9&lt;20/24)</formula>
    </cfRule>
    <cfRule type="expression" dxfId="6192" priority="58">
      <formula>AND(X$9&gt;=8/24,X$9&lt;14/24)</formula>
    </cfRule>
    <cfRule type="expression" dxfId="6191" priority="59">
      <formula>X$9&lt;8/24</formula>
    </cfRule>
  </conditionalFormatting>
  <conditionalFormatting sqref="X12:AF13">
    <cfRule type="expression" dxfId="6190" priority="52">
      <formula>X$9&gt;=20/24</formula>
    </cfRule>
    <cfRule type="expression" dxfId="6189" priority="53">
      <formula>AND(X$9&gt;=14/24,X$9&lt;20/24)</formula>
    </cfRule>
    <cfRule type="expression" dxfId="6188" priority="54">
      <formula>AND(X$9&gt;=8/24,X$9&lt;14/24)</formula>
    </cfRule>
    <cfRule type="expression" dxfId="6187" priority="55">
      <formula>X$9&lt;8/24</formula>
    </cfRule>
  </conditionalFormatting>
  <conditionalFormatting sqref="AE58:AE59">
    <cfRule type="expression" dxfId="6186" priority="48">
      <formula>AE$9&gt;=20/24</formula>
    </cfRule>
    <cfRule type="expression" dxfId="6185" priority="49">
      <formula>AND(AE$9&gt;=14/24,AE$9&lt;20/24)</formula>
    </cfRule>
    <cfRule type="expression" dxfId="6184" priority="50">
      <formula>AND(AE$9&gt;=8/24,AE$9&lt;14/24)</formula>
    </cfRule>
    <cfRule type="expression" dxfId="6183" priority="51">
      <formula>AE$9&lt;8/24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82" priority="281">
      <formula>C$9&gt;=20/24</formula>
    </cfRule>
    <cfRule type="expression" dxfId="6181" priority="282">
      <formula>AND(C$9&gt;=14/24,C$9&lt;20/24)</formula>
    </cfRule>
    <cfRule type="expression" dxfId="6180" priority="283">
      <formula>AND(C$9&gt;=8/24,C$9&lt;14/24)</formula>
    </cfRule>
    <cfRule type="expression" dxfId="6179" priority="284">
      <formula>C$9&lt;8/24</formula>
    </cfRule>
  </conditionalFormatting>
  <conditionalFormatting sqref="A200">
    <cfRule type="expression" dxfId="6178" priority="285">
      <formula>$AH200=0</formula>
    </cfRule>
  </conditionalFormatting>
  <conditionalFormatting sqref="AG212">
    <cfRule type="expression" dxfId="6177" priority="286">
      <formula>B$9&gt;=20/24</formula>
    </cfRule>
    <cfRule type="expression" dxfId="6176" priority="287">
      <formula>AND(B$9&gt;=14/24,B$9&lt;20/24)</formula>
    </cfRule>
    <cfRule type="expression" dxfId="6175" priority="288">
      <formula>AND(B$9&gt;=8/24,B$9&lt;14/24)</formula>
    </cfRule>
    <cfRule type="expression" dxfId="6174" priority="289">
      <formula>B$9&lt;8/24</formula>
    </cfRule>
  </conditionalFormatting>
  <conditionalFormatting sqref="S8">
    <cfRule type="expression" dxfId="6173" priority="42">
      <formula>U$9&gt;=20/24</formula>
    </cfRule>
    <cfRule type="expression" dxfId="6172" priority="43">
      <formula>AND(U$9&gt;=14/24,U$9&lt;20/24)</formula>
    </cfRule>
    <cfRule type="expression" dxfId="6171" priority="44">
      <formula>AND(U$9&gt;=8/24,U$9&lt;14/24)</formula>
    </cfRule>
    <cfRule type="expression" dxfId="6170" priority="45">
      <formula>U$9&lt;8/24</formula>
    </cfRule>
  </conditionalFormatting>
  <conditionalFormatting sqref="AB8">
    <cfRule type="expression" dxfId="6169" priority="38">
      <formula>AD$9&gt;=20/24</formula>
    </cfRule>
    <cfRule type="expression" dxfId="6168" priority="39">
      <formula>AND(AD$9&gt;=14/24,AD$9&lt;20/24)</formula>
    </cfRule>
    <cfRule type="expression" dxfId="6167" priority="40">
      <formula>AND(AD$9&gt;=8/24,AD$9&lt;14/24)</formula>
    </cfRule>
    <cfRule type="expression" dxfId="6166" priority="41">
      <formula>AD$9&lt;8/24</formula>
    </cfRule>
  </conditionalFormatting>
  <conditionalFormatting sqref="AH212:AX212">
    <cfRule type="expression" dxfId="6165" priority="290">
      <formula>AG$9&gt;=20/24</formula>
    </cfRule>
    <cfRule type="expression" dxfId="6164" priority="291">
      <formula>AND(AG$9&gt;=14/24,AG$9&lt;20/24)</formula>
    </cfRule>
    <cfRule type="expression" dxfId="6163" priority="292">
      <formula>AND(AG$9&gt;=8/24,AG$9&lt;14/24)</formula>
    </cfRule>
    <cfRule type="expression" dxfId="6162" priority="293">
      <formula>AG$9&lt;8/24</formula>
    </cfRule>
  </conditionalFormatting>
  <conditionalFormatting sqref="T212">
    <cfRule type="expression" dxfId="6161" priority="294">
      <formula>AX$9&gt;=20/24</formula>
    </cfRule>
    <cfRule type="expression" dxfId="6160" priority="295">
      <formula>AND(AX$9&gt;=14/24,AX$9&lt;20/24)</formula>
    </cfRule>
    <cfRule type="expression" dxfId="6159" priority="296">
      <formula>AND(AX$9&gt;=8/24,AX$9&lt;14/24)</formula>
    </cfRule>
    <cfRule type="expression" dxfId="6158" priority="297">
      <formula>AX$9&lt;8/24</formula>
    </cfRule>
  </conditionalFormatting>
  <conditionalFormatting sqref="A99">
    <cfRule type="expression" dxfId="6157" priority="37">
      <formula>$AH99=0</formula>
    </cfRule>
  </conditionalFormatting>
  <conditionalFormatting sqref="Q33:W33">
    <cfRule type="expression" dxfId="6156" priority="33">
      <formula>Q$9&gt;=20/24</formula>
    </cfRule>
    <cfRule type="expression" dxfId="6155" priority="34">
      <formula>AND(Q$9&gt;=14/24,Q$9&lt;20/24)</formula>
    </cfRule>
    <cfRule type="expression" dxfId="6154" priority="35">
      <formula>AND(Q$9&gt;=8/24,Q$9&lt;14/24)</formula>
    </cfRule>
    <cfRule type="expression" dxfId="6153" priority="36">
      <formula>Q$9&lt;8/24</formula>
    </cfRule>
  </conditionalFormatting>
  <conditionalFormatting sqref="X33:AF33">
    <cfRule type="expression" dxfId="6152" priority="25">
      <formula>X$9&gt;=20/24</formula>
    </cfRule>
    <cfRule type="expression" dxfId="6151" priority="26">
      <formula>AND(X$9&gt;=14/24,X$9&lt;20/24)</formula>
    </cfRule>
    <cfRule type="expression" dxfId="6150" priority="27">
      <formula>AND(X$9&gt;=8/24,X$9&lt;14/24)</formula>
    </cfRule>
    <cfRule type="expression" dxfId="6149" priority="28">
      <formula>X$9&lt;8/24</formula>
    </cfRule>
  </conditionalFormatting>
  <conditionalFormatting sqref="B33:L33 Q33:AF33">
    <cfRule type="expression" dxfId="6148" priority="24">
      <formula>B33&gt;$AG33</formula>
    </cfRule>
  </conditionalFormatting>
  <conditionalFormatting sqref="AB58:AD59">
    <cfRule type="expression" dxfId="6147" priority="20">
      <formula>AB$9&gt;=20/24</formula>
    </cfRule>
    <cfRule type="expression" dxfId="6146" priority="21">
      <formula>AND(AB$9&gt;=14/24,AB$9&lt;20/24)</formula>
    </cfRule>
    <cfRule type="expression" dxfId="6145" priority="22">
      <formula>AND(AB$9&gt;=8/24,AB$9&lt;14/24)</formula>
    </cfRule>
    <cfRule type="expression" dxfId="6144" priority="23">
      <formula>AB$9&lt;8/24</formula>
    </cfRule>
  </conditionalFormatting>
  <conditionalFormatting sqref="M12:P15 M17:P33">
    <cfRule type="expression" dxfId="6143" priority="16">
      <formula>M$9&gt;=20/24</formula>
    </cfRule>
    <cfRule type="expression" dxfId="6142" priority="17">
      <formula>AND(M$9&gt;=14/24,M$9&lt;20/24)</formula>
    </cfRule>
    <cfRule type="expression" dxfId="6141" priority="18">
      <formula>AND(M$9&gt;=8/24,M$9&lt;14/24)</formula>
    </cfRule>
    <cfRule type="expression" dxfId="6140" priority="19">
      <formula>M$9&lt;8/24</formula>
    </cfRule>
  </conditionalFormatting>
  <conditionalFormatting sqref="M12:P15 M17:P33 M35:P35">
    <cfRule type="expression" dxfId="6139" priority="15">
      <formula>M12&gt;$AG12</formula>
    </cfRule>
  </conditionalFormatting>
  <conditionalFormatting sqref="M35:P35">
    <cfRule type="expression" dxfId="6138" priority="11">
      <formula>M$9&gt;=20/24</formula>
    </cfRule>
    <cfRule type="expression" dxfId="6137" priority="12">
      <formula>AND(M$9&gt;=14/24,M$9&lt;20/24)</formula>
    </cfRule>
    <cfRule type="expression" dxfId="6136" priority="13">
      <formula>AND(M$9&gt;=8/24,M$9&lt;14/24)</formula>
    </cfRule>
    <cfRule type="expression" dxfId="6135" priority="14">
      <formula>M$9&lt;8/24</formula>
    </cfRule>
  </conditionalFormatting>
  <conditionalFormatting sqref="M16:P16">
    <cfRule type="expression" dxfId="6134" priority="7">
      <formula>M$9&gt;=20/24</formula>
    </cfRule>
    <cfRule type="expression" dxfId="6133" priority="8">
      <formula>AND(M$9&gt;=14/24,M$9&lt;20/24)</formula>
    </cfRule>
    <cfRule type="expression" dxfId="6132" priority="9">
      <formula>AND(M$9&gt;=8/24,M$9&lt;14/24)</formula>
    </cfRule>
    <cfRule type="expression" dxfId="6131" priority="10">
      <formula>M$9&lt;8/24</formula>
    </cfRule>
  </conditionalFormatting>
  <conditionalFormatting sqref="M16:P16">
    <cfRule type="expression" dxfId="6130" priority="6">
      <formula>M16&gt;$AG16</formula>
    </cfRule>
  </conditionalFormatting>
  <conditionalFormatting sqref="M34:P34">
    <cfRule type="expression" dxfId="6129" priority="2">
      <formula>M$9&gt;=20/24</formula>
    </cfRule>
    <cfRule type="expression" dxfId="6128" priority="3">
      <formula>AND(M$9&gt;=14/24,M$9&lt;20/24)</formula>
    </cfRule>
    <cfRule type="expression" dxfId="6127" priority="4">
      <formula>AND(M$9&gt;=8/24,M$9&lt;14/24)</formula>
    </cfRule>
    <cfRule type="expression" dxfId="6126" priority="5">
      <formula>M$9&lt;8/24</formula>
    </cfRule>
  </conditionalFormatting>
  <conditionalFormatting sqref="M34:P34">
    <cfRule type="expression" dxfId="6125" priority="1">
      <formula>M34&gt;$AG34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4E8C5A65-FB67-4046-99C4-0EC77EA6E7A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tabSelected="1"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A4" sqref="A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2078/08/12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143.6</v>
      </c>
      <c r="C5" s="32">
        <f t="shared" si="0"/>
        <v>128.9</v>
      </c>
      <c r="D5" s="32">
        <f t="shared" si="0"/>
        <v>127</v>
      </c>
      <c r="E5" s="32">
        <f t="shared" si="0"/>
        <v>133</v>
      </c>
      <c r="F5" s="32">
        <f t="shared" si="0"/>
        <v>135.6</v>
      </c>
      <c r="G5" s="32">
        <f t="shared" si="0"/>
        <v>146</v>
      </c>
      <c r="H5" s="32">
        <f t="shared" si="0"/>
        <v>255</v>
      </c>
      <c r="I5" s="32">
        <f t="shared" si="0"/>
        <v>269</v>
      </c>
      <c r="J5" s="32">
        <f t="shared" si="0"/>
        <v>350</v>
      </c>
      <c r="K5" s="32">
        <f t="shared" si="0"/>
        <v>0</v>
      </c>
      <c r="L5" s="32">
        <f t="shared" si="0"/>
        <v>0</v>
      </c>
      <c r="M5" s="32">
        <f t="shared" si="0"/>
        <v>165.7</v>
      </c>
      <c r="N5" s="32">
        <f t="shared" si="0"/>
        <v>60.7</v>
      </c>
      <c r="O5" s="32">
        <f t="shared" si="0"/>
        <v>50</v>
      </c>
      <c r="P5" s="32">
        <f t="shared" si="0"/>
        <v>375</v>
      </c>
      <c r="Q5" s="32">
        <f t="shared" si="0"/>
        <v>341.4</v>
      </c>
      <c r="R5" s="32">
        <f t="shared" si="0"/>
        <v>396.8</v>
      </c>
      <c r="S5" s="32">
        <f t="shared" si="0"/>
        <v>373</v>
      </c>
      <c r="T5" s="32">
        <f t="shared" si="0"/>
        <v>460.8</v>
      </c>
      <c r="U5" s="32">
        <f t="shared" si="0"/>
        <v>160.69999999999999</v>
      </c>
      <c r="V5" s="32">
        <f t="shared" si="0"/>
        <v>170</v>
      </c>
      <c r="W5" s="32">
        <f t="shared" si="0"/>
        <v>189.2</v>
      </c>
      <c r="X5" s="32">
        <f t="shared" si="0"/>
        <v>146</v>
      </c>
      <c r="Y5" s="32">
        <f t="shared" si="0"/>
        <v>358.9</v>
      </c>
      <c r="Z5" s="32">
        <f t="shared" si="0"/>
        <v>370.9</v>
      </c>
      <c r="AA5" s="32">
        <f t="shared" si="0"/>
        <v>412.4</v>
      </c>
      <c r="AB5" s="32">
        <f t="shared" si="0"/>
        <v>390.1</v>
      </c>
      <c r="AC5" s="32">
        <f t="shared" si="0"/>
        <v>343.5</v>
      </c>
      <c r="AD5" s="32">
        <f t="shared" si="0"/>
        <v>303.5</v>
      </c>
      <c r="AE5" s="32">
        <f t="shared" si="0"/>
        <v>243.2</v>
      </c>
      <c r="AF5" s="32">
        <f>B68</f>
        <v>169.8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904.24</v>
      </c>
      <c r="C7" s="37">
        <f t="shared" ref="C7:AF7" si="1">C75</f>
        <v>884.43999999999994</v>
      </c>
      <c r="D7" s="37">
        <f t="shared" si="1"/>
        <v>893.04</v>
      </c>
      <c r="E7" s="37">
        <f t="shared" si="1"/>
        <v>863.04</v>
      </c>
      <c r="F7" s="37">
        <f t="shared" si="1"/>
        <v>874.04</v>
      </c>
      <c r="G7" s="37">
        <f t="shared" si="1"/>
        <v>936.64</v>
      </c>
      <c r="H7" s="37">
        <f t="shared" si="1"/>
        <v>967.04</v>
      </c>
      <c r="I7" s="37">
        <f t="shared" si="1"/>
        <v>1137.6400000000001</v>
      </c>
      <c r="J7" s="37">
        <f t="shared" si="1"/>
        <v>1166.6400000000001</v>
      </c>
      <c r="K7" s="37">
        <f t="shared" si="1"/>
        <v>1385.34</v>
      </c>
      <c r="L7" s="37">
        <f t="shared" si="1"/>
        <v>3.54</v>
      </c>
      <c r="M7" s="37">
        <f t="shared" si="1"/>
        <v>3.54</v>
      </c>
      <c r="N7" s="37">
        <f t="shared" si="1"/>
        <v>1394.94</v>
      </c>
      <c r="O7" s="37">
        <f t="shared" si="1"/>
        <v>1346.64</v>
      </c>
      <c r="P7" s="37">
        <f t="shared" si="1"/>
        <v>1350.44</v>
      </c>
      <c r="Q7" s="37">
        <f t="shared" si="1"/>
        <v>1277.94</v>
      </c>
      <c r="R7" s="37">
        <f t="shared" si="1"/>
        <v>1207.24</v>
      </c>
      <c r="S7" s="37">
        <f t="shared" si="1"/>
        <v>1295.3399999999999</v>
      </c>
      <c r="T7" s="37">
        <f t="shared" si="1"/>
        <v>1295.1400000000001</v>
      </c>
      <c r="U7" s="37">
        <f t="shared" si="1"/>
        <v>1334.14</v>
      </c>
      <c r="V7" s="37">
        <f t="shared" si="1"/>
        <v>1437.44</v>
      </c>
      <c r="W7" s="37">
        <f t="shared" si="1"/>
        <v>1549.94</v>
      </c>
      <c r="X7" s="37">
        <f t="shared" si="1"/>
        <v>1667.44</v>
      </c>
      <c r="Y7" s="37">
        <f t="shared" si="1"/>
        <v>1585.74</v>
      </c>
      <c r="Z7" s="37">
        <f t="shared" si="1"/>
        <v>1543.54</v>
      </c>
      <c r="AA7" s="37">
        <f t="shared" si="1"/>
        <v>1503.74</v>
      </c>
      <c r="AB7" s="37">
        <f t="shared" si="1"/>
        <v>1420.74</v>
      </c>
      <c r="AC7" s="37">
        <f t="shared" si="1"/>
        <v>1377.64</v>
      </c>
      <c r="AD7" s="37">
        <f t="shared" si="1"/>
        <v>1307.44</v>
      </c>
      <c r="AE7" s="37">
        <f t="shared" si="1"/>
        <v>1127.94</v>
      </c>
      <c r="AF7" s="37">
        <f t="shared" si="1"/>
        <v>1008.14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60</v>
      </c>
      <c r="C11" s="50">
        <v>50</v>
      </c>
      <c r="D11" s="50">
        <v>90</v>
      </c>
      <c r="E11" s="49">
        <v>90</v>
      </c>
      <c r="F11" s="49">
        <v>90</v>
      </c>
      <c r="G11" s="49">
        <v>150</v>
      </c>
      <c r="H11" s="49">
        <v>170</v>
      </c>
      <c r="I11" s="49">
        <v>150</v>
      </c>
      <c r="J11" s="49">
        <v>150</v>
      </c>
      <c r="K11" s="49">
        <v>150</v>
      </c>
      <c r="L11" s="49" t="s">
        <v>227</v>
      </c>
      <c r="M11" s="50" t="s">
        <v>227</v>
      </c>
      <c r="N11" s="50">
        <v>300</v>
      </c>
      <c r="O11" s="50">
        <v>370</v>
      </c>
      <c r="P11" s="50">
        <v>370</v>
      </c>
      <c r="Q11" s="50">
        <v>60</v>
      </c>
      <c r="R11" s="51">
        <v>20</v>
      </c>
      <c r="S11" s="50">
        <v>40</v>
      </c>
      <c r="T11" s="50">
        <v>75</v>
      </c>
      <c r="U11" s="50">
        <v>25</v>
      </c>
      <c r="V11" s="50">
        <v>320</v>
      </c>
      <c r="W11" s="50">
        <v>400</v>
      </c>
      <c r="X11" s="50">
        <v>456</v>
      </c>
      <c r="Y11" s="50">
        <v>456</v>
      </c>
      <c r="Z11" s="52">
        <v>190</v>
      </c>
      <c r="AA11" s="50">
        <v>162</v>
      </c>
      <c r="AB11" s="50">
        <v>100</v>
      </c>
      <c r="AC11" s="50">
        <v>90</v>
      </c>
      <c r="AD11" s="50">
        <v>80</v>
      </c>
      <c r="AE11" s="50">
        <v>60</v>
      </c>
      <c r="AF11" s="49">
        <v>40</v>
      </c>
      <c r="AG11" s="53">
        <v>456</v>
      </c>
      <c r="AH11" s="54">
        <f>MAX(B11:AF11)</f>
        <v>456</v>
      </c>
      <c r="AI11" s="55">
        <f>MIN(B11:AF11)</f>
        <v>20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47</v>
      </c>
      <c r="C12" s="58">
        <v>47</v>
      </c>
      <c r="D12" s="58">
        <v>47</v>
      </c>
      <c r="E12" s="58">
        <v>47</v>
      </c>
      <c r="F12" s="58">
        <v>47</v>
      </c>
      <c r="G12" s="58">
        <v>47</v>
      </c>
      <c r="H12" s="58">
        <v>47</v>
      </c>
      <c r="I12" s="58">
        <v>47</v>
      </c>
      <c r="J12" s="58">
        <v>47</v>
      </c>
      <c r="K12" s="58">
        <v>47</v>
      </c>
      <c r="L12" s="58" t="s">
        <v>226</v>
      </c>
      <c r="M12" s="49" t="s">
        <v>226</v>
      </c>
      <c r="N12" s="49">
        <v>47</v>
      </c>
      <c r="O12" s="49">
        <v>47</v>
      </c>
      <c r="P12" s="49">
        <v>47</v>
      </c>
      <c r="Q12" s="49">
        <v>47</v>
      </c>
      <c r="R12" s="49">
        <v>47</v>
      </c>
      <c r="S12" s="58">
        <v>47</v>
      </c>
      <c r="T12" s="58">
        <v>47</v>
      </c>
      <c r="U12" s="58">
        <v>47</v>
      </c>
      <c r="V12" s="58">
        <v>47</v>
      </c>
      <c r="W12" s="58">
        <v>47</v>
      </c>
      <c r="X12" s="58">
        <v>47</v>
      </c>
      <c r="Y12" s="58">
        <v>47</v>
      </c>
      <c r="Z12" s="58">
        <v>47</v>
      </c>
      <c r="AA12" s="50">
        <v>46</v>
      </c>
      <c r="AB12" s="50">
        <v>46</v>
      </c>
      <c r="AC12" s="50">
        <v>46</v>
      </c>
      <c r="AD12" s="50">
        <v>46</v>
      </c>
      <c r="AE12" s="50">
        <v>46</v>
      </c>
      <c r="AF12" s="50">
        <v>46</v>
      </c>
      <c r="AG12" s="59">
        <v>60</v>
      </c>
      <c r="AH12" s="54">
        <f t="shared" ref="AH12:AH75" si="2">MAX(B12:AF12)</f>
        <v>47</v>
      </c>
      <c r="AI12" s="55">
        <f t="shared" ref="AI12:AI75" si="3">MIN(B12:AF12)</f>
        <v>46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27.1</v>
      </c>
      <c r="C13" s="58">
        <v>27</v>
      </c>
      <c r="D13" s="58">
        <v>27</v>
      </c>
      <c r="E13" s="58">
        <v>27</v>
      </c>
      <c r="F13" s="58">
        <v>27</v>
      </c>
      <c r="G13" s="58">
        <v>27</v>
      </c>
      <c r="H13" s="58">
        <v>27</v>
      </c>
      <c r="I13" s="58">
        <v>27</v>
      </c>
      <c r="J13" s="58">
        <v>27</v>
      </c>
      <c r="K13" s="58">
        <v>27</v>
      </c>
      <c r="L13" s="58" t="s">
        <v>232</v>
      </c>
      <c r="M13" s="49" t="s">
        <v>232</v>
      </c>
      <c r="N13" s="49">
        <v>27</v>
      </c>
      <c r="O13" s="49">
        <v>27</v>
      </c>
      <c r="P13" s="49">
        <v>27</v>
      </c>
      <c r="Q13" s="49">
        <v>27</v>
      </c>
      <c r="R13" s="49">
        <v>26.6</v>
      </c>
      <c r="S13" s="58">
        <v>26.6</v>
      </c>
      <c r="T13" s="58">
        <v>26.6</v>
      </c>
      <c r="U13" s="58">
        <v>26.6</v>
      </c>
      <c r="V13" s="58">
        <v>26.6</v>
      </c>
      <c r="W13" s="58">
        <v>26.6</v>
      </c>
      <c r="X13" s="58">
        <v>26.6</v>
      </c>
      <c r="Y13" s="58">
        <v>26.6</v>
      </c>
      <c r="Z13" s="58">
        <v>26.6</v>
      </c>
      <c r="AA13" s="58">
        <v>26.6</v>
      </c>
      <c r="AB13" s="58">
        <v>26.6</v>
      </c>
      <c r="AC13" s="58">
        <v>26.6</v>
      </c>
      <c r="AD13" s="58">
        <v>26.6</v>
      </c>
      <c r="AE13" s="58">
        <v>26.6</v>
      </c>
      <c r="AF13" s="58">
        <v>26.6</v>
      </c>
      <c r="AG13" s="59">
        <v>52.4</v>
      </c>
      <c r="AH13" s="54">
        <f t="shared" si="2"/>
        <v>27.1</v>
      </c>
      <c r="AI13" s="55">
        <f t="shared" si="3"/>
        <v>26.6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50.5</v>
      </c>
      <c r="C14" s="60">
        <v>50.5</v>
      </c>
      <c r="D14" s="60">
        <v>50.6</v>
      </c>
      <c r="E14" s="60">
        <v>50.6</v>
      </c>
      <c r="F14" s="60">
        <v>50.6</v>
      </c>
      <c r="G14" s="60">
        <v>50.6</v>
      </c>
      <c r="H14" s="60">
        <v>50.6</v>
      </c>
      <c r="I14" s="60">
        <v>50.6</v>
      </c>
      <c r="J14" s="60">
        <v>50.6</v>
      </c>
      <c r="K14" s="60">
        <v>50.6</v>
      </c>
      <c r="L14" s="60" t="s">
        <v>220</v>
      </c>
      <c r="M14" s="50" t="s">
        <v>220</v>
      </c>
      <c r="N14" s="50">
        <v>50.6</v>
      </c>
      <c r="O14" s="50">
        <v>50.6</v>
      </c>
      <c r="P14" s="50">
        <v>50.6</v>
      </c>
      <c r="Q14" s="50">
        <v>50.5</v>
      </c>
      <c r="R14" s="50">
        <v>50.5</v>
      </c>
      <c r="S14" s="60">
        <v>50.5</v>
      </c>
      <c r="T14" s="60">
        <v>50.5</v>
      </c>
      <c r="U14" s="60">
        <v>50.5</v>
      </c>
      <c r="V14" s="60">
        <v>50.5</v>
      </c>
      <c r="W14" s="60">
        <v>50.5</v>
      </c>
      <c r="X14" s="60">
        <v>50.5</v>
      </c>
      <c r="Y14" s="60">
        <v>50.5</v>
      </c>
      <c r="Z14" s="60">
        <v>50.5</v>
      </c>
      <c r="AA14" s="60">
        <v>50.5</v>
      </c>
      <c r="AB14" s="60">
        <v>50.5</v>
      </c>
      <c r="AC14" s="60">
        <v>50.5</v>
      </c>
      <c r="AD14" s="60">
        <v>50.5</v>
      </c>
      <c r="AE14" s="60">
        <v>50.5</v>
      </c>
      <c r="AF14" s="60">
        <v>50.5</v>
      </c>
      <c r="AG14" s="59">
        <v>50</v>
      </c>
      <c r="AH14" s="54">
        <f t="shared" si="2"/>
        <v>50.6</v>
      </c>
      <c r="AI14" s="55">
        <f t="shared" si="3"/>
        <v>50.5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24.6</v>
      </c>
      <c r="C15" s="60">
        <v>24.6</v>
      </c>
      <c r="D15" s="60">
        <v>24.6</v>
      </c>
      <c r="E15" s="60">
        <v>24.6</v>
      </c>
      <c r="F15" s="60">
        <v>24.6</v>
      </c>
      <c r="G15" s="60">
        <v>24.6</v>
      </c>
      <c r="H15" s="60">
        <v>24.6</v>
      </c>
      <c r="I15" s="60">
        <v>24.6</v>
      </c>
      <c r="J15" s="60">
        <v>24.6</v>
      </c>
      <c r="K15" s="60">
        <v>24.6</v>
      </c>
      <c r="L15" s="60" t="s">
        <v>233</v>
      </c>
      <c r="M15" s="50" t="s">
        <v>233</v>
      </c>
      <c r="N15" s="50">
        <v>23.7</v>
      </c>
      <c r="O15" s="50">
        <v>23.7</v>
      </c>
      <c r="P15" s="50">
        <v>23.7</v>
      </c>
      <c r="Q15" s="50">
        <v>23.7</v>
      </c>
      <c r="R15" s="50">
        <v>23.5</v>
      </c>
      <c r="S15" s="60">
        <v>23.5</v>
      </c>
      <c r="T15" s="60">
        <v>23.5</v>
      </c>
      <c r="U15" s="60">
        <v>23.5</v>
      </c>
      <c r="V15" s="60">
        <v>23.5</v>
      </c>
      <c r="W15" s="60">
        <v>24.2</v>
      </c>
      <c r="X15" s="60">
        <v>25</v>
      </c>
      <c r="Y15" s="60">
        <v>25</v>
      </c>
      <c r="Z15" s="60">
        <v>25</v>
      </c>
      <c r="AA15" s="60">
        <v>25</v>
      </c>
      <c r="AB15" s="60">
        <v>25</v>
      </c>
      <c r="AC15" s="60">
        <v>25</v>
      </c>
      <c r="AD15" s="60">
        <v>25</v>
      </c>
      <c r="AE15" s="60">
        <v>25</v>
      </c>
      <c r="AF15" s="60">
        <v>25</v>
      </c>
      <c r="AG15" s="62">
        <v>45</v>
      </c>
      <c r="AH15" s="54">
        <f t="shared" si="2"/>
        <v>25</v>
      </c>
      <c r="AI15" s="55">
        <f t="shared" si="3"/>
        <v>23.5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 t="s">
        <v>226</v>
      </c>
      <c r="M16" s="50" t="s">
        <v>226</v>
      </c>
      <c r="N16" s="50">
        <v>0</v>
      </c>
      <c r="O16" s="50">
        <v>0</v>
      </c>
      <c r="P16" s="50">
        <v>0</v>
      </c>
      <c r="Q16" s="50">
        <v>0</v>
      </c>
      <c r="R16" s="50">
        <v>12</v>
      </c>
      <c r="S16" s="63">
        <v>12</v>
      </c>
      <c r="T16" s="63">
        <v>12</v>
      </c>
      <c r="U16" s="63">
        <v>12</v>
      </c>
      <c r="V16" s="63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13</v>
      </c>
      <c r="C17" s="60">
        <v>13</v>
      </c>
      <c r="D17" s="60">
        <v>13</v>
      </c>
      <c r="E17" s="60">
        <v>13</v>
      </c>
      <c r="F17" s="60">
        <v>13</v>
      </c>
      <c r="G17" s="60">
        <v>13</v>
      </c>
      <c r="H17" s="60">
        <v>13</v>
      </c>
      <c r="I17" s="60">
        <v>13</v>
      </c>
      <c r="J17" s="60">
        <v>13</v>
      </c>
      <c r="K17" s="60">
        <v>13</v>
      </c>
      <c r="L17" s="60" t="s">
        <v>225</v>
      </c>
      <c r="M17" s="50" t="s">
        <v>225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60">
        <v>13</v>
      </c>
      <c r="T17" s="60">
        <v>13</v>
      </c>
      <c r="U17" s="60">
        <v>13</v>
      </c>
      <c r="V17" s="60">
        <v>13</v>
      </c>
      <c r="W17" s="6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/>
      <c r="M18" s="50"/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11.7</v>
      </c>
      <c r="C19" s="50">
        <v>11.6</v>
      </c>
      <c r="D19" s="50">
        <v>11.5</v>
      </c>
      <c r="E19" s="50">
        <v>11.5</v>
      </c>
      <c r="F19" s="50">
        <v>11.5</v>
      </c>
      <c r="G19" s="50">
        <v>11.5</v>
      </c>
      <c r="H19" s="50">
        <v>11.5</v>
      </c>
      <c r="I19" s="50">
        <v>11.5</v>
      </c>
      <c r="J19" s="50">
        <v>11.5</v>
      </c>
      <c r="K19" s="50">
        <v>11.5</v>
      </c>
      <c r="L19" s="50" t="s">
        <v>218</v>
      </c>
      <c r="M19" s="50" t="s">
        <v>218</v>
      </c>
      <c r="N19" s="50">
        <v>11.5</v>
      </c>
      <c r="O19" s="50">
        <v>11.5</v>
      </c>
      <c r="P19" s="50">
        <v>11.5</v>
      </c>
      <c r="Q19" s="50">
        <v>11.5</v>
      </c>
      <c r="R19" s="50">
        <v>11.5</v>
      </c>
      <c r="S19" s="50">
        <v>11.5</v>
      </c>
      <c r="T19" s="50">
        <v>11.5</v>
      </c>
      <c r="U19" s="50">
        <v>11.5</v>
      </c>
      <c r="V19" s="50">
        <v>11.5</v>
      </c>
      <c r="W19" s="50">
        <v>11.5</v>
      </c>
      <c r="X19" s="50">
        <v>11.5</v>
      </c>
      <c r="Y19" s="50">
        <v>11.5</v>
      </c>
      <c r="Z19" s="50">
        <v>11.5</v>
      </c>
      <c r="AA19" s="50">
        <v>11.5</v>
      </c>
      <c r="AB19" s="50">
        <v>11.5</v>
      </c>
      <c r="AC19" s="50">
        <v>11.5</v>
      </c>
      <c r="AD19" s="50">
        <v>11.5</v>
      </c>
      <c r="AE19" s="50">
        <v>11.5</v>
      </c>
      <c r="AF19" s="50">
        <v>11.5</v>
      </c>
      <c r="AG19" s="59">
        <v>30</v>
      </c>
      <c r="AH19" s="54">
        <f t="shared" si="2"/>
        <v>11.7</v>
      </c>
      <c r="AI19" s="55">
        <f t="shared" si="3"/>
        <v>11.5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 t="s">
        <v>219</v>
      </c>
      <c r="M20" s="50" t="s">
        <v>219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 t="s">
        <v>218</v>
      </c>
      <c r="M21" s="50" t="s">
        <v>218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14.5</v>
      </c>
      <c r="C22" s="50">
        <v>14.5</v>
      </c>
      <c r="D22" s="50">
        <v>14.6</v>
      </c>
      <c r="E22" s="50">
        <v>14.6</v>
      </c>
      <c r="F22" s="50">
        <v>14.6</v>
      </c>
      <c r="G22" s="50">
        <v>14.6</v>
      </c>
      <c r="H22" s="50">
        <v>14.6</v>
      </c>
      <c r="I22" s="50">
        <v>14.6</v>
      </c>
      <c r="J22" s="50">
        <v>14.6</v>
      </c>
      <c r="K22" s="50">
        <v>14.6</v>
      </c>
      <c r="L22" s="50" t="s">
        <v>220</v>
      </c>
      <c r="M22" s="50" t="s">
        <v>220</v>
      </c>
      <c r="N22" s="50">
        <v>17.399999999999999</v>
      </c>
      <c r="O22" s="50">
        <v>17.399999999999999</v>
      </c>
      <c r="P22" s="50">
        <v>17.399999999999999</v>
      </c>
      <c r="Q22" s="50">
        <v>17.399999999999999</v>
      </c>
      <c r="R22" s="50">
        <v>17.399999999999999</v>
      </c>
      <c r="S22" s="50">
        <v>17.399999999999999</v>
      </c>
      <c r="T22" s="50">
        <v>17.399999999999999</v>
      </c>
      <c r="U22" s="50">
        <v>17.399999999999999</v>
      </c>
      <c r="V22" s="50">
        <v>17.399999999999999</v>
      </c>
      <c r="W22" s="50">
        <v>17.399999999999999</v>
      </c>
      <c r="X22" s="50">
        <v>17.399999999999999</v>
      </c>
      <c r="Y22" s="50">
        <v>17.399999999999999</v>
      </c>
      <c r="Z22" s="50">
        <v>17.399999999999999</v>
      </c>
      <c r="AA22" s="50">
        <v>17.399999999999999</v>
      </c>
      <c r="AB22" s="50">
        <v>17.399999999999999</v>
      </c>
      <c r="AC22" s="50">
        <v>17.399999999999999</v>
      </c>
      <c r="AD22" s="50">
        <v>17.399999999999999</v>
      </c>
      <c r="AE22" s="50">
        <v>17.399999999999999</v>
      </c>
      <c r="AF22" s="50">
        <v>17.399999999999999</v>
      </c>
      <c r="AG22" s="59">
        <v>25</v>
      </c>
      <c r="AH22" s="54">
        <f t="shared" si="2"/>
        <v>17.399999999999999</v>
      </c>
      <c r="AI22" s="55">
        <f t="shared" si="3"/>
        <v>14.5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 t="s">
        <v>221</v>
      </c>
      <c r="M23" s="50" t="s">
        <v>221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 t="s">
        <v>222</v>
      </c>
      <c r="M24" s="50" t="s">
        <v>222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/>
      <c r="M25" s="50"/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10</v>
      </c>
      <c r="C26" s="50">
        <v>10</v>
      </c>
      <c r="D26" s="50">
        <v>10</v>
      </c>
      <c r="E26" s="50">
        <v>10</v>
      </c>
      <c r="F26" s="50">
        <v>10</v>
      </c>
      <c r="G26" s="50">
        <v>10</v>
      </c>
      <c r="H26" s="50">
        <v>10</v>
      </c>
      <c r="I26" s="50">
        <v>10</v>
      </c>
      <c r="J26" s="50">
        <v>10</v>
      </c>
      <c r="K26" s="50">
        <v>10</v>
      </c>
      <c r="L26" s="50" t="s">
        <v>223</v>
      </c>
      <c r="M26" s="50" t="s">
        <v>223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 t="s">
        <v>224</v>
      </c>
      <c r="M27" s="50" t="s">
        <v>224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 t="s">
        <v>225</v>
      </c>
      <c r="M28" s="50" t="s">
        <v>225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 t="s">
        <v>225</v>
      </c>
      <c r="M29" s="50" t="s">
        <v>225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 t="s">
        <v>226</v>
      </c>
      <c r="M30" s="50" t="s">
        <v>226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 t="s">
        <v>227</v>
      </c>
      <c r="M31" s="50" t="s">
        <v>227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 t="s">
        <v>218</v>
      </c>
      <c r="M32" s="50" t="s">
        <v>218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 t="s">
        <v>221</v>
      </c>
      <c r="M33" s="50" t="s">
        <v>221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/>
      <c r="M34" s="50"/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/>
      <c r="M35" s="50"/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151</v>
      </c>
      <c r="C36" s="61">
        <v>151</v>
      </c>
      <c r="D36" s="61">
        <v>151</v>
      </c>
      <c r="E36" s="61">
        <v>151</v>
      </c>
      <c r="F36" s="61">
        <v>151</v>
      </c>
      <c r="G36" s="61">
        <v>151</v>
      </c>
      <c r="H36" s="61">
        <v>151</v>
      </c>
      <c r="I36" s="61">
        <v>151</v>
      </c>
      <c r="J36" s="61">
        <v>151</v>
      </c>
      <c r="K36" s="61">
        <v>151</v>
      </c>
      <c r="L36" s="61"/>
      <c r="M36" s="61"/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151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70" t="s">
        <v>231</v>
      </c>
      <c r="C37" s="70" t="s">
        <v>231</v>
      </c>
      <c r="D37" s="70" t="s">
        <v>231</v>
      </c>
      <c r="E37" s="70" t="s">
        <v>231</v>
      </c>
      <c r="F37" s="70" t="s">
        <v>231</v>
      </c>
      <c r="G37" s="70" t="s">
        <v>231</v>
      </c>
      <c r="H37" s="70" t="s">
        <v>231</v>
      </c>
      <c r="I37" s="70" t="s">
        <v>231</v>
      </c>
      <c r="J37" s="70" t="s">
        <v>231</v>
      </c>
      <c r="K37" s="70" t="s">
        <v>231</v>
      </c>
      <c r="L37" s="70"/>
      <c r="M37" s="70"/>
      <c r="N37" s="70" t="s">
        <v>231</v>
      </c>
      <c r="O37" s="70" t="s">
        <v>231</v>
      </c>
      <c r="P37" s="70" t="s">
        <v>231</v>
      </c>
      <c r="Q37" s="70" t="s">
        <v>231</v>
      </c>
      <c r="R37" s="70" t="s">
        <v>231</v>
      </c>
      <c r="S37" s="70" t="s">
        <v>231</v>
      </c>
      <c r="T37" s="70">
        <v>60</v>
      </c>
      <c r="U37" s="70">
        <v>60</v>
      </c>
      <c r="V37" s="70">
        <v>60</v>
      </c>
      <c r="W37" s="70">
        <v>60</v>
      </c>
      <c r="X37" s="70">
        <v>59.5</v>
      </c>
      <c r="Y37" s="70">
        <v>59.5</v>
      </c>
      <c r="Z37" s="70">
        <v>59.5</v>
      </c>
      <c r="AA37" s="70">
        <v>59.5</v>
      </c>
      <c r="AB37" s="70">
        <v>60.5</v>
      </c>
      <c r="AC37" s="70">
        <v>60.5</v>
      </c>
      <c r="AD37" s="70">
        <v>60.5</v>
      </c>
      <c r="AE37" s="70">
        <v>61.6</v>
      </c>
      <c r="AF37" s="61">
        <v>62.6</v>
      </c>
      <c r="AG37" s="67">
        <v>240</v>
      </c>
      <c r="AH37" s="54">
        <f t="shared" si="2"/>
        <v>62.6</v>
      </c>
      <c r="AI37" s="55">
        <f t="shared" si="3"/>
        <v>59.5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511.09999999999997</v>
      </c>
      <c r="C38" s="72">
        <f t="shared" ref="C38:AF38" si="5">SUM(C11:C36)</f>
        <v>500.9</v>
      </c>
      <c r="D38" s="72">
        <f t="shared" si="5"/>
        <v>541</v>
      </c>
      <c r="E38" s="72">
        <f t="shared" si="5"/>
        <v>541</v>
      </c>
      <c r="F38" s="72">
        <f t="shared" si="5"/>
        <v>541</v>
      </c>
      <c r="G38" s="72">
        <f t="shared" si="5"/>
        <v>601</v>
      </c>
      <c r="H38" s="72">
        <f t="shared" si="5"/>
        <v>621</v>
      </c>
      <c r="I38" s="72">
        <f t="shared" si="5"/>
        <v>601</v>
      </c>
      <c r="J38" s="72">
        <f t="shared" si="5"/>
        <v>601</v>
      </c>
      <c r="K38" s="72">
        <f t="shared" si="5"/>
        <v>601</v>
      </c>
      <c r="L38" s="72">
        <f t="shared" si="5"/>
        <v>0</v>
      </c>
      <c r="M38" s="72">
        <f t="shared" si="5"/>
        <v>0</v>
      </c>
      <c r="N38" s="72">
        <f t="shared" si="5"/>
        <v>751.9</v>
      </c>
      <c r="O38" s="72">
        <f t="shared" si="5"/>
        <v>821.90000000000009</v>
      </c>
      <c r="P38" s="72">
        <f t="shared" si="5"/>
        <v>821.90000000000009</v>
      </c>
      <c r="Q38" s="72">
        <f t="shared" si="5"/>
        <v>511.79999999999995</v>
      </c>
      <c r="R38" s="72">
        <f t="shared" si="5"/>
        <v>483.2</v>
      </c>
      <c r="S38" s="72">
        <f t="shared" si="5"/>
        <v>503.2</v>
      </c>
      <c r="T38" s="72">
        <f t="shared" si="5"/>
        <v>538.20000000000005</v>
      </c>
      <c r="U38" s="72">
        <f t="shared" si="5"/>
        <v>488.2</v>
      </c>
      <c r="V38" s="72">
        <f t="shared" si="5"/>
        <v>783.2</v>
      </c>
      <c r="W38" s="72">
        <f t="shared" si="5"/>
        <v>863.90000000000009</v>
      </c>
      <c r="X38" s="72">
        <f t="shared" si="5"/>
        <v>920.7</v>
      </c>
      <c r="Y38" s="72">
        <f t="shared" si="5"/>
        <v>920.7</v>
      </c>
      <c r="Z38" s="72">
        <f t="shared" si="5"/>
        <v>654.70000000000005</v>
      </c>
      <c r="AA38" s="72">
        <f t="shared" si="5"/>
        <v>625.70000000000005</v>
      </c>
      <c r="AB38" s="72">
        <f t="shared" si="5"/>
        <v>563.70000000000005</v>
      </c>
      <c r="AC38" s="72">
        <f t="shared" si="5"/>
        <v>553.70000000000005</v>
      </c>
      <c r="AD38" s="72">
        <f t="shared" si="5"/>
        <v>543.70000000000005</v>
      </c>
      <c r="AE38" s="72">
        <f t="shared" si="5"/>
        <v>523.70000000000005</v>
      </c>
      <c r="AF38" s="72">
        <f t="shared" si="5"/>
        <v>503.7</v>
      </c>
      <c r="AG38" s="67">
        <f>SUM(AG11:AG37)</f>
        <v>1492.8299999999997</v>
      </c>
      <c r="AH38" s="54">
        <f t="shared" si="2"/>
        <v>920.7</v>
      </c>
      <c r="AI38" s="55">
        <f t="shared" si="3"/>
        <v>0</v>
      </c>
      <c r="AK38" s="56"/>
    </row>
    <row r="39" spans="1:88" x14ac:dyDescent="0.25">
      <c r="A39" s="57" t="s">
        <v>47</v>
      </c>
      <c r="B39" s="49">
        <v>30.6</v>
      </c>
      <c r="C39" s="49">
        <v>30.6</v>
      </c>
      <c r="D39" s="61">
        <v>30.7</v>
      </c>
      <c r="E39" s="61">
        <v>30.7</v>
      </c>
      <c r="F39" s="61">
        <v>30.7</v>
      </c>
      <c r="G39" s="61">
        <v>30.7</v>
      </c>
      <c r="H39" s="61">
        <v>30.7</v>
      </c>
      <c r="I39" s="61">
        <v>66</v>
      </c>
      <c r="J39" s="61">
        <v>66</v>
      </c>
      <c r="K39" s="61">
        <v>112</v>
      </c>
      <c r="L39" s="61"/>
      <c r="M39" s="50"/>
      <c r="N39" s="50">
        <v>137.1</v>
      </c>
      <c r="O39" s="50">
        <v>145.9</v>
      </c>
      <c r="P39" s="50">
        <v>145.9</v>
      </c>
      <c r="Q39" s="50">
        <v>146</v>
      </c>
      <c r="R39" s="50">
        <v>136.6</v>
      </c>
      <c r="S39" s="50">
        <v>146</v>
      </c>
      <c r="T39" s="50">
        <v>146</v>
      </c>
      <c r="U39" s="50">
        <v>146</v>
      </c>
      <c r="V39" s="50">
        <v>145.4</v>
      </c>
      <c r="W39" s="50">
        <v>145.4</v>
      </c>
      <c r="X39" s="50">
        <v>145.19999999999999</v>
      </c>
      <c r="Y39" s="50">
        <v>145.19999999999999</v>
      </c>
      <c r="Z39" s="50">
        <v>145.19999999999999</v>
      </c>
      <c r="AA39" s="50">
        <v>132</v>
      </c>
      <c r="AB39" s="50">
        <v>110</v>
      </c>
      <c r="AC39" s="50">
        <v>108</v>
      </c>
      <c r="AD39" s="50">
        <v>111</v>
      </c>
      <c r="AE39" s="50">
        <v>61.1</v>
      </c>
      <c r="AF39" s="49">
        <v>48</v>
      </c>
      <c r="AG39" s="62">
        <v>144</v>
      </c>
      <c r="AH39" s="54">
        <f t="shared" si="2"/>
        <v>146</v>
      </c>
      <c r="AI39" s="55">
        <f t="shared" si="3"/>
        <v>30.6</v>
      </c>
      <c r="AK39" s="56"/>
    </row>
    <row r="40" spans="1:88" x14ac:dyDescent="0.25">
      <c r="A40" s="66" t="s">
        <v>48</v>
      </c>
      <c r="B40" s="61">
        <v>24.5</v>
      </c>
      <c r="C40" s="61">
        <v>23.9</v>
      </c>
      <c r="D40" s="61">
        <v>25.1</v>
      </c>
      <c r="E40" s="61">
        <v>0</v>
      </c>
      <c r="F40" s="61">
        <v>0</v>
      </c>
      <c r="G40" s="61">
        <v>0</v>
      </c>
      <c r="H40" s="61">
        <v>0</v>
      </c>
      <c r="I40" s="61">
        <v>35.299999999999997</v>
      </c>
      <c r="J40" s="61">
        <v>35.299999999999997</v>
      </c>
      <c r="K40" s="61">
        <v>70</v>
      </c>
      <c r="L40" s="61"/>
      <c r="M40" s="73"/>
      <c r="N40" s="73">
        <v>69.900000000000006</v>
      </c>
      <c r="O40" s="73">
        <v>70.599999999999994</v>
      </c>
      <c r="P40" s="73">
        <v>70.599999999999994</v>
      </c>
      <c r="Q40" s="73">
        <v>55.8</v>
      </c>
      <c r="R40" s="73">
        <v>59.7</v>
      </c>
      <c r="S40" s="73">
        <v>71.099999999999994</v>
      </c>
      <c r="T40" s="73">
        <v>71.099999999999994</v>
      </c>
      <c r="U40" s="73">
        <v>55</v>
      </c>
      <c r="V40" s="73">
        <v>69.8</v>
      </c>
      <c r="W40" s="73">
        <v>69.7</v>
      </c>
      <c r="X40" s="73">
        <v>71.400000000000006</v>
      </c>
      <c r="Y40" s="73">
        <v>71.400000000000006</v>
      </c>
      <c r="Z40" s="73">
        <v>71.400000000000006</v>
      </c>
      <c r="AA40" s="73">
        <v>71</v>
      </c>
      <c r="AB40" s="73">
        <v>58.3</v>
      </c>
      <c r="AC40" s="73">
        <v>66</v>
      </c>
      <c r="AD40" s="73">
        <v>69.400000000000006</v>
      </c>
      <c r="AE40" s="73">
        <v>44.6</v>
      </c>
      <c r="AF40" s="61">
        <v>34.5</v>
      </c>
      <c r="AG40" s="67">
        <v>70</v>
      </c>
      <c r="AH40" s="54">
        <f t="shared" si="2"/>
        <v>71.400000000000006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51.9</v>
      </c>
      <c r="C41" s="61">
        <v>69.099999999999994</v>
      </c>
      <c r="D41" s="61">
        <v>51</v>
      </c>
      <c r="E41" s="61">
        <v>38</v>
      </c>
      <c r="F41" s="61">
        <v>38</v>
      </c>
      <c r="G41" s="61">
        <v>38</v>
      </c>
      <c r="H41" s="61">
        <v>38</v>
      </c>
      <c r="I41" s="61">
        <v>35</v>
      </c>
      <c r="J41" s="61">
        <v>35</v>
      </c>
      <c r="K41" s="61">
        <v>55</v>
      </c>
      <c r="L41" s="61"/>
      <c r="M41" s="73"/>
      <c r="N41" s="73">
        <v>61.9</v>
      </c>
      <c r="O41" s="73">
        <v>67.2</v>
      </c>
      <c r="P41" s="73">
        <v>67.2</v>
      </c>
      <c r="Q41" s="73">
        <v>35.200000000000003</v>
      </c>
      <c r="R41" s="73">
        <v>32.700000000000003</v>
      </c>
      <c r="S41" s="73">
        <v>22.8</v>
      </c>
      <c r="T41" s="73">
        <v>0</v>
      </c>
      <c r="U41" s="73">
        <v>17.3</v>
      </c>
      <c r="V41" s="73">
        <v>52.6</v>
      </c>
      <c r="W41" s="73">
        <v>67.5</v>
      </c>
      <c r="X41" s="73">
        <v>67.599999999999994</v>
      </c>
      <c r="Y41" s="73">
        <v>67.599999999999994</v>
      </c>
      <c r="Z41" s="73">
        <v>67.599999999999994</v>
      </c>
      <c r="AA41" s="73">
        <v>68.8</v>
      </c>
      <c r="AB41" s="73">
        <v>68.2</v>
      </c>
      <c r="AC41" s="73">
        <v>68</v>
      </c>
      <c r="AD41" s="73">
        <v>68</v>
      </c>
      <c r="AE41" s="73">
        <v>68.599999999999994</v>
      </c>
      <c r="AF41" s="61">
        <v>62.6</v>
      </c>
      <c r="AG41" s="67">
        <v>69</v>
      </c>
      <c r="AH41" s="54">
        <f t="shared" si="2"/>
        <v>69.099999999999994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60.9</v>
      </c>
      <c r="C42" s="61">
        <v>60.9</v>
      </c>
      <c r="D42" s="61">
        <v>60.9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60.9</v>
      </c>
      <c r="L42" s="61"/>
      <c r="M42" s="73"/>
      <c r="N42" s="73">
        <v>60.4</v>
      </c>
      <c r="O42" s="73">
        <v>60.4</v>
      </c>
      <c r="P42" s="73">
        <v>60.4</v>
      </c>
      <c r="Q42" s="73">
        <v>60.4</v>
      </c>
      <c r="R42" s="73">
        <v>59</v>
      </c>
      <c r="S42" s="73">
        <v>60</v>
      </c>
      <c r="T42" s="73">
        <v>60</v>
      </c>
      <c r="U42" s="73">
        <v>60</v>
      </c>
      <c r="V42" s="73">
        <v>60</v>
      </c>
      <c r="W42" s="73">
        <v>60</v>
      </c>
      <c r="X42" s="73">
        <v>60</v>
      </c>
      <c r="Y42" s="73">
        <v>60</v>
      </c>
      <c r="Z42" s="73">
        <v>60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61">
        <v>60.7</v>
      </c>
      <c r="AG42" s="67">
        <v>60</v>
      </c>
      <c r="AH42" s="54">
        <f t="shared" si="2"/>
        <v>60.9</v>
      </c>
      <c r="AI42" s="55">
        <f t="shared" si="3"/>
        <v>59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15</v>
      </c>
      <c r="G43" s="61">
        <v>15</v>
      </c>
      <c r="H43" s="61">
        <v>15</v>
      </c>
      <c r="I43" s="61">
        <v>29</v>
      </c>
      <c r="J43" s="61">
        <v>29</v>
      </c>
      <c r="K43" s="61">
        <v>29</v>
      </c>
      <c r="L43" s="61"/>
      <c r="M43" s="50"/>
      <c r="N43" s="50">
        <v>29.1</v>
      </c>
      <c r="O43" s="50">
        <v>28.3</v>
      </c>
      <c r="P43" s="50">
        <v>28.3</v>
      </c>
      <c r="Q43" s="50">
        <v>15</v>
      </c>
      <c r="R43" s="50">
        <v>0</v>
      </c>
      <c r="S43" s="50">
        <v>0</v>
      </c>
      <c r="T43" s="50">
        <v>0</v>
      </c>
      <c r="U43" s="50">
        <v>0</v>
      </c>
      <c r="V43" s="50">
        <v>25</v>
      </c>
      <c r="W43" s="50">
        <v>30</v>
      </c>
      <c r="X43" s="50">
        <v>30</v>
      </c>
      <c r="Y43" s="50">
        <v>30</v>
      </c>
      <c r="Z43" s="50">
        <v>30</v>
      </c>
      <c r="AA43" s="50">
        <v>30</v>
      </c>
      <c r="AB43" s="73">
        <v>21.8</v>
      </c>
      <c r="AC43" s="73">
        <v>20.5</v>
      </c>
      <c r="AD43" s="73">
        <v>20.8</v>
      </c>
      <c r="AE43" s="73">
        <v>10.1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/>
      <c r="M44" s="50"/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/>
      <c r="M45" s="50"/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/>
      <c r="M46" s="50"/>
      <c r="N46" s="50">
        <v>2.5</v>
      </c>
      <c r="O46" s="50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50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/>
      <c r="M47" s="50"/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61">
        <v>6</v>
      </c>
      <c r="D48" s="74">
        <v>6</v>
      </c>
      <c r="E48" s="74">
        <v>6</v>
      </c>
      <c r="F48" s="74">
        <v>6</v>
      </c>
      <c r="G48" s="74">
        <v>6</v>
      </c>
      <c r="H48" s="74">
        <v>6</v>
      </c>
      <c r="I48" s="74">
        <v>6</v>
      </c>
      <c r="J48" s="74">
        <v>6</v>
      </c>
      <c r="K48" s="74">
        <v>6</v>
      </c>
      <c r="L48" s="74"/>
      <c r="M48" s="50"/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/>
      <c r="M49" s="50"/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/>
      <c r="M50" s="50"/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223.34</v>
      </c>
      <c r="C52" s="72">
        <f t="shared" ref="C52:AF52" si="9">SUM(C39:C51)</f>
        <v>239.94</v>
      </c>
      <c r="D52" s="72">
        <f t="shared" si="9"/>
        <v>223.14</v>
      </c>
      <c r="E52" s="72">
        <f t="shared" si="9"/>
        <v>195.04</v>
      </c>
      <c r="F52" s="72">
        <f t="shared" si="9"/>
        <v>200.04</v>
      </c>
      <c r="G52" s="72">
        <f t="shared" si="9"/>
        <v>200.04</v>
      </c>
      <c r="H52" s="72">
        <f t="shared" si="9"/>
        <v>200.04</v>
      </c>
      <c r="I52" s="72">
        <f t="shared" si="9"/>
        <v>281.64000000000004</v>
      </c>
      <c r="J52" s="72">
        <f t="shared" si="9"/>
        <v>281.64000000000004</v>
      </c>
      <c r="K52" s="72">
        <f t="shared" si="9"/>
        <v>382.34</v>
      </c>
      <c r="L52" s="72">
        <f t="shared" si="9"/>
        <v>3.54</v>
      </c>
      <c r="M52" s="72">
        <f t="shared" si="9"/>
        <v>3.54</v>
      </c>
      <c r="N52" s="72">
        <f t="shared" si="9"/>
        <v>413.84</v>
      </c>
      <c r="O52" s="72">
        <f t="shared" si="9"/>
        <v>427.84</v>
      </c>
      <c r="P52" s="72">
        <f t="shared" si="9"/>
        <v>427.84</v>
      </c>
      <c r="Q52" s="72">
        <f t="shared" si="9"/>
        <v>367.84</v>
      </c>
      <c r="R52" s="72">
        <f t="shared" si="9"/>
        <v>343.44</v>
      </c>
      <c r="S52" s="72">
        <f t="shared" si="9"/>
        <v>355.34</v>
      </c>
      <c r="T52" s="72">
        <f t="shared" si="9"/>
        <v>332.54</v>
      </c>
      <c r="U52" s="72">
        <f t="shared" si="9"/>
        <v>333.74</v>
      </c>
      <c r="V52" s="72">
        <f t="shared" si="9"/>
        <v>408.24</v>
      </c>
      <c r="W52" s="72">
        <f t="shared" si="9"/>
        <v>428.04</v>
      </c>
      <c r="X52" s="72">
        <f t="shared" si="9"/>
        <v>429.64</v>
      </c>
      <c r="Y52" s="72">
        <f t="shared" si="9"/>
        <v>429.64</v>
      </c>
      <c r="Z52" s="72">
        <f t="shared" si="9"/>
        <v>429.64</v>
      </c>
      <c r="AA52" s="72">
        <f t="shared" si="9"/>
        <v>418.14</v>
      </c>
      <c r="AB52" s="72">
        <f t="shared" si="9"/>
        <v>374.64</v>
      </c>
      <c r="AC52" s="72">
        <f t="shared" si="9"/>
        <v>378.84</v>
      </c>
      <c r="AD52" s="72">
        <f t="shared" si="9"/>
        <v>385.54</v>
      </c>
      <c r="AE52" s="72">
        <f t="shared" si="9"/>
        <v>300.74</v>
      </c>
      <c r="AF52" s="72">
        <f t="shared" si="9"/>
        <v>261.24</v>
      </c>
      <c r="AG52" s="78">
        <f>SUM(AG39:AG51)</f>
        <v>489.91</v>
      </c>
      <c r="AH52" s="54">
        <f t="shared" si="2"/>
        <v>429.64</v>
      </c>
      <c r="AI52" s="55">
        <f t="shared" si="3"/>
        <v>3.54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10</v>
      </c>
      <c r="K53" s="61">
        <v>30</v>
      </c>
      <c r="L53" s="61"/>
      <c r="M53" s="79"/>
      <c r="N53" s="79">
        <v>39.299999999999997</v>
      </c>
      <c r="O53" s="79">
        <v>15.3</v>
      </c>
      <c r="P53" s="79">
        <v>29.5</v>
      </c>
      <c r="Q53" s="50">
        <v>14.4</v>
      </c>
      <c r="R53" s="50">
        <v>19.7</v>
      </c>
      <c r="S53" s="50">
        <v>19.5</v>
      </c>
      <c r="T53" s="50">
        <v>30</v>
      </c>
      <c r="U53" s="50">
        <v>30</v>
      </c>
      <c r="V53" s="50">
        <v>50.2</v>
      </c>
      <c r="W53" s="50">
        <v>54.5</v>
      </c>
      <c r="X53" s="50">
        <v>56.9</v>
      </c>
      <c r="Y53" s="50">
        <v>54.3</v>
      </c>
      <c r="Z53" s="50">
        <v>59.7</v>
      </c>
      <c r="AA53" s="50">
        <v>54</v>
      </c>
      <c r="AB53" s="50">
        <v>39.5</v>
      </c>
      <c r="AC53" s="50">
        <v>34.5</v>
      </c>
      <c r="AD53" s="50">
        <v>20.5</v>
      </c>
      <c r="AE53" s="50">
        <v>0</v>
      </c>
      <c r="AF53" s="50">
        <v>0</v>
      </c>
      <c r="AG53" s="62">
        <v>60</v>
      </c>
      <c r="AH53" s="54">
        <f t="shared" si="2"/>
        <v>59.7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3.5</v>
      </c>
      <c r="K54" s="61">
        <v>15</v>
      </c>
      <c r="L54" s="61"/>
      <c r="M54" s="79"/>
      <c r="N54" s="79">
        <v>17.7</v>
      </c>
      <c r="O54" s="79">
        <v>15.3</v>
      </c>
      <c r="P54" s="79">
        <v>15.5</v>
      </c>
      <c r="Q54" s="73">
        <v>6.5</v>
      </c>
      <c r="R54" s="73">
        <v>14.3</v>
      </c>
      <c r="S54" s="50">
        <v>15</v>
      </c>
      <c r="T54" s="50">
        <v>15.7</v>
      </c>
      <c r="U54" s="50">
        <v>15.7</v>
      </c>
      <c r="V54" s="73">
        <v>25.7</v>
      </c>
      <c r="W54" s="73">
        <v>24.5</v>
      </c>
      <c r="X54" s="73">
        <v>26.4</v>
      </c>
      <c r="Y54" s="73">
        <v>25.7</v>
      </c>
      <c r="Z54" s="73">
        <v>29.7</v>
      </c>
      <c r="AA54" s="73">
        <v>25</v>
      </c>
      <c r="AB54" s="73">
        <v>22.3</v>
      </c>
      <c r="AC54" s="73">
        <v>15</v>
      </c>
      <c r="AD54" s="73">
        <v>10.4</v>
      </c>
      <c r="AE54" s="73">
        <v>0</v>
      </c>
      <c r="AF54" s="73">
        <v>0</v>
      </c>
      <c r="AG54" s="67">
        <v>32</v>
      </c>
      <c r="AH54" s="54">
        <f t="shared" si="2"/>
        <v>29.7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1.5</v>
      </c>
      <c r="K55" s="74">
        <v>7</v>
      </c>
      <c r="L55" s="74"/>
      <c r="M55" s="81"/>
      <c r="N55" s="81">
        <v>6.5</v>
      </c>
      <c r="O55" s="81">
        <v>5.6</v>
      </c>
      <c r="P55" s="81">
        <v>5.7</v>
      </c>
      <c r="Q55" s="80">
        <v>2.4</v>
      </c>
      <c r="R55" s="80">
        <v>5.2</v>
      </c>
      <c r="S55" s="50">
        <v>5.5</v>
      </c>
      <c r="T55" s="50">
        <v>5.7</v>
      </c>
      <c r="U55" s="50">
        <v>5.7</v>
      </c>
      <c r="V55" s="80">
        <v>9.4</v>
      </c>
      <c r="W55" s="80">
        <v>9</v>
      </c>
      <c r="X55" s="80">
        <v>9.6</v>
      </c>
      <c r="Y55" s="80">
        <v>9.4</v>
      </c>
      <c r="Z55" s="80">
        <v>10.9</v>
      </c>
      <c r="AA55" s="80">
        <v>10</v>
      </c>
      <c r="AB55" s="80">
        <v>8.1999999999999993</v>
      </c>
      <c r="AC55" s="80">
        <v>5.5</v>
      </c>
      <c r="AD55" s="80">
        <v>3.8</v>
      </c>
      <c r="AE55" s="80">
        <v>0</v>
      </c>
      <c r="AF55" s="80">
        <v>0</v>
      </c>
      <c r="AG55" s="82">
        <v>14</v>
      </c>
      <c r="AH55" s="54">
        <f t="shared" si="2"/>
        <v>10.9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15</v>
      </c>
      <c r="K56" s="72">
        <f t="shared" si="11"/>
        <v>52</v>
      </c>
      <c r="L56" s="72">
        <f t="shared" si="11"/>
        <v>0</v>
      </c>
      <c r="M56" s="72">
        <f t="shared" si="11"/>
        <v>0</v>
      </c>
      <c r="N56" s="72">
        <f t="shared" si="11"/>
        <v>63.5</v>
      </c>
      <c r="O56" s="72">
        <f t="shared" si="11"/>
        <v>36.200000000000003</v>
      </c>
      <c r="P56" s="72">
        <f t="shared" si="11"/>
        <v>50.7</v>
      </c>
      <c r="Q56" s="72">
        <f t="shared" si="11"/>
        <v>23.299999999999997</v>
      </c>
      <c r="R56" s="72">
        <f t="shared" si="11"/>
        <v>39.200000000000003</v>
      </c>
      <c r="S56" s="72">
        <f t="shared" si="11"/>
        <v>40</v>
      </c>
      <c r="T56" s="72">
        <f t="shared" si="11"/>
        <v>51.400000000000006</v>
      </c>
      <c r="U56" s="72">
        <f t="shared" si="11"/>
        <v>51.400000000000006</v>
      </c>
      <c r="V56" s="72">
        <f t="shared" si="11"/>
        <v>85.300000000000011</v>
      </c>
      <c r="W56" s="72">
        <f t="shared" si="11"/>
        <v>88</v>
      </c>
      <c r="X56" s="72">
        <f t="shared" si="11"/>
        <v>92.899999999999991</v>
      </c>
      <c r="Y56" s="72">
        <f t="shared" si="11"/>
        <v>89.4</v>
      </c>
      <c r="Z56" s="72">
        <f t="shared" si="11"/>
        <v>100.30000000000001</v>
      </c>
      <c r="AA56" s="72">
        <f t="shared" si="11"/>
        <v>89</v>
      </c>
      <c r="AB56" s="72">
        <f t="shared" si="11"/>
        <v>70</v>
      </c>
      <c r="AC56" s="72">
        <f t="shared" si="11"/>
        <v>55</v>
      </c>
      <c r="AD56" s="72">
        <f t="shared" si="11"/>
        <v>34.699999999999996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100.30000000000001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47.8</v>
      </c>
      <c r="C57" s="50">
        <v>44.6</v>
      </c>
      <c r="D57" s="50">
        <v>43.9</v>
      </c>
      <c r="E57" s="50">
        <v>45</v>
      </c>
      <c r="F57" s="50">
        <v>48</v>
      </c>
      <c r="G57" s="50">
        <v>53.6</v>
      </c>
      <c r="H57" s="50">
        <v>51</v>
      </c>
      <c r="I57" s="50">
        <v>59</v>
      </c>
      <c r="J57" s="50">
        <v>0</v>
      </c>
      <c r="K57" s="50">
        <v>0</v>
      </c>
      <c r="L57" s="50"/>
      <c r="M57" s="50"/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60.1</v>
      </c>
      <c r="AD57" s="50">
        <v>54.5</v>
      </c>
      <c r="AE57" s="50">
        <v>51.5</v>
      </c>
      <c r="AF57" s="50">
        <v>52</v>
      </c>
      <c r="AG57" s="62"/>
      <c r="AH57" s="54">
        <f t="shared" si="2"/>
        <v>60.1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/>
      <c r="M58" s="50"/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122</v>
      </c>
      <c r="C59" s="73">
        <v>99</v>
      </c>
      <c r="D59" s="73">
        <v>85</v>
      </c>
      <c r="E59" s="73">
        <v>82</v>
      </c>
      <c r="F59" s="73">
        <v>85</v>
      </c>
      <c r="G59" s="73">
        <v>82</v>
      </c>
      <c r="H59" s="73">
        <v>95</v>
      </c>
      <c r="I59" s="73">
        <v>196</v>
      </c>
      <c r="J59" s="73">
        <v>214</v>
      </c>
      <c r="K59" s="73">
        <v>205</v>
      </c>
      <c r="L59" s="73"/>
      <c r="M59" s="73"/>
      <c r="N59" s="73">
        <v>42</v>
      </c>
      <c r="O59" s="73">
        <v>8.6999999999999993</v>
      </c>
      <c r="P59" s="73">
        <v>0</v>
      </c>
      <c r="Q59" s="73">
        <v>327</v>
      </c>
      <c r="R59" s="73">
        <v>341.4</v>
      </c>
      <c r="S59" s="73">
        <v>344.8</v>
      </c>
      <c r="T59" s="73">
        <v>323</v>
      </c>
      <c r="U59" s="73">
        <v>342</v>
      </c>
      <c r="V59" s="73">
        <v>36.9</v>
      </c>
      <c r="W59" s="73">
        <v>36</v>
      </c>
      <c r="X59" s="84">
        <v>54.3</v>
      </c>
      <c r="Y59" s="84">
        <v>10.8</v>
      </c>
      <c r="Z59" s="84">
        <v>235</v>
      </c>
      <c r="AA59" s="84">
        <v>240</v>
      </c>
      <c r="AB59" s="84">
        <v>291.2</v>
      </c>
      <c r="AC59" s="73">
        <v>285</v>
      </c>
      <c r="AD59" s="73">
        <v>244</v>
      </c>
      <c r="AE59" s="73">
        <v>209</v>
      </c>
      <c r="AF59" s="73">
        <v>191.2</v>
      </c>
      <c r="AG59" s="85"/>
      <c r="AH59" s="54">
        <f t="shared" si="2"/>
        <v>344.8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55</v>
      </c>
      <c r="K60" s="58">
        <v>65</v>
      </c>
      <c r="L60" s="58"/>
      <c r="M60" s="73"/>
      <c r="N60" s="73">
        <v>52</v>
      </c>
      <c r="O60" s="73">
        <v>52</v>
      </c>
      <c r="P60" s="73">
        <v>50</v>
      </c>
      <c r="Q60" s="73">
        <v>48</v>
      </c>
      <c r="R60" s="73">
        <v>0</v>
      </c>
      <c r="S60" s="73">
        <v>52</v>
      </c>
      <c r="T60" s="73">
        <v>50</v>
      </c>
      <c r="U60" s="73">
        <v>50</v>
      </c>
      <c r="V60" s="73">
        <v>50</v>
      </c>
      <c r="W60" s="73">
        <v>50</v>
      </c>
      <c r="X60" s="73">
        <v>54</v>
      </c>
      <c r="Y60" s="73">
        <v>54</v>
      </c>
      <c r="Z60" s="73">
        <v>54</v>
      </c>
      <c r="AA60" s="73">
        <v>50</v>
      </c>
      <c r="AB60" s="73">
        <v>47</v>
      </c>
      <c r="AC60" s="73">
        <v>45</v>
      </c>
      <c r="AD60" s="73">
        <v>45</v>
      </c>
      <c r="AE60" s="73">
        <v>43</v>
      </c>
      <c r="AF60" s="73">
        <v>0</v>
      </c>
      <c r="AG60" s="85"/>
      <c r="AH60" s="54">
        <f t="shared" si="2"/>
        <v>65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80</v>
      </c>
      <c r="L61" s="58"/>
      <c r="M61" s="50"/>
      <c r="N61" s="50">
        <v>71.7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68.8</v>
      </c>
      <c r="V61" s="50">
        <v>73.8</v>
      </c>
      <c r="W61" s="50">
        <v>84</v>
      </c>
      <c r="X61" s="50">
        <v>80.900000000000006</v>
      </c>
      <c r="Y61" s="50">
        <v>81.2</v>
      </c>
      <c r="Z61" s="50">
        <v>69.900000000000006</v>
      </c>
      <c r="AA61" s="50">
        <v>80.900000000000006</v>
      </c>
      <c r="AB61" s="50">
        <v>74.2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84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/>
      <c r="M62" s="73"/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/>
      <c r="M63" s="50"/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/>
      <c r="M64" s="58"/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/>
      <c r="M65" s="58"/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/>
      <c r="M66" s="73"/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/>
      <c r="M67" s="50"/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169.8</v>
      </c>
      <c r="C68" s="72">
        <f>SUM(C57:C67)</f>
        <v>143.6</v>
      </c>
      <c r="D68" s="72">
        <f t="shared" ref="D68:AF68" si="13">SUM(D57:D67)</f>
        <v>128.9</v>
      </c>
      <c r="E68" s="72">
        <f t="shared" si="13"/>
        <v>127</v>
      </c>
      <c r="F68" s="72">
        <f t="shared" si="13"/>
        <v>133</v>
      </c>
      <c r="G68" s="72">
        <f t="shared" si="13"/>
        <v>135.6</v>
      </c>
      <c r="H68" s="72">
        <f t="shared" si="13"/>
        <v>146</v>
      </c>
      <c r="I68" s="72">
        <f t="shared" si="13"/>
        <v>255</v>
      </c>
      <c r="J68" s="72">
        <f t="shared" si="13"/>
        <v>269</v>
      </c>
      <c r="K68" s="72">
        <f t="shared" si="13"/>
        <v>350</v>
      </c>
      <c r="L68" s="72">
        <f t="shared" si="13"/>
        <v>0</v>
      </c>
      <c r="M68" s="72">
        <f t="shared" si="13"/>
        <v>0</v>
      </c>
      <c r="N68" s="72">
        <f t="shared" si="13"/>
        <v>165.7</v>
      </c>
      <c r="O68" s="72">
        <f t="shared" si="13"/>
        <v>60.7</v>
      </c>
      <c r="P68" s="72">
        <f t="shared" si="13"/>
        <v>50</v>
      </c>
      <c r="Q68" s="72">
        <f t="shared" si="13"/>
        <v>375</v>
      </c>
      <c r="R68" s="72">
        <f t="shared" si="13"/>
        <v>341.4</v>
      </c>
      <c r="S68" s="72">
        <f t="shared" si="13"/>
        <v>396.8</v>
      </c>
      <c r="T68" s="72">
        <f t="shared" si="13"/>
        <v>373</v>
      </c>
      <c r="U68" s="72">
        <f t="shared" si="13"/>
        <v>460.8</v>
      </c>
      <c r="V68" s="72">
        <f t="shared" si="13"/>
        <v>160.69999999999999</v>
      </c>
      <c r="W68" s="72">
        <f t="shared" si="13"/>
        <v>170</v>
      </c>
      <c r="X68" s="72">
        <f t="shared" si="13"/>
        <v>189.2</v>
      </c>
      <c r="Y68" s="72">
        <f t="shared" si="13"/>
        <v>146</v>
      </c>
      <c r="Z68" s="72">
        <f t="shared" si="13"/>
        <v>358.9</v>
      </c>
      <c r="AA68" s="72">
        <f t="shared" si="13"/>
        <v>370.9</v>
      </c>
      <c r="AB68" s="72">
        <f t="shared" si="13"/>
        <v>412.4</v>
      </c>
      <c r="AC68" s="72">
        <f t="shared" si="13"/>
        <v>390.1</v>
      </c>
      <c r="AD68" s="72">
        <f t="shared" si="13"/>
        <v>343.5</v>
      </c>
      <c r="AE68" s="72">
        <f t="shared" si="13"/>
        <v>303.5</v>
      </c>
      <c r="AF68" s="72">
        <f t="shared" si="13"/>
        <v>243.2</v>
      </c>
      <c r="AG68" s="78">
        <f>SUM(AG57:AG67)</f>
        <v>0</v>
      </c>
      <c r="AH68" s="54">
        <f t="shared" si="2"/>
        <v>460.8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904.24</v>
      </c>
      <c r="C73" s="89">
        <f>C68+C56+C52+C38+C72</f>
        <v>884.43999999999994</v>
      </c>
      <c r="D73" s="89">
        <f t="shared" ref="D73:AG73" si="17">D68+D56+D52+D38+D72</f>
        <v>893.04</v>
      </c>
      <c r="E73" s="89">
        <f t="shared" si="17"/>
        <v>863.04</v>
      </c>
      <c r="F73" s="89">
        <f t="shared" si="17"/>
        <v>874.04</v>
      </c>
      <c r="G73" s="89">
        <f t="shared" si="17"/>
        <v>936.64</v>
      </c>
      <c r="H73" s="89">
        <f t="shared" si="17"/>
        <v>967.04</v>
      </c>
      <c r="I73" s="89">
        <f t="shared" si="17"/>
        <v>1137.6400000000001</v>
      </c>
      <c r="J73" s="89">
        <f t="shared" si="17"/>
        <v>1166.6400000000001</v>
      </c>
      <c r="K73" s="89">
        <f t="shared" si="17"/>
        <v>1385.34</v>
      </c>
      <c r="L73" s="89">
        <f t="shared" si="17"/>
        <v>3.54</v>
      </c>
      <c r="M73" s="89">
        <f t="shared" si="17"/>
        <v>3.54</v>
      </c>
      <c r="N73" s="89">
        <f t="shared" si="17"/>
        <v>1394.94</v>
      </c>
      <c r="O73" s="89">
        <f t="shared" si="17"/>
        <v>1346.64</v>
      </c>
      <c r="P73" s="89">
        <f t="shared" si="17"/>
        <v>1350.44</v>
      </c>
      <c r="Q73" s="89">
        <f t="shared" si="17"/>
        <v>1277.94</v>
      </c>
      <c r="R73" s="89">
        <f t="shared" si="17"/>
        <v>1207.24</v>
      </c>
      <c r="S73" s="89">
        <f t="shared" si="17"/>
        <v>1295.3399999999999</v>
      </c>
      <c r="T73" s="89">
        <f t="shared" si="17"/>
        <v>1295.1400000000001</v>
      </c>
      <c r="U73" s="89">
        <f t="shared" si="17"/>
        <v>1334.14</v>
      </c>
      <c r="V73" s="89">
        <f t="shared" si="17"/>
        <v>1437.44</v>
      </c>
      <c r="W73" s="89">
        <f t="shared" si="17"/>
        <v>1549.94</v>
      </c>
      <c r="X73" s="89">
        <f t="shared" si="17"/>
        <v>1632.44</v>
      </c>
      <c r="Y73" s="89">
        <f t="shared" si="17"/>
        <v>1585.74</v>
      </c>
      <c r="Z73" s="89">
        <f t="shared" si="17"/>
        <v>1543.54</v>
      </c>
      <c r="AA73" s="89">
        <f t="shared" si="17"/>
        <v>1503.74</v>
      </c>
      <c r="AB73" s="89">
        <f t="shared" si="17"/>
        <v>1420.74</v>
      </c>
      <c r="AC73" s="89">
        <f t="shared" si="17"/>
        <v>1377.64</v>
      </c>
      <c r="AD73" s="89">
        <f t="shared" si="17"/>
        <v>1307.44</v>
      </c>
      <c r="AE73" s="89">
        <f t="shared" si="17"/>
        <v>1127.94</v>
      </c>
      <c r="AF73" s="89">
        <f t="shared" si="17"/>
        <v>1008.14</v>
      </c>
      <c r="AG73" s="89">
        <f t="shared" si="17"/>
        <v>2144.14</v>
      </c>
      <c r="AH73" s="54">
        <f t="shared" si="2"/>
        <v>1632.44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>
        <v>35</v>
      </c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35</v>
      </c>
      <c r="AI74" s="55">
        <f t="shared" si="3"/>
        <v>35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904.24</v>
      </c>
      <c r="C75" s="89">
        <f>C73+C74</f>
        <v>884.43999999999994</v>
      </c>
      <c r="D75" s="89">
        <f t="shared" ref="D75:AF75" si="19">D72+D68+D56+D52+D38+D74</f>
        <v>893.04</v>
      </c>
      <c r="E75" s="89">
        <f t="shared" si="19"/>
        <v>863.04</v>
      </c>
      <c r="F75" s="89">
        <f t="shared" si="19"/>
        <v>874.04</v>
      </c>
      <c r="G75" s="89">
        <f t="shared" si="19"/>
        <v>936.64</v>
      </c>
      <c r="H75" s="89">
        <f t="shared" si="19"/>
        <v>967.04</v>
      </c>
      <c r="I75" s="89">
        <f t="shared" si="19"/>
        <v>1137.6400000000001</v>
      </c>
      <c r="J75" s="89">
        <f t="shared" si="19"/>
        <v>1166.6400000000001</v>
      </c>
      <c r="K75" s="89">
        <f t="shared" si="19"/>
        <v>1385.34</v>
      </c>
      <c r="L75" s="89">
        <f t="shared" si="19"/>
        <v>3.54</v>
      </c>
      <c r="M75" s="89">
        <f t="shared" si="19"/>
        <v>3.54</v>
      </c>
      <c r="N75" s="89">
        <f t="shared" si="19"/>
        <v>1394.94</v>
      </c>
      <c r="O75" s="89">
        <f t="shared" si="19"/>
        <v>1346.64</v>
      </c>
      <c r="P75" s="89">
        <f t="shared" si="19"/>
        <v>1350.44</v>
      </c>
      <c r="Q75" s="89">
        <f t="shared" si="19"/>
        <v>1277.94</v>
      </c>
      <c r="R75" s="89">
        <f t="shared" si="19"/>
        <v>1207.24</v>
      </c>
      <c r="S75" s="89">
        <f t="shared" si="19"/>
        <v>1295.3399999999999</v>
      </c>
      <c r="T75" s="89">
        <f t="shared" si="19"/>
        <v>1295.1400000000001</v>
      </c>
      <c r="U75" s="89">
        <f t="shared" si="19"/>
        <v>1334.14</v>
      </c>
      <c r="V75" s="89">
        <f t="shared" si="19"/>
        <v>1437.44</v>
      </c>
      <c r="W75" s="89">
        <f t="shared" si="19"/>
        <v>1549.94</v>
      </c>
      <c r="X75" s="89">
        <f t="shared" si="19"/>
        <v>1667.44</v>
      </c>
      <c r="Y75" s="89">
        <f t="shared" si="19"/>
        <v>1585.74</v>
      </c>
      <c r="Z75" s="89">
        <f t="shared" si="19"/>
        <v>1543.54</v>
      </c>
      <c r="AA75" s="89">
        <f t="shared" si="19"/>
        <v>1503.74</v>
      </c>
      <c r="AB75" s="89">
        <f t="shared" si="19"/>
        <v>1420.74</v>
      </c>
      <c r="AC75" s="89">
        <f t="shared" si="19"/>
        <v>1377.64</v>
      </c>
      <c r="AD75" s="89">
        <f t="shared" si="19"/>
        <v>1307.44</v>
      </c>
      <c r="AE75" s="89">
        <f t="shared" si="19"/>
        <v>1127.94</v>
      </c>
      <c r="AF75" s="89">
        <f t="shared" si="19"/>
        <v>1008.14</v>
      </c>
      <c r="AG75" s="78">
        <f>AG72+AG68+AG56+AG52+AG38+AG74</f>
        <v>2144.14</v>
      </c>
      <c r="AH75" s="54">
        <f t="shared" si="2"/>
        <v>1667.44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1808.48</v>
      </c>
      <c r="C83" s="72">
        <f t="shared" ref="C83:AG83" si="35">SUM(C70:C82)</f>
        <v>1768.8799999999999</v>
      </c>
      <c r="D83" s="72">
        <f t="shared" si="35"/>
        <v>1786.08</v>
      </c>
      <c r="E83" s="72">
        <f t="shared" si="35"/>
        <v>1726.08</v>
      </c>
      <c r="F83" s="72">
        <f t="shared" si="35"/>
        <v>1748.08</v>
      </c>
      <c r="G83" s="72">
        <f t="shared" si="35"/>
        <v>1873.28</v>
      </c>
      <c r="H83" s="72">
        <f t="shared" si="35"/>
        <v>1934.08</v>
      </c>
      <c r="I83" s="72">
        <f t="shared" si="35"/>
        <v>2275.2800000000002</v>
      </c>
      <c r="J83" s="72">
        <f t="shared" si="35"/>
        <v>2333.2800000000002</v>
      </c>
      <c r="K83" s="72">
        <f t="shared" si="35"/>
        <v>2770.68</v>
      </c>
      <c r="L83" s="72">
        <f t="shared" si="35"/>
        <v>7.08</v>
      </c>
      <c r="M83" s="72">
        <f t="shared" si="35"/>
        <v>7.08</v>
      </c>
      <c r="N83" s="72">
        <f t="shared" si="35"/>
        <v>2789.88</v>
      </c>
      <c r="O83" s="72">
        <f t="shared" si="35"/>
        <v>2693.28</v>
      </c>
      <c r="P83" s="72">
        <f t="shared" si="35"/>
        <v>2700.88</v>
      </c>
      <c r="Q83" s="72">
        <f t="shared" si="35"/>
        <v>2555.88</v>
      </c>
      <c r="R83" s="72">
        <f t="shared" si="35"/>
        <v>2414.48</v>
      </c>
      <c r="S83" s="72">
        <f t="shared" si="35"/>
        <v>2590.6799999999998</v>
      </c>
      <c r="T83" s="72">
        <f t="shared" si="35"/>
        <v>2590.2800000000002</v>
      </c>
      <c r="U83" s="72">
        <f t="shared" si="35"/>
        <v>2668.28</v>
      </c>
      <c r="V83" s="72">
        <f t="shared" si="35"/>
        <v>2874.88</v>
      </c>
      <c r="W83" s="72">
        <f t="shared" si="35"/>
        <v>3099.88</v>
      </c>
      <c r="X83" s="72">
        <f t="shared" si="35"/>
        <v>3334.88</v>
      </c>
      <c r="Y83" s="72">
        <f t="shared" si="35"/>
        <v>3171.48</v>
      </c>
      <c r="Z83" s="72">
        <f t="shared" si="35"/>
        <v>3087.08</v>
      </c>
      <c r="AA83" s="72">
        <f t="shared" si="35"/>
        <v>3007.48</v>
      </c>
      <c r="AB83" s="72">
        <f t="shared" si="35"/>
        <v>2841.48</v>
      </c>
      <c r="AC83" s="72">
        <f t="shared" si="35"/>
        <v>2755.28</v>
      </c>
      <c r="AD83" s="72">
        <f t="shared" si="35"/>
        <v>2614.88</v>
      </c>
      <c r="AE83" s="72">
        <f t="shared" si="35"/>
        <v>2255.88</v>
      </c>
      <c r="AF83" s="72">
        <f t="shared" si="35"/>
        <v>2016.28</v>
      </c>
      <c r="AG83" s="78">
        <f t="shared" si="35"/>
        <v>4360.08</v>
      </c>
      <c r="AH83" s="54">
        <f t="shared" si="22"/>
        <v>3334.88</v>
      </c>
      <c r="AI83" s="55">
        <f t="shared" si="23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49.95</v>
      </c>
      <c r="C84" s="95">
        <v>50.02</v>
      </c>
      <c r="D84" s="95">
        <v>50.04</v>
      </c>
      <c r="E84" s="95">
        <v>50.033999999999999</v>
      </c>
      <c r="F84" s="95">
        <v>50.061999999999998</v>
      </c>
      <c r="G84" s="95">
        <v>49.975999999999999</v>
      </c>
      <c r="H84" s="95">
        <v>50.017000000000003</v>
      </c>
      <c r="I84" s="95">
        <v>50.027999999999999</v>
      </c>
      <c r="J84" s="95">
        <v>50.027999999999999</v>
      </c>
      <c r="K84" s="95">
        <v>50.027999999999999</v>
      </c>
      <c r="L84" s="95"/>
      <c r="M84" s="95"/>
      <c r="N84" s="95">
        <v>50.052999999999997</v>
      </c>
      <c r="O84" s="95">
        <v>50.009</v>
      </c>
      <c r="P84" s="95">
        <v>50.009</v>
      </c>
      <c r="Q84" s="95">
        <v>50.08</v>
      </c>
      <c r="R84" s="95">
        <v>50.024000000000001</v>
      </c>
      <c r="S84" s="95">
        <v>49.951000000000001</v>
      </c>
      <c r="T84" s="95">
        <v>49.817999999999998</v>
      </c>
      <c r="U84" s="95">
        <v>50.012</v>
      </c>
      <c r="V84" s="95">
        <v>50.03</v>
      </c>
      <c r="W84" s="95">
        <v>50.03</v>
      </c>
      <c r="X84" s="95">
        <v>50.054000000000002</v>
      </c>
      <c r="Y84" s="95">
        <v>50.014000000000003</v>
      </c>
      <c r="Z84" s="95">
        <v>50.008000000000003</v>
      </c>
      <c r="AA84" s="95">
        <v>49.973999999999997</v>
      </c>
      <c r="AB84" s="95">
        <v>50.072000000000003</v>
      </c>
      <c r="AC84" s="95">
        <v>49.939</v>
      </c>
      <c r="AD84" s="95">
        <v>50.061999999999998</v>
      </c>
      <c r="AE84" s="95">
        <v>50.143999999999998</v>
      </c>
      <c r="AF84" s="95">
        <v>50.018000000000001</v>
      </c>
      <c r="AG84" s="96"/>
      <c r="AH84" s="54">
        <f t="shared" si="22"/>
        <v>50.143999999999998</v>
      </c>
      <c r="AI84" s="55">
        <f t="shared" si="23"/>
        <v>49.817999999999998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126.6</v>
      </c>
      <c r="C85" s="73">
        <v>128.4</v>
      </c>
      <c r="D85" s="73">
        <v>127.2</v>
      </c>
      <c r="E85" s="73">
        <v>128.4</v>
      </c>
      <c r="F85" s="73">
        <v>127.8</v>
      </c>
      <c r="G85" s="73">
        <v>126.7</v>
      </c>
      <c r="H85" s="73">
        <v>125.2</v>
      </c>
      <c r="I85" s="73">
        <v>123.7</v>
      </c>
      <c r="J85" s="73">
        <v>123.7</v>
      </c>
      <c r="K85" s="73">
        <v>123.7</v>
      </c>
      <c r="L85" s="73"/>
      <c r="M85" s="73"/>
      <c r="N85" s="73">
        <v>123.6</v>
      </c>
      <c r="O85" s="73">
        <v>121.1</v>
      </c>
      <c r="P85" s="73">
        <v>122.2</v>
      </c>
      <c r="Q85" s="73">
        <v>121.2</v>
      </c>
      <c r="R85" s="73">
        <v>123.8</v>
      </c>
      <c r="S85" s="73">
        <v>122.3</v>
      </c>
      <c r="T85" s="73">
        <v>120.5</v>
      </c>
      <c r="U85" s="98">
        <v>123.7</v>
      </c>
      <c r="V85" s="98">
        <v>124</v>
      </c>
      <c r="W85" s="98">
        <v>123.4</v>
      </c>
      <c r="X85" s="98">
        <v>122.4</v>
      </c>
      <c r="Y85" s="98">
        <v>122.6</v>
      </c>
      <c r="Z85" s="98">
        <v>124.4</v>
      </c>
      <c r="AA85" s="98">
        <v>126</v>
      </c>
      <c r="AB85" s="73">
        <v>124.7</v>
      </c>
      <c r="AC85" s="73">
        <v>122.4</v>
      </c>
      <c r="AD85" s="73">
        <v>122.6</v>
      </c>
      <c r="AE85" s="73">
        <v>125.4</v>
      </c>
      <c r="AF85" s="73">
        <v>126.8</v>
      </c>
      <c r="AG85" s="99"/>
      <c r="AH85" s="54">
        <f t="shared" si="22"/>
        <v>128.4</v>
      </c>
      <c r="AI85" s="55">
        <f t="shared" si="23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130.19999999999999</v>
      </c>
      <c r="C86" s="73">
        <v>131.9</v>
      </c>
      <c r="D86" s="73">
        <v>131.19999999999999</v>
      </c>
      <c r="E86" s="73">
        <v>131.9</v>
      </c>
      <c r="F86" s="73">
        <v>131.1</v>
      </c>
      <c r="G86" s="73">
        <v>130.19999999999999</v>
      </c>
      <c r="H86" s="73">
        <v>128.80000000000001</v>
      </c>
      <c r="I86" s="73">
        <v>127.1</v>
      </c>
      <c r="J86" s="73">
        <v>127.1</v>
      </c>
      <c r="K86" s="73">
        <v>127.1</v>
      </c>
      <c r="L86" s="73"/>
      <c r="M86" s="73"/>
      <c r="N86" s="73">
        <v>126</v>
      </c>
      <c r="O86" s="73">
        <v>124.2</v>
      </c>
      <c r="P86" s="73">
        <v>125.2</v>
      </c>
      <c r="Q86" s="73">
        <v>124.6</v>
      </c>
      <c r="R86" s="73">
        <v>126.8</v>
      </c>
      <c r="S86" s="73">
        <v>125.5</v>
      </c>
      <c r="T86" s="73">
        <v>124.2</v>
      </c>
      <c r="U86" s="98">
        <v>126.1</v>
      </c>
      <c r="V86" s="98">
        <v>126.1</v>
      </c>
      <c r="W86" s="98">
        <v>125.3</v>
      </c>
      <c r="X86" s="98">
        <v>123.8</v>
      </c>
      <c r="Y86" s="98">
        <v>124.5</v>
      </c>
      <c r="Z86" s="98">
        <v>126.1</v>
      </c>
      <c r="AA86" s="98">
        <v>127</v>
      </c>
      <c r="AB86" s="73">
        <v>126.4</v>
      </c>
      <c r="AC86" s="73">
        <v>125.3</v>
      </c>
      <c r="AD86" s="73">
        <v>126.1</v>
      </c>
      <c r="AE86" s="73">
        <v>129.1</v>
      </c>
      <c r="AF86" s="73">
        <v>130.4</v>
      </c>
      <c r="AG86" s="99"/>
      <c r="AH86" s="54">
        <f t="shared" si="22"/>
        <v>131.9</v>
      </c>
      <c r="AI86" s="55">
        <f t="shared" si="23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>
        <v>128.69999999999999</v>
      </c>
      <c r="U87" s="73">
        <v>129.19999999999999</v>
      </c>
      <c r="V87" s="73">
        <v>127.5</v>
      </c>
      <c r="W87" s="73">
        <v>126.2</v>
      </c>
      <c r="X87" s="98">
        <v>125.6</v>
      </c>
      <c r="Y87" s="98">
        <v>128.69999999999999</v>
      </c>
      <c r="Z87" s="98">
        <v>133</v>
      </c>
      <c r="AA87" s="98">
        <v>130</v>
      </c>
      <c r="AB87" s="73">
        <v>132</v>
      </c>
      <c r="AC87" s="73">
        <v>130.9</v>
      </c>
      <c r="AD87" s="73">
        <v>131.1</v>
      </c>
      <c r="AE87" s="73">
        <v>130.4</v>
      </c>
      <c r="AF87" s="73">
        <v>131.1</v>
      </c>
      <c r="AG87" s="99"/>
      <c r="AH87" s="54">
        <f t="shared" si="22"/>
        <v>133</v>
      </c>
      <c r="AI87" s="55">
        <f t="shared" si="23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>
        <v>133</v>
      </c>
      <c r="U88" s="73">
        <v>133.4</v>
      </c>
      <c r="V88" s="73">
        <v>131.5</v>
      </c>
      <c r="W88" s="73">
        <v>130.4</v>
      </c>
      <c r="X88" s="98">
        <v>130.6</v>
      </c>
      <c r="Y88" s="98">
        <v>134</v>
      </c>
      <c r="Z88" s="98">
        <v>135.1</v>
      </c>
      <c r="AA88" s="98">
        <v>134</v>
      </c>
      <c r="AB88" s="73">
        <v>134.5</v>
      </c>
      <c r="AC88" s="73">
        <v>133.69999999999999</v>
      </c>
      <c r="AD88" s="73">
        <v>134.19999999999999</v>
      </c>
      <c r="AE88" s="73">
        <v>134</v>
      </c>
      <c r="AF88" s="73">
        <v>134.69999999999999</v>
      </c>
      <c r="AG88" s="99"/>
      <c r="AH88" s="54">
        <f t="shared" si="22"/>
        <v>135.1</v>
      </c>
      <c r="AI88" s="55">
        <f t="shared" si="23"/>
        <v>130.4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127.5</v>
      </c>
      <c r="C89" s="101">
        <v>134.30000000000001</v>
      </c>
      <c r="D89" s="101">
        <v>133.30000000000001</v>
      </c>
      <c r="E89" s="101">
        <v>134.69999999999999</v>
      </c>
      <c r="F89" s="101">
        <v>133.6</v>
      </c>
      <c r="G89" s="101">
        <v>131.4</v>
      </c>
      <c r="H89" s="101">
        <v>130</v>
      </c>
      <c r="I89" s="101">
        <v>129.69999999999999</v>
      </c>
      <c r="J89" s="101">
        <v>129.69999999999999</v>
      </c>
      <c r="K89" s="101">
        <v>129.69999999999999</v>
      </c>
      <c r="L89" s="101"/>
      <c r="M89" s="101"/>
      <c r="N89" s="101">
        <v>131.19999999999999</v>
      </c>
      <c r="O89" s="101">
        <v>135.4</v>
      </c>
      <c r="P89" s="101">
        <v>135.5</v>
      </c>
      <c r="Q89" s="101">
        <v>134.4</v>
      </c>
      <c r="R89" s="101">
        <v>131.5</v>
      </c>
      <c r="S89" s="101">
        <v>130.9</v>
      </c>
      <c r="T89" s="101">
        <v>132.1</v>
      </c>
      <c r="U89" s="101">
        <v>131.69999999999999</v>
      </c>
      <c r="V89" s="101">
        <v>134.4</v>
      </c>
      <c r="W89" s="101">
        <v>132.1</v>
      </c>
      <c r="X89" s="98">
        <v>133.80000000000001</v>
      </c>
      <c r="Y89" s="98">
        <v>134</v>
      </c>
      <c r="Z89" s="98">
        <v>133.80000000000001</v>
      </c>
      <c r="AA89" s="98">
        <v>134</v>
      </c>
      <c r="AB89" s="101">
        <v>133.19999999999999</v>
      </c>
      <c r="AC89" s="101">
        <v>136.6</v>
      </c>
      <c r="AD89" s="101">
        <v>132.6</v>
      </c>
      <c r="AE89" s="101">
        <v>135.5</v>
      </c>
      <c r="AF89" s="101">
        <v>131.5</v>
      </c>
      <c r="AG89" s="102"/>
      <c r="AH89" s="54">
        <f t="shared" si="22"/>
        <v>136.6</v>
      </c>
      <c r="AI89" s="55">
        <f t="shared" si="23"/>
        <v>127.5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136</v>
      </c>
      <c r="C90" s="73">
        <v>136.80000000000001</v>
      </c>
      <c r="D90" s="73">
        <v>136.80000000000001</v>
      </c>
      <c r="E90" s="73">
        <v>135.6</v>
      </c>
      <c r="F90" s="73">
        <v>136</v>
      </c>
      <c r="G90" s="73">
        <v>130.4</v>
      </c>
      <c r="H90" s="73">
        <v>129.9</v>
      </c>
      <c r="I90" s="73">
        <v>125.3</v>
      </c>
      <c r="J90" s="73">
        <v>125.3</v>
      </c>
      <c r="K90" s="73">
        <v>125.3</v>
      </c>
      <c r="L90" s="73"/>
      <c r="M90" s="73"/>
      <c r="N90" s="73">
        <v>128.69999999999999</v>
      </c>
      <c r="O90" s="73">
        <v>132.69999999999999</v>
      </c>
      <c r="P90" s="73">
        <v>132.30000000000001</v>
      </c>
      <c r="Q90" s="73">
        <v>131.6</v>
      </c>
      <c r="R90" s="73">
        <v>131</v>
      </c>
      <c r="S90" s="73">
        <v>129.69999999999999</v>
      </c>
      <c r="T90" s="73">
        <v>130.69999999999999</v>
      </c>
      <c r="U90" s="73">
        <v>131</v>
      </c>
      <c r="V90" s="73">
        <v>135.4</v>
      </c>
      <c r="W90" s="73">
        <v>131.1</v>
      </c>
      <c r="X90" s="98">
        <v>131.9</v>
      </c>
      <c r="Y90" s="98">
        <v>131</v>
      </c>
      <c r="Z90" s="98">
        <v>133.80000000000001</v>
      </c>
      <c r="AA90" s="98">
        <v>132</v>
      </c>
      <c r="AB90" s="73">
        <v>132.19999999999999</v>
      </c>
      <c r="AC90" s="73">
        <v>137.4</v>
      </c>
      <c r="AD90" s="73">
        <v>136.6</v>
      </c>
      <c r="AE90" s="73">
        <v>134.1</v>
      </c>
      <c r="AF90" s="73">
        <v>136.4</v>
      </c>
      <c r="AG90" s="99"/>
      <c r="AH90" s="54">
        <f t="shared" si="22"/>
        <v>137.4</v>
      </c>
      <c r="AI90" s="55">
        <f t="shared" si="23"/>
        <v>125.3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65.5</v>
      </c>
      <c r="C91" s="103">
        <v>66.400000000000006</v>
      </c>
      <c r="D91" s="103">
        <v>66.099999999999994</v>
      </c>
      <c r="E91" s="103">
        <v>66.400000000000006</v>
      </c>
      <c r="F91" s="103">
        <v>66</v>
      </c>
      <c r="G91" s="103">
        <v>65.7</v>
      </c>
      <c r="H91" s="103">
        <v>64.8</v>
      </c>
      <c r="I91" s="103">
        <v>64.3</v>
      </c>
      <c r="J91" s="103">
        <v>64.3</v>
      </c>
      <c r="K91" s="103">
        <v>64.3</v>
      </c>
      <c r="L91" s="103"/>
      <c r="M91" s="103"/>
      <c r="N91" s="103">
        <v>64</v>
      </c>
      <c r="O91" s="103">
        <v>62.9</v>
      </c>
      <c r="P91" s="103">
        <v>63.3</v>
      </c>
      <c r="Q91" s="103">
        <v>63</v>
      </c>
      <c r="R91" s="103">
        <v>64.099999999999994</v>
      </c>
      <c r="S91" s="103">
        <v>63.4</v>
      </c>
      <c r="T91" s="103">
        <v>62.9</v>
      </c>
      <c r="U91" s="103">
        <v>63.8</v>
      </c>
      <c r="V91" s="103">
        <v>64</v>
      </c>
      <c r="W91" s="103">
        <v>63.7</v>
      </c>
      <c r="X91" s="103">
        <v>63</v>
      </c>
      <c r="Y91" s="103">
        <v>63.3</v>
      </c>
      <c r="Z91" s="103">
        <v>64.099999999999994</v>
      </c>
      <c r="AA91" s="103">
        <v>64.5</v>
      </c>
      <c r="AB91" s="103">
        <v>64.2</v>
      </c>
      <c r="AC91" s="103">
        <v>63.8</v>
      </c>
      <c r="AD91" s="103">
        <v>63.8</v>
      </c>
      <c r="AE91" s="103">
        <v>65.099999999999994</v>
      </c>
      <c r="AF91" s="103">
        <v>65.5</v>
      </c>
      <c r="AG91" s="104"/>
      <c r="AH91" s="54">
        <f t="shared" si="22"/>
        <v>66.400000000000006</v>
      </c>
      <c r="AI91" s="55">
        <f t="shared" si="23"/>
        <v>62.9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200.33999999999997</v>
      </c>
      <c r="C93" s="110">
        <f>SUM(C15,C18,C21:C22,C42,C44:C45,C47,C49,C94:C97,C102,C108,C114,C123,C125,C137,C144,C147:C148,C155,C157,C159,C163:C165,C167:C169,C174,C180:C181,C183:C185,C193,C198)</f>
        <v>184.33999999999997</v>
      </c>
      <c r="D93" s="110">
        <f t="shared" ref="D93:AF93" si="37">SUM(D15,D18,D21:D22,D42,D44:D45,D47,D49,D94:D97,D102,D108,D114,D123,D125,D137,D144,D147:D148,D155,D157,D159,D163:D165,D167:D169,D174,D180:D181,D183:D185,D193,D198)</f>
        <v>180.63999999999996</v>
      </c>
      <c r="E93" s="110">
        <f t="shared" si="37"/>
        <v>175.43999999999997</v>
      </c>
      <c r="F93" s="110">
        <f t="shared" si="37"/>
        <v>189.93999999999997</v>
      </c>
      <c r="G93" s="109">
        <f t="shared" si="37"/>
        <v>204.93999999999997</v>
      </c>
      <c r="H93" s="109">
        <f t="shared" si="37"/>
        <v>239.64</v>
      </c>
      <c r="I93" s="109">
        <f t="shared" si="37"/>
        <v>287.44</v>
      </c>
      <c r="J93" s="109">
        <f t="shared" si="37"/>
        <v>319.64000000000004</v>
      </c>
      <c r="K93" s="109">
        <f t="shared" si="37"/>
        <v>384.24</v>
      </c>
      <c r="L93" s="109">
        <f t="shared" si="37"/>
        <v>34.840000000000003</v>
      </c>
      <c r="M93" s="109">
        <f t="shared" si="37"/>
        <v>34.840000000000003</v>
      </c>
      <c r="N93" s="109">
        <f t="shared" si="37"/>
        <v>412.64000000000004</v>
      </c>
      <c r="O93" s="109">
        <f t="shared" si="37"/>
        <v>406.54000000000008</v>
      </c>
      <c r="P93" s="109">
        <f t="shared" si="37"/>
        <v>390.84000000000003</v>
      </c>
      <c r="Q93" s="109">
        <f t="shared" si="37"/>
        <v>374.84000000000003</v>
      </c>
      <c r="R93" s="109">
        <f t="shared" si="37"/>
        <v>359.64000000000004</v>
      </c>
      <c r="S93" s="109">
        <f t="shared" si="37"/>
        <v>368.74000000000007</v>
      </c>
      <c r="T93" s="109">
        <f t="shared" si="37"/>
        <v>373.94000000000005</v>
      </c>
      <c r="U93" s="109">
        <f t="shared" si="37"/>
        <v>404.54</v>
      </c>
      <c r="V93" s="109">
        <f t="shared" si="37"/>
        <v>439.14</v>
      </c>
      <c r="W93" s="109">
        <f t="shared" si="37"/>
        <v>473.94000000000005</v>
      </c>
      <c r="X93" s="109">
        <f t="shared" si="37"/>
        <v>509.74</v>
      </c>
      <c r="Y93" s="109">
        <f t="shared" si="37"/>
        <v>505.04000000000008</v>
      </c>
      <c r="Z93" s="109">
        <f t="shared" si="37"/>
        <v>494.44000000000005</v>
      </c>
      <c r="AA93" s="109">
        <f t="shared" si="37"/>
        <v>489.54000000000008</v>
      </c>
      <c r="AB93" s="109">
        <f t="shared" si="37"/>
        <v>458.44000000000005</v>
      </c>
      <c r="AC93" s="109">
        <f t="shared" si="37"/>
        <v>438.64000000000004</v>
      </c>
      <c r="AD93" s="109">
        <f t="shared" si="37"/>
        <v>407.04000000000008</v>
      </c>
      <c r="AE93" s="109">
        <f t="shared" si="37"/>
        <v>327.44000000000005</v>
      </c>
      <c r="AF93" s="109">
        <f t="shared" si="37"/>
        <v>245.73999999999998</v>
      </c>
      <c r="AG93" s="111"/>
      <c r="AH93" s="54">
        <f>MAX(C93:AF93)</f>
        <v>509.74</v>
      </c>
      <c r="AI93" s="55">
        <f>MIN(C93:AF93)</f>
        <v>34.840000000000003</v>
      </c>
    </row>
    <row r="94" spans="1:88" x14ac:dyDescent="0.25">
      <c r="A94" s="112" t="s">
        <v>98</v>
      </c>
      <c r="B94" s="113">
        <v>13.9</v>
      </c>
      <c r="C94" s="58">
        <v>21.4</v>
      </c>
      <c r="D94" s="58">
        <v>13.1</v>
      </c>
      <c r="E94" s="58">
        <v>8</v>
      </c>
      <c r="F94" s="58">
        <v>2</v>
      </c>
      <c r="G94" s="114">
        <v>1</v>
      </c>
      <c r="H94" s="114">
        <v>16</v>
      </c>
      <c r="I94" s="114">
        <v>14</v>
      </c>
      <c r="J94" s="114">
        <v>20.399999999999999</v>
      </c>
      <c r="K94" s="114">
        <v>55</v>
      </c>
      <c r="L94" s="114"/>
      <c r="M94" s="113"/>
      <c r="N94" s="114">
        <v>56.1</v>
      </c>
      <c r="O94" s="114">
        <v>67.3</v>
      </c>
      <c r="P94" s="114">
        <v>64.2</v>
      </c>
      <c r="Q94" s="114">
        <v>39.299999999999997</v>
      </c>
      <c r="R94" s="114">
        <v>20.3</v>
      </c>
      <c r="S94" s="114">
        <v>23.8</v>
      </c>
      <c r="T94" s="114">
        <v>31.7</v>
      </c>
      <c r="U94" s="113">
        <v>28.9</v>
      </c>
      <c r="V94" s="113">
        <v>49.3</v>
      </c>
      <c r="W94" s="113">
        <v>49.7</v>
      </c>
      <c r="X94" s="114">
        <v>45</v>
      </c>
      <c r="Y94" s="114">
        <v>49.2</v>
      </c>
      <c r="Z94" s="114">
        <v>45.2</v>
      </c>
      <c r="AA94" s="114">
        <v>47</v>
      </c>
      <c r="AB94" s="113">
        <v>41.1</v>
      </c>
      <c r="AC94" s="113">
        <v>74.2</v>
      </c>
      <c r="AD94" s="113">
        <v>80</v>
      </c>
      <c r="AE94" s="113">
        <v>56</v>
      </c>
      <c r="AF94" s="113">
        <v>30.9</v>
      </c>
      <c r="AG94" s="115">
        <v>75</v>
      </c>
      <c r="AH94" s="54">
        <f t="shared" ref="AH94:AH99" si="38">IF(ABS(MAX(C94:AF94))&gt;ABS(MIN(C94:AF94)),MAX(C94:AF94),MIN(C94:AF94))</f>
        <v>80</v>
      </c>
      <c r="AI94" s="116">
        <f t="shared" ref="AI94:AI99" si="39">INDEX($C$9:$AF$9,1,MATCH(AH94,C94:AF94,0))</f>
        <v>0.875</v>
      </c>
    </row>
    <row r="95" spans="1:88" x14ac:dyDescent="0.25">
      <c r="A95" s="117" t="s">
        <v>99</v>
      </c>
      <c r="B95" s="73">
        <f>-30.5-36</f>
        <v>-66.5</v>
      </c>
      <c r="C95" s="60">
        <f>-36.4-42.6</f>
        <v>-79</v>
      </c>
      <c r="D95" s="60">
        <f>-38.6-45.6</f>
        <v>-84.2</v>
      </c>
      <c r="E95" s="60">
        <v>-80</v>
      </c>
      <c r="F95" s="60">
        <v>-74</v>
      </c>
      <c r="G95" s="60">
        <v>-70</v>
      </c>
      <c r="H95" s="60">
        <v>-60</v>
      </c>
      <c r="I95" s="60">
        <v>-30</v>
      </c>
      <c r="J95" s="60">
        <v>-11</v>
      </c>
      <c r="K95" s="60">
        <v>16.2</v>
      </c>
      <c r="L95" s="60"/>
      <c r="M95" s="60"/>
      <c r="N95" s="60">
        <v>21.1</v>
      </c>
      <c r="O95" s="60">
        <v>19.399999999999999</v>
      </c>
      <c r="P95" s="60">
        <v>12.5</v>
      </c>
      <c r="Q95" s="60">
        <v>10.199999999999999</v>
      </c>
      <c r="R95" s="60">
        <v>7.7</v>
      </c>
      <c r="S95" s="60">
        <v>8.4</v>
      </c>
      <c r="T95" s="60">
        <v>6.4</v>
      </c>
      <c r="U95" s="60">
        <v>37</v>
      </c>
      <c r="V95" s="60">
        <v>46</v>
      </c>
      <c r="W95" s="60">
        <v>60</v>
      </c>
      <c r="X95" s="60">
        <v>80</v>
      </c>
      <c r="Y95" s="60">
        <f>38+34</f>
        <v>72</v>
      </c>
      <c r="Z95" s="60">
        <v>75</v>
      </c>
      <c r="AA95" s="60">
        <v>66.400000000000006</v>
      </c>
      <c r="AB95" s="73">
        <v>67</v>
      </c>
      <c r="AC95" s="73">
        <v>19.2</v>
      </c>
      <c r="AD95" s="73">
        <v>13.5</v>
      </c>
      <c r="AE95" s="73">
        <v>-17</v>
      </c>
      <c r="AF95" s="73">
        <v>-55</v>
      </c>
      <c r="AG95" s="115">
        <v>240</v>
      </c>
      <c r="AH95" s="54">
        <f t="shared" si="38"/>
        <v>-84.2</v>
      </c>
      <c r="AI95" s="116">
        <f t="shared" si="39"/>
        <v>8.3333333333333301E-2</v>
      </c>
    </row>
    <row r="96" spans="1:88" x14ac:dyDescent="0.25">
      <c r="A96" s="117" t="s">
        <v>100</v>
      </c>
      <c r="B96" s="73">
        <v>13.2</v>
      </c>
      <c r="C96" s="60">
        <v>12.9</v>
      </c>
      <c r="D96" s="60">
        <v>12.9</v>
      </c>
      <c r="E96" s="60">
        <v>13</v>
      </c>
      <c r="F96" s="60">
        <v>12.5</v>
      </c>
      <c r="G96" s="60">
        <v>12.5</v>
      </c>
      <c r="H96" s="60">
        <v>12.2</v>
      </c>
      <c r="I96" s="60">
        <v>12</v>
      </c>
      <c r="J96" s="60">
        <v>12</v>
      </c>
      <c r="K96" s="60">
        <v>21.5</v>
      </c>
      <c r="L96" s="60"/>
      <c r="M96" s="60"/>
      <c r="N96" s="60">
        <v>37.1</v>
      </c>
      <c r="O96" s="60">
        <v>28.2</v>
      </c>
      <c r="P96" s="60">
        <v>29.7</v>
      </c>
      <c r="Q96" s="60">
        <v>22.2</v>
      </c>
      <c r="R96" s="60">
        <v>33</v>
      </c>
      <c r="S96" s="60">
        <v>33.5</v>
      </c>
      <c r="T96" s="60">
        <v>28.8</v>
      </c>
      <c r="U96" s="60">
        <v>38.9</v>
      </c>
      <c r="V96" s="60">
        <v>58.7</v>
      </c>
      <c r="W96" s="60">
        <v>62.3</v>
      </c>
      <c r="X96" s="60">
        <v>65.099999999999994</v>
      </c>
      <c r="Y96" s="60">
        <v>64.099999999999994</v>
      </c>
      <c r="Z96" s="60">
        <v>56</v>
      </c>
      <c r="AA96" s="60">
        <v>64.599999999999994</v>
      </c>
      <c r="AB96" s="73">
        <v>51.1</v>
      </c>
      <c r="AC96" s="73">
        <v>55.3</v>
      </c>
      <c r="AD96" s="73">
        <v>21.8</v>
      </c>
      <c r="AE96" s="73">
        <v>12.2</v>
      </c>
      <c r="AF96" s="73">
        <v>12.4</v>
      </c>
      <c r="AG96" s="115">
        <v>60</v>
      </c>
      <c r="AH96" s="54">
        <f t="shared" si="38"/>
        <v>65.099999999999994</v>
      </c>
      <c r="AI96" s="116">
        <f t="shared" si="39"/>
        <v>0.75</v>
      </c>
    </row>
    <row r="97" spans="1:37" x14ac:dyDescent="0.25">
      <c r="A97" s="118" t="s">
        <v>101</v>
      </c>
      <c r="B97" s="119">
        <v>46.4</v>
      </c>
      <c r="C97" s="63">
        <v>35.700000000000003</v>
      </c>
      <c r="D97" s="63">
        <v>45.4</v>
      </c>
      <c r="E97" s="63">
        <v>41</v>
      </c>
      <c r="F97" s="63">
        <v>56</v>
      </c>
      <c r="G97" s="63">
        <v>68</v>
      </c>
      <c r="H97" s="63">
        <v>78</v>
      </c>
      <c r="I97" s="63">
        <v>98</v>
      </c>
      <c r="J97" s="63">
        <v>104.8</v>
      </c>
      <c r="K97" s="63">
        <v>98.1</v>
      </c>
      <c r="L97" s="63"/>
      <c r="M97" s="63"/>
      <c r="N97" s="63">
        <v>103.5</v>
      </c>
      <c r="O97" s="63">
        <v>96.8</v>
      </c>
      <c r="P97" s="63">
        <v>89.6</v>
      </c>
      <c r="Q97" s="63">
        <v>108.3</v>
      </c>
      <c r="R97" s="63">
        <v>105.4</v>
      </c>
      <c r="S97" s="63">
        <v>108.8</v>
      </c>
      <c r="T97" s="63">
        <v>112.8</v>
      </c>
      <c r="U97" s="63">
        <v>105.5</v>
      </c>
      <c r="V97" s="63">
        <v>90.9</v>
      </c>
      <c r="W97" s="63">
        <v>107</v>
      </c>
      <c r="X97" s="63">
        <v>123.9</v>
      </c>
      <c r="Y97" s="63">
        <v>124</v>
      </c>
      <c r="Z97" s="63">
        <v>122.5</v>
      </c>
      <c r="AA97" s="63">
        <v>114.9</v>
      </c>
      <c r="AB97" s="119">
        <v>102.6</v>
      </c>
      <c r="AC97" s="119">
        <v>93.3</v>
      </c>
      <c r="AD97" s="119">
        <v>95.1</v>
      </c>
      <c r="AE97" s="119">
        <v>79.599999999999994</v>
      </c>
      <c r="AF97" s="119">
        <v>61</v>
      </c>
      <c r="AG97" s="120">
        <v>120</v>
      </c>
      <c r="AH97" s="54">
        <f t="shared" si="38"/>
        <v>124</v>
      </c>
      <c r="AI97" s="116">
        <f t="shared" si="39"/>
        <v>0.77083333333333337</v>
      </c>
    </row>
    <row r="98" spans="1:37" x14ac:dyDescent="0.25">
      <c r="A98" s="118" t="s">
        <v>102</v>
      </c>
      <c r="B98" s="119">
        <v>54</v>
      </c>
      <c r="C98" s="63">
        <v>37.700000000000003</v>
      </c>
      <c r="D98" s="63">
        <v>48.5</v>
      </c>
      <c r="E98" s="63">
        <v>43</v>
      </c>
      <c r="F98" s="63">
        <v>55</v>
      </c>
      <c r="G98" s="63">
        <v>60</v>
      </c>
      <c r="H98" s="63">
        <v>64</v>
      </c>
      <c r="I98" s="63">
        <v>85</v>
      </c>
      <c r="J98" s="63">
        <v>86.8</v>
      </c>
      <c r="K98" s="63">
        <v>95.7</v>
      </c>
      <c r="L98" s="63"/>
      <c r="M98" s="63"/>
      <c r="N98" s="63">
        <v>49.2</v>
      </c>
      <c r="O98" s="63">
        <v>90.3</v>
      </c>
      <c r="P98" s="63">
        <v>77.8</v>
      </c>
      <c r="Q98" s="63">
        <v>97.6</v>
      </c>
      <c r="R98" s="63">
        <v>89.5</v>
      </c>
      <c r="S98" s="63">
        <v>93.2</v>
      </c>
      <c r="T98" s="63">
        <v>93.3</v>
      </c>
      <c r="U98" s="63">
        <v>82.8</v>
      </c>
      <c r="V98" s="63">
        <v>75.2</v>
      </c>
      <c r="W98" s="63">
        <v>85.4</v>
      </c>
      <c r="X98" s="63">
        <v>96.2</v>
      </c>
      <c r="Y98" s="63">
        <v>96.6</v>
      </c>
      <c r="Z98" s="63">
        <v>86.2</v>
      </c>
      <c r="AA98" s="63">
        <v>84</v>
      </c>
      <c r="AB98" s="119">
        <v>101</v>
      </c>
      <c r="AC98" s="119">
        <v>87</v>
      </c>
      <c r="AD98" s="119">
        <v>81.2</v>
      </c>
      <c r="AE98" s="119">
        <v>74.5</v>
      </c>
      <c r="AF98" s="119">
        <v>66.400000000000006</v>
      </c>
      <c r="AG98" s="120"/>
      <c r="AH98" s="54">
        <f t="shared" si="38"/>
        <v>101</v>
      </c>
      <c r="AI98" s="116">
        <f t="shared" si="39"/>
        <v>0.83333333333333337</v>
      </c>
    </row>
    <row r="99" spans="1:37" ht="15.75" thickBot="1" x14ac:dyDescent="0.3">
      <c r="A99" s="118" t="s">
        <v>217</v>
      </c>
      <c r="B99" s="119">
        <v>70.5</v>
      </c>
      <c r="C99" s="63">
        <v>68.7</v>
      </c>
      <c r="D99" s="63">
        <v>70.900000000000006</v>
      </c>
      <c r="E99" s="63">
        <v>52</v>
      </c>
      <c r="F99" s="63">
        <v>61</v>
      </c>
      <c r="G99" s="63">
        <v>59</v>
      </c>
      <c r="H99" s="63">
        <v>58</v>
      </c>
      <c r="I99" s="63">
        <v>62</v>
      </c>
      <c r="J99" s="63">
        <v>60.2</v>
      </c>
      <c r="K99" s="63">
        <v>37.6</v>
      </c>
      <c r="L99" s="63"/>
      <c r="M99" s="63"/>
      <c r="N99" s="63">
        <v>38</v>
      </c>
      <c r="O99" s="63">
        <v>28.6</v>
      </c>
      <c r="P99" s="63">
        <v>32</v>
      </c>
      <c r="Q99" s="63">
        <v>38.5</v>
      </c>
      <c r="R99" s="63">
        <v>75.099999999999994</v>
      </c>
      <c r="S99" s="63">
        <v>71.900000000000006</v>
      </c>
      <c r="T99" s="63">
        <v>38.1</v>
      </c>
      <c r="U99" s="63">
        <v>49.3</v>
      </c>
      <c r="V99" s="63">
        <v>43.4</v>
      </c>
      <c r="W99" s="63">
        <v>48.6</v>
      </c>
      <c r="X99" s="63">
        <v>46.7</v>
      </c>
      <c r="Y99" s="63">
        <v>49</v>
      </c>
      <c r="Z99" s="63">
        <v>55.9</v>
      </c>
      <c r="AA99" s="63">
        <v>56.3</v>
      </c>
      <c r="AB99" s="119">
        <v>62.5</v>
      </c>
      <c r="AC99" s="119">
        <v>20.100000000000001</v>
      </c>
      <c r="AD99" s="119">
        <v>15.5</v>
      </c>
      <c r="AE99" s="119">
        <v>30.8</v>
      </c>
      <c r="AF99" s="119">
        <v>63.4</v>
      </c>
      <c r="AG99" s="121"/>
      <c r="AH99" s="54">
        <f t="shared" si="38"/>
        <v>75.099999999999994</v>
      </c>
      <c r="AI99" s="116">
        <f t="shared" si="39"/>
        <v>0.54166666666666696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40">AF101</f>
        <v>9.9</v>
      </c>
      <c r="C101" s="53">
        <v>9.9</v>
      </c>
      <c r="D101" s="127">
        <f t="shared" ref="D101:S106" si="41">C101</f>
        <v>9.9</v>
      </c>
      <c r="E101" s="127">
        <f t="shared" si="41"/>
        <v>9.9</v>
      </c>
      <c r="F101" s="127">
        <f t="shared" si="41"/>
        <v>9.9</v>
      </c>
      <c r="G101" s="127">
        <f t="shared" si="41"/>
        <v>9.9</v>
      </c>
      <c r="H101" s="127">
        <f t="shared" si="41"/>
        <v>9.9</v>
      </c>
      <c r="I101" s="127">
        <f t="shared" si="41"/>
        <v>9.9</v>
      </c>
      <c r="J101" s="127">
        <f t="shared" si="41"/>
        <v>9.9</v>
      </c>
      <c r="K101" s="127">
        <f t="shared" si="41"/>
        <v>9.9</v>
      </c>
      <c r="L101" s="127">
        <f t="shared" si="41"/>
        <v>9.9</v>
      </c>
      <c r="M101" s="127">
        <f t="shared" si="41"/>
        <v>9.9</v>
      </c>
      <c r="N101" s="127">
        <f t="shared" si="41"/>
        <v>9.9</v>
      </c>
      <c r="O101" s="127">
        <f t="shared" si="41"/>
        <v>9.9</v>
      </c>
      <c r="P101" s="127">
        <f t="shared" si="41"/>
        <v>9.9</v>
      </c>
      <c r="Q101" s="127">
        <f t="shared" si="41"/>
        <v>9.9</v>
      </c>
      <c r="R101" s="127">
        <f t="shared" si="41"/>
        <v>9.9</v>
      </c>
      <c r="S101" s="127">
        <f t="shared" si="41"/>
        <v>9.9</v>
      </c>
      <c r="T101" s="127">
        <f t="shared" ref="T101:AF106" si="42">S101</f>
        <v>9.9</v>
      </c>
      <c r="U101" s="127">
        <f t="shared" si="42"/>
        <v>9.9</v>
      </c>
      <c r="V101" s="127">
        <f t="shared" si="42"/>
        <v>9.9</v>
      </c>
      <c r="W101" s="127">
        <f t="shared" si="42"/>
        <v>9.9</v>
      </c>
      <c r="X101" s="127">
        <f t="shared" si="42"/>
        <v>9.9</v>
      </c>
      <c r="Y101" s="127">
        <f t="shared" si="42"/>
        <v>9.9</v>
      </c>
      <c r="Z101" s="127">
        <f t="shared" si="42"/>
        <v>9.9</v>
      </c>
      <c r="AA101" s="127">
        <f t="shared" si="42"/>
        <v>9.9</v>
      </c>
      <c r="AB101" s="127">
        <f t="shared" si="42"/>
        <v>9.9</v>
      </c>
      <c r="AC101" s="127">
        <f t="shared" si="42"/>
        <v>9.9</v>
      </c>
      <c r="AD101" s="127">
        <f t="shared" si="42"/>
        <v>9.9</v>
      </c>
      <c r="AE101" s="127">
        <f t="shared" si="42"/>
        <v>9.9</v>
      </c>
      <c r="AF101" s="127">
        <f t="shared" si="42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40"/>
        <v>9.6</v>
      </c>
      <c r="C102" s="130">
        <v>9.6</v>
      </c>
      <c r="D102" s="129">
        <f t="shared" si="41"/>
        <v>9.6</v>
      </c>
      <c r="E102" s="129">
        <f t="shared" si="41"/>
        <v>9.6</v>
      </c>
      <c r="F102" s="129">
        <f t="shared" si="41"/>
        <v>9.6</v>
      </c>
      <c r="G102" s="129">
        <f t="shared" si="41"/>
        <v>9.6</v>
      </c>
      <c r="H102" s="129">
        <f t="shared" si="41"/>
        <v>9.6</v>
      </c>
      <c r="I102" s="129">
        <f t="shared" si="41"/>
        <v>9.6</v>
      </c>
      <c r="J102" s="129">
        <f t="shared" si="41"/>
        <v>9.6</v>
      </c>
      <c r="K102" s="129">
        <f t="shared" si="41"/>
        <v>9.6</v>
      </c>
      <c r="L102" s="129">
        <f t="shared" si="41"/>
        <v>9.6</v>
      </c>
      <c r="M102" s="129">
        <f t="shared" si="41"/>
        <v>9.6</v>
      </c>
      <c r="N102" s="129">
        <f t="shared" si="41"/>
        <v>9.6</v>
      </c>
      <c r="O102" s="129">
        <f t="shared" si="41"/>
        <v>9.6</v>
      </c>
      <c r="P102" s="129">
        <f t="shared" si="41"/>
        <v>9.6</v>
      </c>
      <c r="Q102" s="129">
        <f t="shared" si="41"/>
        <v>9.6</v>
      </c>
      <c r="R102" s="129">
        <f t="shared" si="41"/>
        <v>9.6</v>
      </c>
      <c r="S102" s="129">
        <f t="shared" si="41"/>
        <v>9.6</v>
      </c>
      <c r="T102" s="129">
        <f t="shared" si="42"/>
        <v>9.6</v>
      </c>
      <c r="U102" s="129">
        <f t="shared" si="42"/>
        <v>9.6</v>
      </c>
      <c r="V102" s="129">
        <f t="shared" si="42"/>
        <v>9.6</v>
      </c>
      <c r="W102" s="129">
        <f t="shared" si="42"/>
        <v>9.6</v>
      </c>
      <c r="X102" s="129">
        <f t="shared" si="42"/>
        <v>9.6</v>
      </c>
      <c r="Y102" s="129">
        <f t="shared" si="42"/>
        <v>9.6</v>
      </c>
      <c r="Z102" s="129">
        <f t="shared" si="42"/>
        <v>9.6</v>
      </c>
      <c r="AA102" s="129">
        <f t="shared" si="42"/>
        <v>9.6</v>
      </c>
      <c r="AB102" s="129">
        <f t="shared" si="42"/>
        <v>9.6</v>
      </c>
      <c r="AC102" s="129">
        <f t="shared" si="42"/>
        <v>9.6</v>
      </c>
      <c r="AD102" s="129">
        <f t="shared" si="42"/>
        <v>9.6</v>
      </c>
      <c r="AE102" s="129">
        <f t="shared" si="42"/>
        <v>9.6</v>
      </c>
      <c r="AF102" s="129">
        <f t="shared" si="42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0"/>
        <v>9.98</v>
      </c>
      <c r="C103" s="130">
        <v>9.98</v>
      </c>
      <c r="D103" s="129">
        <f t="shared" si="41"/>
        <v>9.98</v>
      </c>
      <c r="E103" s="129">
        <f t="shared" si="41"/>
        <v>9.98</v>
      </c>
      <c r="F103" s="129">
        <f t="shared" si="41"/>
        <v>9.98</v>
      </c>
      <c r="G103" s="129">
        <f t="shared" si="41"/>
        <v>9.98</v>
      </c>
      <c r="H103" s="129">
        <f t="shared" si="41"/>
        <v>9.98</v>
      </c>
      <c r="I103" s="129">
        <f t="shared" si="41"/>
        <v>9.98</v>
      </c>
      <c r="J103" s="129">
        <f t="shared" si="41"/>
        <v>9.98</v>
      </c>
      <c r="K103" s="129">
        <f t="shared" si="41"/>
        <v>9.98</v>
      </c>
      <c r="L103" s="129">
        <f t="shared" si="41"/>
        <v>9.98</v>
      </c>
      <c r="M103" s="129">
        <f t="shared" si="41"/>
        <v>9.98</v>
      </c>
      <c r="N103" s="129">
        <f t="shared" si="41"/>
        <v>9.98</v>
      </c>
      <c r="O103" s="129">
        <f t="shared" si="41"/>
        <v>9.98</v>
      </c>
      <c r="P103" s="129">
        <f t="shared" si="41"/>
        <v>9.98</v>
      </c>
      <c r="Q103" s="129">
        <f t="shared" si="41"/>
        <v>9.98</v>
      </c>
      <c r="R103" s="129">
        <f t="shared" si="41"/>
        <v>9.98</v>
      </c>
      <c r="S103" s="129">
        <f t="shared" si="41"/>
        <v>9.98</v>
      </c>
      <c r="T103" s="129">
        <f t="shared" si="42"/>
        <v>9.98</v>
      </c>
      <c r="U103" s="129">
        <f t="shared" si="42"/>
        <v>9.98</v>
      </c>
      <c r="V103" s="129">
        <f t="shared" si="42"/>
        <v>9.98</v>
      </c>
      <c r="W103" s="129">
        <f t="shared" si="42"/>
        <v>9.98</v>
      </c>
      <c r="X103" s="129">
        <f t="shared" si="42"/>
        <v>9.98</v>
      </c>
      <c r="Y103" s="129">
        <f t="shared" si="42"/>
        <v>9.98</v>
      </c>
      <c r="Z103" s="129">
        <f t="shared" si="42"/>
        <v>9.98</v>
      </c>
      <c r="AA103" s="129">
        <f t="shared" si="42"/>
        <v>9.98</v>
      </c>
      <c r="AB103" s="129">
        <f t="shared" si="42"/>
        <v>9.98</v>
      </c>
      <c r="AC103" s="129">
        <f t="shared" si="42"/>
        <v>9.98</v>
      </c>
      <c r="AD103" s="129">
        <f t="shared" si="42"/>
        <v>9.98</v>
      </c>
      <c r="AE103" s="129">
        <f t="shared" si="42"/>
        <v>9.98</v>
      </c>
      <c r="AF103" s="129">
        <f t="shared" si="42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0"/>
        <v>9.1</v>
      </c>
      <c r="C104" s="130">
        <v>9.1</v>
      </c>
      <c r="D104" s="129">
        <f t="shared" si="41"/>
        <v>9.1</v>
      </c>
      <c r="E104" s="129">
        <f t="shared" si="41"/>
        <v>9.1</v>
      </c>
      <c r="F104" s="129">
        <f t="shared" si="41"/>
        <v>9.1</v>
      </c>
      <c r="G104" s="129">
        <f t="shared" si="41"/>
        <v>9.1</v>
      </c>
      <c r="H104" s="129">
        <f t="shared" si="41"/>
        <v>9.1</v>
      </c>
      <c r="I104" s="129">
        <f t="shared" si="41"/>
        <v>9.1</v>
      </c>
      <c r="J104" s="129">
        <f t="shared" si="41"/>
        <v>9.1</v>
      </c>
      <c r="K104" s="129">
        <f t="shared" si="41"/>
        <v>9.1</v>
      </c>
      <c r="L104" s="129">
        <f t="shared" si="41"/>
        <v>9.1</v>
      </c>
      <c r="M104" s="129">
        <f t="shared" si="41"/>
        <v>9.1</v>
      </c>
      <c r="N104" s="129">
        <f t="shared" si="41"/>
        <v>9.1</v>
      </c>
      <c r="O104" s="129">
        <f t="shared" si="41"/>
        <v>9.1</v>
      </c>
      <c r="P104" s="129">
        <f t="shared" si="41"/>
        <v>9.1</v>
      </c>
      <c r="Q104" s="129">
        <f t="shared" si="41"/>
        <v>9.1</v>
      </c>
      <c r="R104" s="129">
        <f t="shared" si="41"/>
        <v>9.1</v>
      </c>
      <c r="S104" s="129">
        <f t="shared" si="41"/>
        <v>9.1</v>
      </c>
      <c r="T104" s="129">
        <f t="shared" si="42"/>
        <v>9.1</v>
      </c>
      <c r="U104" s="129">
        <f t="shared" si="42"/>
        <v>9.1</v>
      </c>
      <c r="V104" s="129">
        <f t="shared" si="42"/>
        <v>9.1</v>
      </c>
      <c r="W104" s="129">
        <f t="shared" si="42"/>
        <v>9.1</v>
      </c>
      <c r="X104" s="129">
        <f t="shared" si="42"/>
        <v>9.1</v>
      </c>
      <c r="Y104" s="129">
        <f t="shared" si="42"/>
        <v>9.1</v>
      </c>
      <c r="Z104" s="129">
        <f t="shared" si="42"/>
        <v>9.1</v>
      </c>
      <c r="AA104" s="129">
        <f t="shared" si="42"/>
        <v>9.1</v>
      </c>
      <c r="AB104" s="129">
        <f t="shared" si="42"/>
        <v>9.1</v>
      </c>
      <c r="AC104" s="129">
        <f t="shared" si="42"/>
        <v>9.1</v>
      </c>
      <c r="AD104" s="129">
        <f t="shared" si="42"/>
        <v>9.1</v>
      </c>
      <c r="AE104" s="129">
        <f t="shared" si="42"/>
        <v>9.1</v>
      </c>
      <c r="AF104" s="129">
        <f t="shared" si="42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0"/>
        <v>9.18</v>
      </c>
      <c r="C105" s="130">
        <v>9.18</v>
      </c>
      <c r="D105" s="129">
        <f t="shared" si="41"/>
        <v>9.18</v>
      </c>
      <c r="E105" s="129">
        <f t="shared" si="41"/>
        <v>9.18</v>
      </c>
      <c r="F105" s="129">
        <f t="shared" si="41"/>
        <v>9.18</v>
      </c>
      <c r="G105" s="129">
        <f t="shared" si="41"/>
        <v>9.18</v>
      </c>
      <c r="H105" s="129">
        <f t="shared" si="41"/>
        <v>9.18</v>
      </c>
      <c r="I105" s="129">
        <f t="shared" si="41"/>
        <v>9.18</v>
      </c>
      <c r="J105" s="129">
        <f t="shared" si="41"/>
        <v>9.18</v>
      </c>
      <c r="K105" s="129">
        <f t="shared" si="41"/>
        <v>9.18</v>
      </c>
      <c r="L105" s="129">
        <f t="shared" si="41"/>
        <v>9.18</v>
      </c>
      <c r="M105" s="129">
        <f t="shared" si="41"/>
        <v>9.18</v>
      </c>
      <c r="N105" s="129">
        <f t="shared" si="41"/>
        <v>9.18</v>
      </c>
      <c r="O105" s="129">
        <f t="shared" si="41"/>
        <v>9.18</v>
      </c>
      <c r="P105" s="129">
        <f t="shared" si="41"/>
        <v>9.18</v>
      </c>
      <c r="Q105" s="129">
        <f t="shared" si="41"/>
        <v>9.18</v>
      </c>
      <c r="R105" s="129">
        <f t="shared" si="41"/>
        <v>9.18</v>
      </c>
      <c r="S105" s="129">
        <f t="shared" si="41"/>
        <v>9.18</v>
      </c>
      <c r="T105" s="129">
        <f t="shared" si="42"/>
        <v>9.18</v>
      </c>
      <c r="U105" s="129">
        <f t="shared" si="42"/>
        <v>9.18</v>
      </c>
      <c r="V105" s="129">
        <f t="shared" si="42"/>
        <v>9.18</v>
      </c>
      <c r="W105" s="129">
        <f t="shared" si="42"/>
        <v>9.18</v>
      </c>
      <c r="X105" s="129">
        <f t="shared" si="42"/>
        <v>9.18</v>
      </c>
      <c r="Y105" s="129">
        <f t="shared" si="42"/>
        <v>9.18</v>
      </c>
      <c r="Z105" s="129">
        <f t="shared" si="42"/>
        <v>9.18</v>
      </c>
      <c r="AA105" s="129">
        <f t="shared" si="42"/>
        <v>9.18</v>
      </c>
      <c r="AB105" s="129">
        <f t="shared" si="42"/>
        <v>9.18</v>
      </c>
      <c r="AC105" s="129">
        <f t="shared" si="42"/>
        <v>9.18</v>
      </c>
      <c r="AD105" s="129">
        <f t="shared" si="42"/>
        <v>9.18</v>
      </c>
      <c r="AE105" s="129">
        <f t="shared" si="42"/>
        <v>9.18</v>
      </c>
      <c r="AF105" s="129">
        <f t="shared" si="42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0"/>
        <v>7</v>
      </c>
      <c r="C106" s="130">
        <v>7</v>
      </c>
      <c r="D106" s="129">
        <f t="shared" si="41"/>
        <v>7</v>
      </c>
      <c r="E106" s="129">
        <f t="shared" si="41"/>
        <v>7</v>
      </c>
      <c r="F106" s="129">
        <f t="shared" si="41"/>
        <v>7</v>
      </c>
      <c r="G106" s="129">
        <f t="shared" si="41"/>
        <v>7</v>
      </c>
      <c r="H106" s="129">
        <f t="shared" si="41"/>
        <v>7</v>
      </c>
      <c r="I106" s="129">
        <f t="shared" si="41"/>
        <v>7</v>
      </c>
      <c r="J106" s="129">
        <f t="shared" si="41"/>
        <v>7</v>
      </c>
      <c r="K106" s="129">
        <f t="shared" si="41"/>
        <v>7</v>
      </c>
      <c r="L106" s="129">
        <f t="shared" si="41"/>
        <v>7</v>
      </c>
      <c r="M106" s="129">
        <f t="shared" si="41"/>
        <v>7</v>
      </c>
      <c r="N106" s="129">
        <f t="shared" si="41"/>
        <v>7</v>
      </c>
      <c r="O106" s="129">
        <f t="shared" si="41"/>
        <v>7</v>
      </c>
      <c r="P106" s="129">
        <f t="shared" si="41"/>
        <v>7</v>
      </c>
      <c r="Q106" s="129">
        <f t="shared" si="41"/>
        <v>7</v>
      </c>
      <c r="R106" s="129">
        <f t="shared" si="41"/>
        <v>7</v>
      </c>
      <c r="S106" s="129">
        <f t="shared" si="41"/>
        <v>7</v>
      </c>
      <c r="T106" s="129">
        <f t="shared" si="42"/>
        <v>7</v>
      </c>
      <c r="U106" s="129">
        <f t="shared" si="42"/>
        <v>7</v>
      </c>
      <c r="V106" s="129">
        <f t="shared" si="42"/>
        <v>7</v>
      </c>
      <c r="W106" s="129">
        <f t="shared" si="42"/>
        <v>7</v>
      </c>
      <c r="X106" s="129">
        <f t="shared" si="42"/>
        <v>7</v>
      </c>
      <c r="Y106" s="129">
        <f t="shared" si="42"/>
        <v>7</v>
      </c>
      <c r="Z106" s="129">
        <f t="shared" si="42"/>
        <v>7</v>
      </c>
      <c r="AA106" s="129">
        <f t="shared" si="42"/>
        <v>7</v>
      </c>
      <c r="AB106" s="129">
        <f t="shared" si="42"/>
        <v>7</v>
      </c>
      <c r="AC106" s="129">
        <f t="shared" si="42"/>
        <v>7</v>
      </c>
      <c r="AD106" s="129">
        <f t="shared" si="42"/>
        <v>7</v>
      </c>
      <c r="AE106" s="129">
        <f t="shared" si="42"/>
        <v>7</v>
      </c>
      <c r="AF106" s="129">
        <f t="shared" si="42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1394.94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2078/08/12)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2078/08/12)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904.24</v>
      </c>
      <c r="U213" s="167">
        <f t="shared" si="76"/>
        <v>884.43999999999994</v>
      </c>
      <c r="V213" s="167">
        <f t="shared" si="76"/>
        <v>893.04</v>
      </c>
      <c r="W213" s="167">
        <f t="shared" si="76"/>
        <v>863.04</v>
      </c>
      <c r="X213" s="167">
        <f t="shared" si="76"/>
        <v>874.04</v>
      </c>
      <c r="Y213" s="167">
        <f t="shared" si="76"/>
        <v>936.64</v>
      </c>
      <c r="Z213" s="167">
        <f t="shared" si="76"/>
        <v>967.04</v>
      </c>
      <c r="AA213" s="167">
        <f t="shared" si="76"/>
        <v>1137.6400000000001</v>
      </c>
      <c r="AB213" s="167">
        <f t="shared" si="76"/>
        <v>1166.6400000000001</v>
      </c>
      <c r="AC213" s="167">
        <f t="shared" si="76"/>
        <v>1385.34</v>
      </c>
      <c r="AD213" s="167">
        <f t="shared" si="76"/>
        <v>3.54</v>
      </c>
      <c r="AE213" s="167">
        <f t="shared" si="76"/>
        <v>3.54</v>
      </c>
      <c r="AF213" s="167">
        <f t="shared" si="76"/>
        <v>1394.94</v>
      </c>
      <c r="AG213" s="167">
        <f t="shared" si="76"/>
        <v>1346.64</v>
      </c>
      <c r="AH213" s="167">
        <f t="shared" si="76"/>
        <v>1350.44</v>
      </c>
      <c r="AI213" s="167">
        <f t="shared" si="76"/>
        <v>1277.94</v>
      </c>
      <c r="AJ213" s="167">
        <f t="shared" si="76"/>
        <v>1207.24</v>
      </c>
      <c r="AK213" s="167">
        <f t="shared" si="76"/>
        <v>1295.3399999999999</v>
      </c>
      <c r="AL213" s="167">
        <f t="shared" si="76"/>
        <v>1295.1400000000001</v>
      </c>
      <c r="AM213" s="167">
        <f t="shared" si="76"/>
        <v>1334.14</v>
      </c>
      <c r="AN213" s="167">
        <f t="shared" si="76"/>
        <v>1437.44</v>
      </c>
      <c r="AO213" s="167">
        <f t="shared" si="76"/>
        <v>1549.94</v>
      </c>
      <c r="AP213" s="167">
        <f t="shared" si="76"/>
        <v>1667.44</v>
      </c>
      <c r="AQ213" s="167">
        <f t="shared" si="76"/>
        <v>1585.74</v>
      </c>
      <c r="AR213" s="167">
        <f t="shared" si="76"/>
        <v>1543.54</v>
      </c>
      <c r="AS213" s="167">
        <f t="shared" si="76"/>
        <v>1503.74</v>
      </c>
      <c r="AT213" s="167">
        <f t="shared" si="76"/>
        <v>1420.74</v>
      </c>
      <c r="AU213" s="167">
        <f t="shared" si="76"/>
        <v>1377.64</v>
      </c>
      <c r="AV213" s="167">
        <f t="shared" si="76"/>
        <v>1307.44</v>
      </c>
      <c r="AW213" s="167">
        <f t="shared" si="76"/>
        <v>1127.94</v>
      </c>
      <c r="AX213" s="167">
        <f t="shared" si="76"/>
        <v>1008.14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N62:N67 C63:C67 C57:D60 P39:R39 C61 O61:O67 P40:Q42 R42 P60:P67 M58:P59 X85:AA91 AB81:AF81 C81:R81 C56:AF56 C82:AF83 D193:AF199 B193:B199 AB84:AF91 C68:AF80 B9:AF10 B191:AF191 AG73 AB94:AF99 U212:AF212 M61:N61 D61:D67 M60:O60 E57:L67 M16:P32 M36:P37 M39:P42 N45:R48 R60:R67 Q16:R16 M12:R14 R40:T41 R58:W59 M11:AB11 U40:Z42 Z40:AE43 AA12:AB12 AC11:AE12 AF12 S36:AF36 S18:AF30 M53:AF55">
    <cfRule type="expression" dxfId="6123" priority="311">
      <formula>B$9&gt;=20/24</formula>
    </cfRule>
    <cfRule type="expression" dxfId="6122" priority="312">
      <formula>AND(B$9&gt;=14/24,B$9&lt;20/24)</formula>
    </cfRule>
    <cfRule type="expression" dxfId="6121" priority="313">
      <formula>AND(B$9&gt;=8/24,B$9&lt;14/24)</formula>
    </cfRule>
    <cfRule type="expression" dxfId="6120" priority="314">
      <formula>B$9&lt;8/24</formula>
    </cfRule>
  </conditionalFormatting>
  <conditionalFormatting sqref="AL4:AL6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M57:P57 R57">
    <cfRule type="expression" dxfId="6119" priority="306">
      <formula>M$9&gt;=20/24</formula>
    </cfRule>
    <cfRule type="expression" dxfId="6118" priority="307">
      <formula>AND(M$9&gt;=14/24,M$9&lt;20/24)</formula>
    </cfRule>
    <cfRule type="expression" dxfId="6117" priority="308">
      <formula>AND(M$9&gt;=8/24,M$9&lt;14/24)</formula>
    </cfRule>
    <cfRule type="expression" dxfId="6116" priority="309">
      <formula>M$9&lt;8/24</formula>
    </cfRule>
  </conditionalFormatting>
  <conditionalFormatting sqref="M43:R43">
    <cfRule type="expression" dxfId="6115" priority="302">
      <formula>M$9&gt;=20/24</formula>
    </cfRule>
    <cfRule type="expression" dxfId="6114" priority="303">
      <formula>AND(M$9&gt;=14/24,M$9&lt;20/24)</formula>
    </cfRule>
    <cfRule type="expression" dxfId="6113" priority="304">
      <formula>AND(M$9&gt;=8/24,M$9&lt;14/24)</formula>
    </cfRule>
    <cfRule type="expression" dxfId="6112" priority="305">
      <formula>M$9&lt;8/24</formula>
    </cfRule>
  </conditionalFormatting>
  <conditionalFormatting sqref="S39:AE39">
    <cfRule type="expression" dxfId="6111" priority="294">
      <formula>S$9&gt;=20/24</formula>
    </cfRule>
    <cfRule type="expression" dxfId="6110" priority="295">
      <formula>AND(S$9&gt;=14/24,S$9&lt;20/24)</formula>
    </cfRule>
    <cfRule type="expression" dxfId="6109" priority="296">
      <formula>AND(S$9&gt;=8/24,S$9&lt;14/24)</formula>
    </cfRule>
    <cfRule type="expression" dxfId="6108" priority="297">
      <formula>S$9&lt;8/24</formula>
    </cfRule>
  </conditionalFormatting>
  <conditionalFormatting sqref="S57:AF57">
    <cfRule type="expression" dxfId="6107" priority="290">
      <formula>S$9&gt;=20/24</formula>
    </cfRule>
    <cfRule type="expression" dxfId="6106" priority="291">
      <formula>AND(S$9&gt;=14/24,S$9&lt;20/24)</formula>
    </cfRule>
    <cfRule type="expression" dxfId="6105" priority="292">
      <formula>AND(S$9&gt;=8/24,S$9&lt;14/24)</formula>
    </cfRule>
    <cfRule type="expression" dxfId="6104" priority="293">
      <formula>S$9&lt;8/24</formula>
    </cfRule>
  </conditionalFormatting>
  <conditionalFormatting sqref="S81:AA81">
    <cfRule type="expression" dxfId="6103" priority="286">
      <formula>S$9&gt;=20/24</formula>
    </cfRule>
    <cfRule type="expression" dxfId="6102" priority="287">
      <formula>AND(S$9&gt;=14/24,S$9&lt;20/24)</formula>
    </cfRule>
    <cfRule type="expression" dxfId="6101" priority="288">
      <formula>AND(S$9&gt;=8/24,S$9&lt;14/24)</formula>
    </cfRule>
    <cfRule type="expression" dxfId="6100" priority="289">
      <formula>S$9&lt;8/24</formula>
    </cfRule>
  </conditionalFormatting>
  <conditionalFormatting sqref="U84:AA84">
    <cfRule type="expression" dxfId="6099" priority="282">
      <formula>U$9&gt;=20/24</formula>
    </cfRule>
    <cfRule type="expression" dxfId="6098" priority="283">
      <formula>AND(U$9&gt;=14/24,U$9&lt;20/24)</formula>
    </cfRule>
    <cfRule type="expression" dxfId="6097" priority="284">
      <formula>AND(U$9&gt;=8/24,U$9&lt;14/24)</formula>
    </cfRule>
    <cfRule type="expression" dxfId="6096" priority="285">
      <formula>U$9&lt;8/24</formula>
    </cfRule>
  </conditionalFormatting>
  <conditionalFormatting sqref="M35:P35">
    <cfRule type="expression" dxfId="6095" priority="278">
      <formula>M$9&gt;=20/24</formula>
    </cfRule>
    <cfRule type="expression" dxfId="6094" priority="279">
      <formula>AND(M$9&gt;=14/24,M$9&lt;20/24)</formula>
    </cfRule>
    <cfRule type="expression" dxfId="6093" priority="280">
      <formula>AND(M$9&gt;=8/24,M$9&lt;14/24)</formula>
    </cfRule>
    <cfRule type="expression" dxfId="6092" priority="281">
      <formula>M$9&lt;8/24</formula>
    </cfRule>
  </conditionalFormatting>
  <conditionalFormatting sqref="M49:W49">
    <cfRule type="expression" dxfId="6091" priority="274">
      <formula>M$9&gt;=20/24</formula>
    </cfRule>
    <cfRule type="expression" dxfId="6090" priority="275">
      <formula>AND(M$9&gt;=14/24,M$9&lt;20/24)</formula>
    </cfRule>
    <cfRule type="expression" dxfId="6089" priority="276">
      <formula>AND(M$9&gt;=8/24,M$9&lt;14/24)</formula>
    </cfRule>
    <cfRule type="expression" dxfId="6088" priority="277">
      <formula>M$9&lt;8/24</formula>
    </cfRule>
  </conditionalFormatting>
  <conditionalFormatting sqref="M50:R50">
    <cfRule type="expression" dxfId="6087" priority="270">
      <formula>M$9&gt;=20/24</formula>
    </cfRule>
    <cfRule type="expression" dxfId="6086" priority="271">
      <formula>AND(M$9&gt;=14/24,M$9&lt;20/24)</formula>
    </cfRule>
    <cfRule type="expression" dxfId="6085" priority="272">
      <formula>AND(M$9&gt;=8/24,M$9&lt;14/24)</formula>
    </cfRule>
    <cfRule type="expression" dxfId="6084" priority="273">
      <formula>M$9&lt;8/24</formula>
    </cfRule>
  </conditionalFormatting>
  <conditionalFormatting sqref="M45:R48">
    <cfRule type="expression" dxfId="6083" priority="266">
      <formula>M$9&gt;=20/24</formula>
    </cfRule>
    <cfRule type="expression" dxfId="6082" priority="267">
      <formula>AND(M$9&gt;=14/24,M$9&lt;20/24)</formula>
    </cfRule>
    <cfRule type="expression" dxfId="6081" priority="268">
      <formula>AND(M$9&gt;=8/24,M$9&lt;14/24)</formula>
    </cfRule>
    <cfRule type="expression" dxfId="6080" priority="269">
      <formula>M$9&lt;8/24</formula>
    </cfRule>
  </conditionalFormatting>
  <conditionalFormatting sqref="S37:AE37">
    <cfRule type="expression" dxfId="6079" priority="262">
      <formula>S$9&gt;=20/24</formula>
    </cfRule>
    <cfRule type="expression" dxfId="6078" priority="263">
      <formula>AND(S$9&gt;=14/24,S$9&lt;20/24)</formula>
    </cfRule>
    <cfRule type="expression" dxfId="6077" priority="264">
      <formula>AND(S$9&gt;=8/24,S$9&lt;14/24)</formula>
    </cfRule>
    <cfRule type="expression" dxfId="6076" priority="265">
      <formula>S$9&lt;8/24</formula>
    </cfRule>
  </conditionalFormatting>
  <conditionalFormatting sqref="S31:AF32 S35:AF35">
    <cfRule type="expression" dxfId="6075" priority="258">
      <formula>S$9&gt;=20/24</formula>
    </cfRule>
    <cfRule type="expression" dxfId="6074" priority="259">
      <formula>AND(S$9&gt;=14/24,S$9&lt;20/24)</formula>
    </cfRule>
    <cfRule type="expression" dxfId="6073" priority="260">
      <formula>AND(S$9&gt;=8/24,S$9&lt;14/24)</formula>
    </cfRule>
    <cfRule type="expression" dxfId="6072" priority="261">
      <formula>S$9&lt;8/24</formula>
    </cfRule>
  </conditionalFormatting>
  <conditionalFormatting sqref="S42:U43 U43:AA43 S45:AF48">
    <cfRule type="expression" dxfId="6071" priority="254">
      <formula>S$9&gt;=20/24</formula>
    </cfRule>
    <cfRule type="expression" dxfId="6070" priority="255">
      <formula>AND(S$9&gt;=14/24,S$9&lt;20/24)</formula>
    </cfRule>
    <cfRule type="expression" dxfId="6069" priority="256">
      <formula>AND(S$9&gt;=8/24,S$9&lt;14/24)</formula>
    </cfRule>
    <cfRule type="expression" dxfId="6068" priority="257">
      <formula>S$9&lt;8/24</formula>
    </cfRule>
  </conditionalFormatting>
  <conditionalFormatting sqref="S49:AF49">
    <cfRule type="expression" dxfId="6067" priority="250">
      <formula>S$9&gt;=20/24</formula>
    </cfRule>
    <cfRule type="expression" dxfId="6066" priority="251">
      <formula>AND(S$9&gt;=14/24,S$9&lt;20/24)</formula>
    </cfRule>
    <cfRule type="expression" dxfId="6065" priority="252">
      <formula>AND(S$9&gt;=8/24,S$9&lt;14/24)</formula>
    </cfRule>
    <cfRule type="expression" dxfId="6064" priority="253">
      <formula>S$9&lt;8/24</formula>
    </cfRule>
  </conditionalFormatting>
  <conditionalFormatting sqref="S50:AF50">
    <cfRule type="expression" dxfId="6063" priority="246">
      <formula>S$9&gt;=20/24</formula>
    </cfRule>
    <cfRule type="expression" dxfId="6062" priority="247">
      <formula>AND(S$9&gt;=14/24,S$9&lt;20/24)</formula>
    </cfRule>
    <cfRule type="expression" dxfId="6061" priority="248">
      <formula>AND(S$9&gt;=8/24,S$9&lt;14/24)</formula>
    </cfRule>
    <cfRule type="expression" dxfId="6060" priority="249">
      <formula>S$9&lt;8/24</formula>
    </cfRule>
  </conditionalFormatting>
  <conditionalFormatting sqref="S60:V67 W62:W67 X60:AF67">
    <cfRule type="expression" dxfId="6059" priority="242">
      <formula>S$9&gt;=20/24</formula>
    </cfRule>
    <cfRule type="expression" dxfId="6058" priority="243">
      <formula>AND(S$9&gt;=14/24,S$9&lt;20/24)</formula>
    </cfRule>
    <cfRule type="expression" dxfId="6057" priority="244">
      <formula>AND(S$9&gt;=8/24,S$9&lt;14/24)</formula>
    </cfRule>
    <cfRule type="expression" dxfId="6056" priority="245">
      <formula>S$9&lt;8/24</formula>
    </cfRule>
  </conditionalFormatting>
  <conditionalFormatting sqref="C62">
    <cfRule type="expression" dxfId="6055" priority="238">
      <formula>C$9&gt;=20/24</formula>
    </cfRule>
    <cfRule type="expression" dxfId="6054" priority="239">
      <formula>AND(C$9&gt;=14/24,C$9&lt;20/24)</formula>
    </cfRule>
    <cfRule type="expression" dxfId="6053" priority="240">
      <formula>AND(C$9&gt;=8/24,C$9&lt;14/24)</formula>
    </cfRule>
    <cfRule type="expression" dxfId="6052" priority="241">
      <formula>C$9&lt;8/24</formula>
    </cfRule>
  </conditionalFormatting>
  <conditionalFormatting sqref="U94:AA97">
    <cfRule type="expression" dxfId="6051" priority="234">
      <formula>U$9&gt;=20/24</formula>
    </cfRule>
    <cfRule type="expression" dxfId="6050" priority="235">
      <formula>AND(U$9&gt;=14/24,U$9&lt;20/24)</formula>
    </cfRule>
    <cfRule type="expression" dxfId="6049" priority="236">
      <formula>AND(U$9&gt;=8/24,U$9&lt;14/24)</formula>
    </cfRule>
    <cfRule type="expression" dxfId="6048" priority="237">
      <formula>U$9&lt;8/24</formula>
    </cfRule>
  </conditionalFormatting>
  <conditionalFormatting sqref="AG51 C38:AF38 M16:P32 M34:P37 Q16:R16 M12:R14 E11:AB11 AA12:AB12 AC11:AF12 S18:AF32 S34:AF37 D39:AF50 C51:AF56">
    <cfRule type="expression" dxfId="6047" priority="233">
      <formula>C11&gt;$AG11</formula>
    </cfRule>
  </conditionalFormatting>
  <conditionalFormatting sqref="A100:A156 A84:A97 A11:A14 A16:A32 A45:A72 A80:A82 A74:A78 A35:A43 A169:A199">
    <cfRule type="expression" dxfId="6046" priority="232">
      <formula>$AH11=0</formula>
    </cfRule>
  </conditionalFormatting>
  <conditionalFormatting sqref="U98:AA98">
    <cfRule type="expression" dxfId="6045" priority="228">
      <formula>U$9&gt;=20/24</formula>
    </cfRule>
    <cfRule type="expression" dxfId="6044" priority="229">
      <formula>AND(U$9&gt;=14/24,U$9&lt;20/24)</formula>
    </cfRule>
    <cfRule type="expression" dxfId="6043" priority="230">
      <formula>AND(U$9&gt;=8/24,U$9&lt;14/24)</formula>
    </cfRule>
    <cfRule type="expression" dxfId="6042" priority="231">
      <formula>U$9&lt;8/24</formula>
    </cfRule>
  </conditionalFormatting>
  <conditionalFormatting sqref="A98">
    <cfRule type="expression" dxfId="6041" priority="227">
      <formula>$AH98=0</formula>
    </cfRule>
  </conditionalFormatting>
  <conditionalFormatting sqref="M62:M67">
    <cfRule type="expression" dxfId="6040" priority="215">
      <formula>M$9&gt;=20/24</formula>
    </cfRule>
    <cfRule type="expression" dxfId="6039" priority="216">
      <formula>AND(M$9&gt;=14/24,M$9&lt;20/24)</formula>
    </cfRule>
    <cfRule type="expression" dxfId="6038" priority="217">
      <formula>AND(M$9&gt;=8/24,M$9&lt;14/24)</formula>
    </cfRule>
    <cfRule type="expression" dxfId="6037" priority="218">
      <formula>M$9&lt;8/24</formula>
    </cfRule>
  </conditionalFormatting>
  <conditionalFormatting sqref="AL32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M34:P34">
    <cfRule type="expression" dxfId="6036" priority="206">
      <formula>M$9&gt;=20/24</formula>
    </cfRule>
    <cfRule type="expression" dxfId="6035" priority="207">
      <formula>AND(M$9&gt;=14/24,M$9&lt;20/24)</formula>
    </cfRule>
    <cfRule type="expression" dxfId="6034" priority="208">
      <formula>AND(M$9&gt;=8/24,M$9&lt;14/24)</formula>
    </cfRule>
    <cfRule type="expression" dxfId="6033" priority="209">
      <formula>M$9&lt;8/24</formula>
    </cfRule>
  </conditionalFormatting>
  <conditionalFormatting sqref="S34:AF34">
    <cfRule type="expression" dxfId="6032" priority="202">
      <formula>S$9&gt;=20/24</formula>
    </cfRule>
    <cfRule type="expression" dxfId="6031" priority="203">
      <formula>AND(S$9&gt;=14/24,S$9&lt;20/24)</formula>
    </cfRule>
    <cfRule type="expression" dxfId="6030" priority="204">
      <formula>AND(S$9&gt;=8/24,S$9&lt;14/24)</formula>
    </cfRule>
    <cfRule type="expression" dxfId="6029" priority="205">
      <formula>S$9&lt;8/24</formula>
    </cfRule>
  </conditionalFormatting>
  <conditionalFormatting sqref="A34">
    <cfRule type="expression" dxfId="6028" priority="201">
      <formula>$AH34=0</formula>
    </cfRule>
  </conditionalFormatting>
  <conditionalFormatting sqref="A83">
    <cfRule type="expression" dxfId="6027" priority="200">
      <formula>$AH83=0</formula>
    </cfRule>
  </conditionalFormatting>
  <conditionalFormatting sqref="M15:R15">
    <cfRule type="expression" dxfId="6026" priority="192">
      <formula>M$9&gt;=20/24</formula>
    </cfRule>
    <cfRule type="expression" dxfId="6025" priority="193">
      <formula>AND(M$9&gt;=14/24,M$9&lt;20/24)</formula>
    </cfRule>
    <cfRule type="expression" dxfId="6024" priority="194">
      <formula>AND(M$9&gt;=8/24,M$9&lt;14/24)</formula>
    </cfRule>
    <cfRule type="expression" dxfId="6023" priority="195">
      <formula>M$9&lt;8/24</formula>
    </cfRule>
  </conditionalFormatting>
  <conditionalFormatting sqref="M15:R15">
    <cfRule type="expression" dxfId="6022" priority="191">
      <formula>M15&gt;$AG15</formula>
    </cfRule>
  </conditionalFormatting>
  <conditionalFormatting sqref="A15">
    <cfRule type="expression" dxfId="6021" priority="190">
      <formula>$AH15=0</formula>
    </cfRule>
  </conditionalFormatting>
  <conditionalFormatting sqref="A163:A168">
    <cfRule type="expression" dxfId="6020" priority="189">
      <formula>$AH163=0</formula>
    </cfRule>
  </conditionalFormatting>
  <conditionalFormatting sqref="A157:A162">
    <cfRule type="expression" dxfId="6019" priority="188">
      <formula>$AH157=0</formula>
    </cfRule>
  </conditionalFormatting>
  <conditionalFormatting sqref="Z44:AF44">
    <cfRule type="expression" dxfId="6018" priority="184">
      <formula>Z$9&gt;=20/24</formula>
    </cfRule>
    <cfRule type="expression" dxfId="6017" priority="185">
      <formula>AND(Z$9&gt;=14/24,Z$9&lt;20/24)</formula>
    </cfRule>
    <cfRule type="expression" dxfId="6016" priority="186">
      <formula>AND(Z$9&gt;=8/24,Z$9&lt;14/24)</formula>
    </cfRule>
    <cfRule type="expression" dxfId="6015" priority="187">
      <formula>Z$9&lt;8/24</formula>
    </cfRule>
  </conditionalFormatting>
  <conditionalFormatting sqref="M44:R44">
    <cfRule type="expression" dxfId="6014" priority="180">
      <formula>M$9&gt;=20/24</formula>
    </cfRule>
    <cfRule type="expression" dxfId="6013" priority="181">
      <formula>AND(M$9&gt;=14/24,M$9&lt;20/24)</formula>
    </cfRule>
    <cfRule type="expression" dxfId="6012" priority="182">
      <formula>AND(M$9&gt;=8/24,M$9&lt;14/24)</formula>
    </cfRule>
    <cfRule type="expression" dxfId="6011" priority="183">
      <formula>M$9&lt;8/24</formula>
    </cfRule>
  </conditionalFormatting>
  <conditionalFormatting sqref="S44:AF44">
    <cfRule type="expression" dxfId="6010" priority="176">
      <formula>S$9&gt;=20/24</formula>
    </cfRule>
    <cfRule type="expression" dxfId="6009" priority="177">
      <formula>AND(S$9&gt;=14/24,S$9&lt;20/24)</formula>
    </cfRule>
    <cfRule type="expression" dxfId="6008" priority="178">
      <formula>AND(S$9&gt;=8/24,S$9&lt;14/24)</formula>
    </cfRule>
    <cfRule type="expression" dxfId="6007" priority="179">
      <formula>S$9&lt;8/24</formula>
    </cfRule>
  </conditionalFormatting>
  <conditionalFormatting sqref="A44">
    <cfRule type="expression" dxfId="6006" priority="175">
      <formula>$AH44=0</formula>
    </cfRule>
  </conditionalFormatting>
  <conditionalFormatting sqref="A79">
    <cfRule type="expression" dxfId="6005" priority="174">
      <formula>$AH79=0</formula>
    </cfRule>
  </conditionalFormatting>
  <conditionalFormatting sqref="A73">
    <cfRule type="expression" dxfId="6004" priority="173">
      <formula>$AH73=0</formula>
    </cfRule>
  </conditionalFormatting>
  <conditionalFormatting sqref="AL34:AL35 AL7:AL31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W60:W61">
    <cfRule type="expression" dxfId="6003" priority="169">
      <formula>W$9&gt;=20/24</formula>
    </cfRule>
    <cfRule type="expression" dxfId="6002" priority="170">
      <formula>AND(W$9&gt;=14/24,W$9&lt;20/24)</formula>
    </cfRule>
    <cfRule type="expression" dxfId="6001" priority="171">
      <formula>AND(W$9&gt;=8/24,W$9&lt;14/24)</formula>
    </cfRule>
    <cfRule type="expression" dxfId="6000" priority="172">
      <formula>W$9&lt;8/24</formula>
    </cfRule>
  </conditionalFormatting>
  <conditionalFormatting sqref="U85:W91">
    <cfRule type="expression" dxfId="5999" priority="165">
      <formula>U$9&gt;=20/24</formula>
    </cfRule>
    <cfRule type="expression" dxfId="5998" priority="166">
      <formula>AND(U$9&gt;=14/24,U$9&lt;20/24)</formula>
    </cfRule>
    <cfRule type="expression" dxfId="5997" priority="167">
      <formula>AND(U$9&gt;=8/24,U$9&lt;14/24)</formula>
    </cfRule>
    <cfRule type="expression" dxfId="5996" priority="168">
      <formula>U$9&lt;8/24</formula>
    </cfRule>
  </conditionalFormatting>
  <conditionalFormatting sqref="S85:T91 C84:R91">
    <cfRule type="expression" dxfId="5995" priority="161">
      <formula>C$9&gt;=20/24</formula>
    </cfRule>
    <cfRule type="expression" dxfId="5994" priority="162">
      <formula>AND(C$9&gt;=14/24,C$9&lt;20/24)</formula>
    </cfRule>
    <cfRule type="expression" dxfId="5993" priority="163">
      <formula>AND(C$9&gt;=8/24,C$9&lt;14/24)</formula>
    </cfRule>
    <cfRule type="expression" dxfId="5992" priority="164">
      <formula>C$9&lt;8/24</formula>
    </cfRule>
  </conditionalFormatting>
  <conditionalFormatting sqref="S84:T84">
    <cfRule type="expression" dxfId="5991" priority="157">
      <formula>S$9&gt;=20/24</formula>
    </cfRule>
    <cfRule type="expression" dxfId="5990" priority="158">
      <formula>AND(S$9&gt;=14/24,S$9&lt;20/24)</formula>
    </cfRule>
    <cfRule type="expression" dxfId="5989" priority="159">
      <formula>AND(S$9&gt;=8/24,S$9&lt;14/24)</formula>
    </cfRule>
    <cfRule type="expression" dxfId="5988" priority="160">
      <formula>S$9&lt;8/24</formula>
    </cfRule>
  </conditionalFormatting>
  <conditionalFormatting sqref="C95:M97 C94:F94">
    <cfRule type="expression" dxfId="5987" priority="153">
      <formula>C$9&gt;=20/24</formula>
    </cfRule>
    <cfRule type="expression" dxfId="5986" priority="154">
      <formula>AND(C$9&gt;=14/24,C$9&lt;20/24)</formula>
    </cfRule>
    <cfRule type="expression" dxfId="5985" priority="155">
      <formula>AND(C$9&gt;=8/24,C$9&lt;14/24)</formula>
    </cfRule>
    <cfRule type="expression" dxfId="5984" priority="156">
      <formula>C$9&lt;8/24</formula>
    </cfRule>
  </conditionalFormatting>
  <conditionalFormatting sqref="N95:O97 O94 P94:R97">
    <cfRule type="expression" dxfId="5983" priority="149">
      <formula>N$9&gt;=20/24</formula>
    </cfRule>
    <cfRule type="expression" dxfId="5982" priority="150">
      <formula>AND(N$9&gt;=14/24,N$9&lt;20/24)</formula>
    </cfRule>
    <cfRule type="expression" dxfId="5981" priority="151">
      <formula>AND(N$9&gt;=8/24,N$9&lt;14/24)</formula>
    </cfRule>
    <cfRule type="expression" dxfId="5980" priority="152">
      <formula>N$9&lt;8/24</formula>
    </cfRule>
  </conditionalFormatting>
  <conditionalFormatting sqref="S94:T97">
    <cfRule type="expression" dxfId="5979" priority="145">
      <formula>S$9&gt;=20/24</formula>
    </cfRule>
    <cfRule type="expression" dxfId="5978" priority="146">
      <formula>AND(S$9&gt;=14/24,S$9&lt;20/24)</formula>
    </cfRule>
    <cfRule type="expression" dxfId="5977" priority="147">
      <formula>AND(S$9&gt;=8/24,S$9&lt;14/24)</formula>
    </cfRule>
    <cfRule type="expression" dxfId="5976" priority="148">
      <formula>S$9&lt;8/24</formula>
    </cfRule>
  </conditionalFormatting>
  <conditionalFormatting sqref="C98:M98">
    <cfRule type="expression" dxfId="5975" priority="141">
      <formula>C$9&gt;=20/24</formula>
    </cfRule>
    <cfRule type="expression" dxfId="5974" priority="142">
      <formula>AND(C$9&gt;=14/24,C$9&lt;20/24)</formula>
    </cfRule>
    <cfRule type="expression" dxfId="5973" priority="143">
      <formula>AND(C$9&gt;=8/24,C$9&lt;14/24)</formula>
    </cfRule>
    <cfRule type="expression" dxfId="5972" priority="144">
      <formula>C$9&lt;8/24</formula>
    </cfRule>
  </conditionalFormatting>
  <conditionalFormatting sqref="N98:R98">
    <cfRule type="expression" dxfId="5971" priority="137">
      <formula>N$9&gt;=20/24</formula>
    </cfRule>
    <cfRule type="expression" dxfId="5970" priority="138">
      <formula>AND(N$9&gt;=14/24,N$9&lt;20/24)</formula>
    </cfRule>
    <cfRule type="expression" dxfId="5969" priority="139">
      <formula>AND(N$9&gt;=8/24,N$9&lt;14/24)</formula>
    </cfRule>
    <cfRule type="expression" dxfId="5968" priority="140">
      <formula>N$9&lt;8/24</formula>
    </cfRule>
  </conditionalFormatting>
  <conditionalFormatting sqref="S98:T98">
    <cfRule type="expression" dxfId="5967" priority="133">
      <formula>S$9&gt;=20/24</formula>
    </cfRule>
    <cfRule type="expression" dxfId="5966" priority="134">
      <formula>AND(S$9&gt;=14/24,S$9&lt;20/24)</formula>
    </cfRule>
    <cfRule type="expression" dxfId="5965" priority="135">
      <formula>AND(S$9&gt;=8/24,S$9&lt;14/24)</formula>
    </cfRule>
    <cfRule type="expression" dxfId="5964" priority="136">
      <formula>S$9&lt;8/24</formula>
    </cfRule>
  </conditionalFormatting>
  <conditionalFormatting sqref="M94:N94">
    <cfRule type="expression" dxfId="5963" priority="129">
      <formula>M$9&gt;=20/24</formula>
    </cfRule>
    <cfRule type="expression" dxfId="5962" priority="130">
      <formula>AND(M$9&gt;=14/24,M$9&lt;20/24)</formula>
    </cfRule>
    <cfRule type="expression" dxfId="5961" priority="131">
      <formula>AND(M$9&gt;=8/24,M$9&lt;14/24)</formula>
    </cfRule>
    <cfRule type="expression" dxfId="5960" priority="132">
      <formula>M$9&lt;8/24</formula>
    </cfRule>
  </conditionalFormatting>
  <conditionalFormatting sqref="G94:L94">
    <cfRule type="expression" dxfId="5959" priority="125">
      <formula>G$9&gt;=20/24</formula>
    </cfRule>
    <cfRule type="expression" dxfId="5958" priority="126">
      <formula>AND(G$9&gt;=14/24,G$9&lt;20/24)</formula>
    </cfRule>
    <cfRule type="expression" dxfId="5957" priority="127">
      <formula>AND(G$9&gt;=8/24,G$9&lt;14/24)</formula>
    </cfRule>
    <cfRule type="expression" dxfId="5956" priority="128">
      <formula>G$9&lt;8/24</formula>
    </cfRule>
  </conditionalFormatting>
  <conditionalFormatting sqref="U94:W94">
    <cfRule type="expression" dxfId="5955" priority="121">
      <formula>U$9&gt;=20/24</formula>
    </cfRule>
    <cfRule type="expression" dxfId="5954" priority="122">
      <formula>AND(U$9&gt;=14/24,U$9&lt;20/24)</formula>
    </cfRule>
    <cfRule type="expression" dxfId="5953" priority="123">
      <formula>AND(U$9&gt;=8/24,U$9&lt;14/24)</formula>
    </cfRule>
    <cfRule type="expression" dxfId="5952" priority="124">
      <formula>U$9&lt;8/24</formula>
    </cfRule>
  </conditionalFormatting>
  <conditionalFormatting sqref="N94:T94">
    <cfRule type="expression" dxfId="5951" priority="117">
      <formula>N$9&gt;=20/24</formula>
    </cfRule>
    <cfRule type="expression" dxfId="5950" priority="118">
      <formula>AND(N$9&gt;=14/24,N$9&lt;20/24)</formula>
    </cfRule>
    <cfRule type="expression" dxfId="5949" priority="119">
      <formula>AND(N$9&gt;=8/24,N$9&lt;14/24)</formula>
    </cfRule>
    <cfRule type="expression" dxfId="5948" priority="120">
      <formula>N$9&lt;8/24</formula>
    </cfRule>
  </conditionalFormatting>
  <conditionalFormatting sqref="U99:AA99">
    <cfRule type="expression" dxfId="5947" priority="113">
      <formula>U$9&gt;=20/24</formula>
    </cfRule>
    <cfRule type="expression" dxfId="5946" priority="114">
      <formula>AND(U$9&gt;=14/24,U$9&lt;20/24)</formula>
    </cfRule>
    <cfRule type="expression" dxfId="5945" priority="115">
      <formula>AND(U$9&gt;=8/24,U$9&lt;14/24)</formula>
    </cfRule>
    <cfRule type="expression" dxfId="5944" priority="116">
      <formula>U$9&lt;8/24</formula>
    </cfRule>
  </conditionalFormatting>
  <conditionalFormatting sqref="C99:M99">
    <cfRule type="expression" dxfId="5943" priority="109">
      <formula>C$9&gt;=20/24</formula>
    </cfRule>
    <cfRule type="expression" dxfId="5942" priority="110">
      <formula>AND(C$9&gt;=14/24,C$9&lt;20/24)</formula>
    </cfRule>
    <cfRule type="expression" dxfId="5941" priority="111">
      <formula>AND(C$9&gt;=8/24,C$9&lt;14/24)</formula>
    </cfRule>
    <cfRule type="expression" dxfId="5940" priority="112">
      <formula>C$9&lt;8/24</formula>
    </cfRule>
  </conditionalFormatting>
  <conditionalFormatting sqref="N99:R99">
    <cfRule type="expression" dxfId="5939" priority="105">
      <formula>N$9&gt;=20/24</formula>
    </cfRule>
    <cfRule type="expression" dxfId="5938" priority="106">
      <formula>AND(N$9&gt;=14/24,N$9&lt;20/24)</formula>
    </cfRule>
    <cfRule type="expression" dxfId="5937" priority="107">
      <formula>AND(N$9&gt;=8/24,N$9&lt;14/24)</formula>
    </cfRule>
    <cfRule type="expression" dxfId="5936" priority="108">
      <formula>N$9&lt;8/24</formula>
    </cfRule>
  </conditionalFormatting>
  <conditionalFormatting sqref="S99:T99">
    <cfRule type="expression" dxfId="5935" priority="101">
      <formula>S$9&gt;=20/24</formula>
    </cfRule>
    <cfRule type="expression" dxfId="5934" priority="102">
      <formula>AND(S$9&gt;=14/24,S$9&lt;20/24)</formula>
    </cfRule>
    <cfRule type="expression" dxfId="5933" priority="103">
      <formula>AND(S$9&gt;=8/24,S$9&lt;14/24)</formula>
    </cfRule>
    <cfRule type="expression" dxfId="5932" priority="104">
      <formula>S$9&lt;8/24</formula>
    </cfRule>
  </conditionalFormatting>
  <conditionalFormatting sqref="S12:Z16 AA13:AF16">
    <cfRule type="expression" dxfId="5931" priority="97">
      <formula>S$9&gt;=20/24</formula>
    </cfRule>
    <cfRule type="expression" dxfId="5930" priority="98">
      <formula>AND(S$9&gt;=14/24,S$9&lt;20/24)</formula>
    </cfRule>
    <cfRule type="expression" dxfId="5929" priority="99">
      <formula>AND(S$9&gt;=8/24,S$9&lt;14/24)</formula>
    </cfRule>
    <cfRule type="expression" dxfId="5928" priority="100">
      <formula>S$9&lt;8/24</formula>
    </cfRule>
  </conditionalFormatting>
  <conditionalFormatting sqref="S17:AF17">
    <cfRule type="expression" dxfId="5927" priority="93">
      <formula>S$9&gt;=20/24</formula>
    </cfRule>
    <cfRule type="expression" dxfId="5926" priority="94">
      <formula>AND(S$9&gt;=14/24,S$9&lt;20/24)</formula>
    </cfRule>
    <cfRule type="expression" dxfId="5925" priority="95">
      <formula>AND(S$9&gt;=8/24,S$9&lt;14/24)</formula>
    </cfRule>
    <cfRule type="expression" dxfId="5924" priority="96">
      <formula>S$9&lt;8/24</formula>
    </cfRule>
  </conditionalFormatting>
  <conditionalFormatting sqref="S12:Z13 AA13:AF13">
    <cfRule type="expression" dxfId="5923" priority="89">
      <formula>S$9&gt;=20/24</formula>
    </cfRule>
    <cfRule type="expression" dxfId="5922" priority="90">
      <formula>AND(S$9&gt;=14/24,S$9&lt;20/24)</formula>
    </cfRule>
    <cfRule type="expression" dxfId="5921" priority="91">
      <formula>AND(S$9&gt;=8/24,S$9&lt;14/24)</formula>
    </cfRule>
    <cfRule type="expression" dxfId="5920" priority="92">
      <formula>S$9&lt;8/24</formula>
    </cfRule>
  </conditionalFormatting>
  <conditionalFormatting sqref="AC58:AF59">
    <cfRule type="expression" dxfId="5919" priority="85">
      <formula>AC$9&gt;=20/24</formula>
    </cfRule>
    <cfRule type="expression" dxfId="5918" priority="86">
      <formula>AND(AC$9&gt;=14/24,AC$9&lt;20/24)</formula>
    </cfRule>
    <cfRule type="expression" dxfId="5917" priority="87">
      <formula>AND(AC$9&gt;=8/24,AC$9&lt;14/24)</formula>
    </cfRule>
    <cfRule type="expression" dxfId="5916" priority="88">
      <formula>AC$9&lt;8/24</formula>
    </cfRule>
  </conditionalFormatting>
  <conditionalFormatting sqref="AL33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15" priority="318">
      <formula>C$9&gt;=20/24</formula>
    </cfRule>
    <cfRule type="expression" dxfId="5914" priority="319">
      <formula>AND(C$9&gt;=14/24,C$9&lt;20/24)</formula>
    </cfRule>
    <cfRule type="expression" dxfId="5913" priority="320">
      <formula>AND(C$9&gt;=8/24,C$9&lt;14/24)</formula>
    </cfRule>
    <cfRule type="expression" dxfId="5912" priority="321">
      <formula>C$9&lt;8/24</formula>
    </cfRule>
  </conditionalFormatting>
  <conditionalFormatting sqref="A200">
    <cfRule type="expression" dxfId="5911" priority="322">
      <formula>$AH200=0</formula>
    </cfRule>
  </conditionalFormatting>
  <conditionalFormatting sqref="AG212">
    <cfRule type="expression" dxfId="5910" priority="323">
      <formula>B$9&gt;=20/24</formula>
    </cfRule>
    <cfRule type="expression" dxfId="5909" priority="324">
      <formula>AND(B$9&gt;=14/24,B$9&lt;20/24)</formula>
    </cfRule>
    <cfRule type="expression" dxfId="5908" priority="325">
      <formula>AND(B$9&gt;=8/24,B$9&lt;14/24)</formula>
    </cfRule>
    <cfRule type="expression" dxfId="5907" priority="326">
      <formula>B$9&lt;8/24</formula>
    </cfRule>
  </conditionalFormatting>
  <conditionalFormatting sqref="S8">
    <cfRule type="expression" dxfId="5906" priority="79">
      <formula>U$9&gt;=20/24</formula>
    </cfRule>
    <cfRule type="expression" dxfId="5905" priority="80">
      <formula>AND(U$9&gt;=14/24,U$9&lt;20/24)</formula>
    </cfRule>
    <cfRule type="expression" dxfId="5904" priority="81">
      <formula>AND(U$9&gt;=8/24,U$9&lt;14/24)</formula>
    </cfRule>
    <cfRule type="expression" dxfId="5903" priority="82">
      <formula>U$9&lt;8/24</formula>
    </cfRule>
  </conditionalFormatting>
  <conditionalFormatting sqref="AB8">
    <cfRule type="expression" dxfId="5902" priority="75">
      <formula>AD$9&gt;=20/24</formula>
    </cfRule>
    <cfRule type="expression" dxfId="5901" priority="76">
      <formula>AND(AD$9&gt;=14/24,AD$9&lt;20/24)</formula>
    </cfRule>
    <cfRule type="expression" dxfId="5900" priority="77">
      <formula>AND(AD$9&gt;=8/24,AD$9&lt;14/24)</formula>
    </cfRule>
    <cfRule type="expression" dxfId="5899" priority="78">
      <formula>AD$9&lt;8/24</formula>
    </cfRule>
  </conditionalFormatting>
  <conditionalFormatting sqref="AH212:AX212">
    <cfRule type="expression" dxfId="5898" priority="327">
      <formula>AG$9&gt;=20/24</formula>
    </cfRule>
    <cfRule type="expression" dxfId="5897" priority="328">
      <formula>AND(AG$9&gt;=14/24,AG$9&lt;20/24)</formula>
    </cfRule>
    <cfRule type="expression" dxfId="5896" priority="329">
      <formula>AND(AG$9&gt;=8/24,AG$9&lt;14/24)</formula>
    </cfRule>
    <cfRule type="expression" dxfId="5895" priority="330">
      <formula>AG$9&lt;8/24</formula>
    </cfRule>
  </conditionalFormatting>
  <conditionalFormatting sqref="T212">
    <cfRule type="expression" dxfId="5894" priority="331">
      <formula>AX$9&gt;=20/24</formula>
    </cfRule>
    <cfRule type="expression" dxfId="5893" priority="332">
      <formula>AND(AX$9&gt;=14/24,AX$9&lt;20/24)</formula>
    </cfRule>
    <cfRule type="expression" dxfId="5892" priority="333">
      <formula>AND(AX$9&gt;=8/24,AX$9&lt;14/24)</formula>
    </cfRule>
    <cfRule type="expression" dxfId="5891" priority="334">
      <formula>AX$9&lt;8/24</formula>
    </cfRule>
  </conditionalFormatting>
  <conditionalFormatting sqref="A99">
    <cfRule type="expression" dxfId="5890" priority="74">
      <formula>$AH99=0</formula>
    </cfRule>
  </conditionalFormatting>
  <conditionalFormatting sqref="M33:P33">
    <cfRule type="expression" dxfId="5889" priority="70">
      <formula>M$9&gt;=20/24</formula>
    </cfRule>
    <cfRule type="expression" dxfId="5888" priority="71">
      <formula>AND(M$9&gt;=14/24,M$9&lt;20/24)</formula>
    </cfRule>
    <cfRule type="expression" dxfId="5887" priority="72">
      <formula>AND(M$9&gt;=8/24,M$9&lt;14/24)</formula>
    </cfRule>
    <cfRule type="expression" dxfId="5886" priority="73">
      <formula>M$9&lt;8/24</formula>
    </cfRule>
  </conditionalFormatting>
  <conditionalFormatting sqref="S33:AF33">
    <cfRule type="expression" dxfId="5885" priority="62">
      <formula>S$9&gt;=20/24</formula>
    </cfRule>
    <cfRule type="expression" dxfId="5884" priority="63">
      <formula>AND(S$9&gt;=14/24,S$9&lt;20/24)</formula>
    </cfRule>
    <cfRule type="expression" dxfId="5883" priority="64">
      <formula>AND(S$9&gt;=8/24,S$9&lt;14/24)</formula>
    </cfRule>
    <cfRule type="expression" dxfId="5882" priority="65">
      <formula>S$9&lt;8/24</formula>
    </cfRule>
  </conditionalFormatting>
  <conditionalFormatting sqref="M33:P33 S33:AF33">
    <cfRule type="expression" dxfId="5881" priority="61">
      <formula>M33&gt;$AG33</formula>
    </cfRule>
  </conditionalFormatting>
  <conditionalFormatting sqref="B94:B99 B53:B91 B11:D11 B36:L36 B18:L30">
    <cfRule type="expression" dxfId="5880" priority="57">
      <formula>B$9&gt;=20/24</formula>
    </cfRule>
    <cfRule type="expression" dxfId="5879" priority="58">
      <formula>AND(B$9&gt;=14/24,B$9&lt;20/24)</formula>
    </cfRule>
    <cfRule type="expression" dxfId="5878" priority="59">
      <formula>AND(B$9&gt;=8/24,B$9&lt;14/24)</formula>
    </cfRule>
    <cfRule type="expression" dxfId="5877" priority="60">
      <formula>B$9&lt;8/24</formula>
    </cfRule>
  </conditionalFormatting>
  <conditionalFormatting sqref="B37:L37">
    <cfRule type="expression" dxfId="5876" priority="53">
      <formula>B$9&gt;=20/24</formula>
    </cfRule>
    <cfRule type="expression" dxfId="5875" priority="54">
      <formula>AND(B$9&gt;=14/24,B$9&lt;20/24)</formula>
    </cfRule>
    <cfRule type="expression" dxfId="5874" priority="55">
      <formula>AND(B$9&gt;=8/24,B$9&lt;14/24)</formula>
    </cfRule>
    <cfRule type="expression" dxfId="5873" priority="56">
      <formula>B$9&lt;8/24</formula>
    </cfRule>
  </conditionalFormatting>
  <conditionalFormatting sqref="B31:L32 B35:L35">
    <cfRule type="expression" dxfId="5872" priority="49">
      <formula>B$9&gt;=20/24</formula>
    </cfRule>
    <cfRule type="expression" dxfId="5871" priority="50">
      <formula>AND(B$9&gt;=14/24,B$9&lt;20/24)</formula>
    </cfRule>
    <cfRule type="expression" dxfId="5870" priority="51">
      <formula>AND(B$9&gt;=8/24,B$9&lt;14/24)</formula>
    </cfRule>
    <cfRule type="expression" dxfId="5869" priority="52">
      <formula>B$9&lt;8/24</formula>
    </cfRule>
  </conditionalFormatting>
  <conditionalFormatting sqref="B34:B56 C39:C50 B11:D11 B18:L32 C34:L37">
    <cfRule type="expression" dxfId="5868" priority="48">
      <formula>B11&gt;$AG11</formula>
    </cfRule>
  </conditionalFormatting>
  <conditionalFormatting sqref="B34:L34">
    <cfRule type="expression" dxfId="5867" priority="44">
      <formula>B$9&gt;=20/24</formula>
    </cfRule>
    <cfRule type="expression" dxfId="5866" priority="45">
      <formula>AND(B$9&gt;=14/24,B$9&lt;20/24)</formula>
    </cfRule>
    <cfRule type="expression" dxfId="5865" priority="46">
      <formula>AND(B$9&gt;=8/24,B$9&lt;14/24)</formula>
    </cfRule>
    <cfRule type="expression" dxfId="5864" priority="47">
      <formula>B$9&lt;8/24</formula>
    </cfRule>
  </conditionalFormatting>
  <conditionalFormatting sqref="B12:L16">
    <cfRule type="expression" dxfId="5863" priority="40">
      <formula>B$9&gt;=20/24</formula>
    </cfRule>
    <cfRule type="expression" dxfId="5862" priority="41">
      <formula>AND(B$9&gt;=14/24,B$9&lt;20/24)</formula>
    </cfRule>
    <cfRule type="expression" dxfId="5861" priority="42">
      <formula>AND(B$9&gt;=8/24,B$9&lt;14/24)</formula>
    </cfRule>
    <cfRule type="expression" dxfId="5860" priority="43">
      <formula>B$9&lt;8/24</formula>
    </cfRule>
  </conditionalFormatting>
  <conditionalFormatting sqref="B17:L17">
    <cfRule type="expression" dxfId="5859" priority="36">
      <formula>B$9&gt;=20/24</formula>
    </cfRule>
    <cfRule type="expression" dxfId="5858" priority="37">
      <formula>AND(B$9&gt;=14/24,B$9&lt;20/24)</formula>
    </cfRule>
    <cfRule type="expression" dxfId="5857" priority="38">
      <formula>AND(B$9&gt;=8/24,B$9&lt;14/24)</formula>
    </cfRule>
    <cfRule type="expression" dxfId="5856" priority="39">
      <formula>B$9&lt;8/24</formula>
    </cfRule>
  </conditionalFormatting>
  <conditionalFormatting sqref="B12:L13">
    <cfRule type="expression" dxfId="5855" priority="32">
      <formula>B$9&gt;=20/24</formula>
    </cfRule>
    <cfRule type="expression" dxfId="5854" priority="33">
      <formula>AND(B$9&gt;=14/24,B$9&lt;20/24)</formula>
    </cfRule>
    <cfRule type="expression" dxfId="5853" priority="34">
      <formula>AND(B$9&gt;=8/24,B$9&lt;14/24)</formula>
    </cfRule>
    <cfRule type="expression" dxfId="5852" priority="35">
      <formula>B$9&lt;8/24</formula>
    </cfRule>
  </conditionalFormatting>
  <conditionalFormatting sqref="B33:L33">
    <cfRule type="expression" dxfId="5851" priority="28">
      <formula>B$9&gt;=20/24</formula>
    </cfRule>
    <cfRule type="expression" dxfId="5850" priority="29">
      <formula>AND(B$9&gt;=14/24,B$9&lt;20/24)</formula>
    </cfRule>
    <cfRule type="expression" dxfId="5849" priority="30">
      <formula>AND(B$9&gt;=8/24,B$9&lt;14/24)</formula>
    </cfRule>
    <cfRule type="expression" dxfId="5848" priority="31">
      <formula>B$9&lt;8/24</formula>
    </cfRule>
  </conditionalFormatting>
  <conditionalFormatting sqref="B33:L33">
    <cfRule type="expression" dxfId="5847" priority="27">
      <formula>B33&gt;$AG33</formula>
    </cfRule>
  </conditionalFormatting>
  <conditionalFormatting sqref="Q17:R32 Q36:R37">
    <cfRule type="expression" dxfId="5846" priority="23">
      <formula>Q$9&gt;=20/24</formula>
    </cfRule>
    <cfRule type="expression" dxfId="5845" priority="24">
      <formula>AND(Q$9&gt;=14/24,Q$9&lt;20/24)</formula>
    </cfRule>
    <cfRule type="expression" dxfId="5844" priority="25">
      <formula>AND(Q$9&gt;=8/24,Q$9&lt;14/24)</formula>
    </cfRule>
    <cfRule type="expression" dxfId="5843" priority="26">
      <formula>Q$9&lt;8/24</formula>
    </cfRule>
  </conditionalFormatting>
  <conditionalFormatting sqref="Q35:R35">
    <cfRule type="expression" dxfId="5842" priority="19">
      <formula>Q$9&gt;=20/24</formula>
    </cfRule>
    <cfRule type="expression" dxfId="5841" priority="20">
      <formula>AND(Q$9&gt;=14/24,Q$9&lt;20/24)</formula>
    </cfRule>
    <cfRule type="expression" dxfId="5840" priority="21">
      <formula>AND(Q$9&gt;=8/24,Q$9&lt;14/24)</formula>
    </cfRule>
    <cfRule type="expression" dxfId="5839" priority="22">
      <formula>Q$9&lt;8/24</formula>
    </cfRule>
  </conditionalFormatting>
  <conditionalFormatting sqref="Q17:R32 Q34:R37">
    <cfRule type="expression" dxfId="5838" priority="18">
      <formula>Q17&gt;$AG17</formula>
    </cfRule>
  </conditionalFormatting>
  <conditionalFormatting sqref="Q34:R34">
    <cfRule type="expression" dxfId="5837" priority="14">
      <formula>Q$9&gt;=20/24</formula>
    </cfRule>
    <cfRule type="expression" dxfId="5836" priority="15">
      <formula>AND(Q$9&gt;=14/24,Q$9&lt;20/24)</formula>
    </cfRule>
    <cfRule type="expression" dxfId="5835" priority="16">
      <formula>AND(Q$9&gt;=8/24,Q$9&lt;14/24)</formula>
    </cfRule>
    <cfRule type="expression" dxfId="5834" priority="17">
      <formula>Q$9&lt;8/24</formula>
    </cfRule>
  </conditionalFormatting>
  <conditionalFormatting sqref="Q33:R33">
    <cfRule type="expression" dxfId="5833" priority="10">
      <formula>Q$9&gt;=20/24</formula>
    </cfRule>
    <cfRule type="expression" dxfId="5832" priority="11">
      <formula>AND(Q$9&gt;=14/24,Q$9&lt;20/24)</formula>
    </cfRule>
    <cfRule type="expression" dxfId="5831" priority="12">
      <formula>AND(Q$9&gt;=8/24,Q$9&lt;14/24)</formula>
    </cfRule>
    <cfRule type="expression" dxfId="5830" priority="13">
      <formula>Q$9&lt;8/24</formula>
    </cfRule>
  </conditionalFormatting>
  <conditionalFormatting sqref="Q33:R33">
    <cfRule type="expression" dxfId="5829" priority="9">
      <formula>Q33&gt;$AG33</formula>
    </cfRule>
  </conditionalFormatting>
  <conditionalFormatting sqref="Q58:Q67">
    <cfRule type="expression" dxfId="5828" priority="5">
      <formula>Q$9&gt;=20/24</formula>
    </cfRule>
    <cfRule type="expression" dxfId="5827" priority="6">
      <formula>AND(Q$9&gt;=14/24,Q$9&lt;20/24)</formula>
    </cfRule>
    <cfRule type="expression" dxfId="5826" priority="7">
      <formula>AND(Q$9&gt;=8/24,Q$9&lt;14/24)</formula>
    </cfRule>
    <cfRule type="expression" dxfId="5825" priority="8">
      <formula>Q$9&lt;8/24</formula>
    </cfRule>
  </conditionalFormatting>
  <conditionalFormatting sqref="Q57">
    <cfRule type="expression" dxfId="5824" priority="1">
      <formula>Q$9&gt;=20/24</formula>
    </cfRule>
    <cfRule type="expression" dxfId="5823" priority="2">
      <formula>AND(Q$9&gt;=14/24,Q$9&lt;20/24)</formula>
    </cfRule>
    <cfRule type="expression" dxfId="5822" priority="3">
      <formula>AND(Q$9&gt;=8/24,Q$9&lt;14/24)</formula>
    </cfRule>
    <cfRule type="expression" dxfId="5821" priority="4">
      <formula>Q$9&lt;8/24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4" id="{25F5E554-BE63-4A10-A7BF-EAE1014CE24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L97" sqref="L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"2078/"&amp;"08/"&amp;INT(MID(CELL("filename",D6),FIND("]",CELL("filename",D6))+1,200))</f>
        <v>2078/08/13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144.5</v>
      </c>
      <c r="C5" s="32">
        <f t="shared" si="0"/>
        <v>136.10000000000002</v>
      </c>
      <c r="D5" s="32">
        <f t="shared" si="0"/>
        <v>137.9</v>
      </c>
      <c r="E5" s="32">
        <f t="shared" si="0"/>
        <v>157.4</v>
      </c>
      <c r="F5" s="32">
        <f t="shared" si="0"/>
        <v>195</v>
      </c>
      <c r="G5" s="32">
        <f t="shared" si="0"/>
        <v>211.8</v>
      </c>
      <c r="H5" s="32">
        <f t="shared" si="0"/>
        <v>315</v>
      </c>
      <c r="I5" s="32">
        <f t="shared" si="0"/>
        <v>382.1</v>
      </c>
      <c r="J5" s="32">
        <f t="shared" si="0"/>
        <v>255.1</v>
      </c>
      <c r="K5" s="32">
        <f t="shared" si="0"/>
        <v>281.5</v>
      </c>
      <c r="L5" s="32">
        <f t="shared" si="0"/>
        <v>258.8</v>
      </c>
      <c r="M5" s="32">
        <f t="shared" si="0"/>
        <v>160.80000000000001</v>
      </c>
      <c r="N5" s="32">
        <f t="shared" si="0"/>
        <v>437.1</v>
      </c>
      <c r="O5" s="32">
        <f t="shared" si="0"/>
        <v>425.9</v>
      </c>
      <c r="P5" s="32">
        <f t="shared" si="0"/>
        <v>423.1</v>
      </c>
      <c r="Q5" s="32">
        <f t="shared" si="0"/>
        <v>450.4</v>
      </c>
      <c r="R5" s="32">
        <f t="shared" si="0"/>
        <v>475.4</v>
      </c>
      <c r="S5" s="32">
        <f t="shared" si="0"/>
        <v>462</v>
      </c>
      <c r="T5" s="32">
        <f t="shared" si="0"/>
        <v>473.4</v>
      </c>
      <c r="U5" s="32">
        <f t="shared" si="0"/>
        <v>440.8</v>
      </c>
      <c r="V5" s="32">
        <f t="shared" si="0"/>
        <v>192.8</v>
      </c>
      <c r="W5" s="32">
        <f t="shared" si="0"/>
        <v>164</v>
      </c>
      <c r="X5" s="32">
        <f t="shared" si="0"/>
        <v>224</v>
      </c>
      <c r="Y5" s="32">
        <f t="shared" si="0"/>
        <v>357.9</v>
      </c>
      <c r="Z5" s="32">
        <f t="shared" si="0"/>
        <v>364</v>
      </c>
      <c r="AA5" s="32">
        <f t="shared" si="0"/>
        <v>459.5</v>
      </c>
      <c r="AB5" s="32">
        <f t="shared" si="0"/>
        <v>423.3</v>
      </c>
      <c r="AC5" s="32">
        <f t="shared" si="0"/>
        <v>342.3</v>
      </c>
      <c r="AD5" s="32">
        <f t="shared" si="0"/>
        <v>260</v>
      </c>
      <c r="AE5" s="32">
        <f t="shared" si="0"/>
        <v>185</v>
      </c>
      <c r="AF5" s="32">
        <f>B68</f>
        <v>169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1546MW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Load=891</v>
      </c>
      <c r="B7" s="37">
        <f>B75</f>
        <v>959.94</v>
      </c>
      <c r="C7" s="37">
        <f t="shared" ref="C7:AF7" si="1">C75</f>
        <v>916.24</v>
      </c>
      <c r="D7" s="37">
        <f t="shared" si="1"/>
        <v>915.74</v>
      </c>
      <c r="E7" s="37">
        <f t="shared" si="1"/>
        <v>891.04</v>
      </c>
      <c r="F7" s="37">
        <f t="shared" si="1"/>
        <v>939.04000000000008</v>
      </c>
      <c r="G7" s="37">
        <f t="shared" si="1"/>
        <v>1021.84</v>
      </c>
      <c r="H7" s="37">
        <f t="shared" si="1"/>
        <v>1093.94</v>
      </c>
      <c r="I7" s="37">
        <f t="shared" si="1"/>
        <v>1175.1400000000001</v>
      </c>
      <c r="J7" s="37">
        <f t="shared" si="1"/>
        <v>1272.1400000000001</v>
      </c>
      <c r="K7" s="37">
        <f t="shared" si="1"/>
        <v>1409.8400000000001</v>
      </c>
      <c r="L7" s="37">
        <f t="shared" si="1"/>
        <v>1537.8400000000001</v>
      </c>
      <c r="M7" s="37">
        <f t="shared" si="1"/>
        <v>1545.54</v>
      </c>
      <c r="N7" s="37">
        <f t="shared" si="1"/>
        <v>1454.54</v>
      </c>
      <c r="O7" s="37">
        <f t="shared" si="1"/>
        <v>1443.94</v>
      </c>
      <c r="P7" s="37">
        <f t="shared" si="1"/>
        <v>1362.04</v>
      </c>
      <c r="Q7" s="37">
        <f t="shared" si="1"/>
        <v>1332.24</v>
      </c>
      <c r="R7" s="37">
        <f t="shared" si="1"/>
        <v>1329.6399999999999</v>
      </c>
      <c r="S7" s="37">
        <f t="shared" si="1"/>
        <v>1317.1399999999999</v>
      </c>
      <c r="T7" s="37">
        <f t="shared" si="1"/>
        <v>1340.7399999999998</v>
      </c>
      <c r="U7" s="37">
        <f t="shared" si="1"/>
        <v>1354.34</v>
      </c>
      <c r="V7" s="37">
        <f t="shared" si="1"/>
        <v>1483.74</v>
      </c>
      <c r="W7" s="37">
        <f t="shared" si="1"/>
        <v>1579.74</v>
      </c>
      <c r="X7" s="37">
        <f t="shared" si="1"/>
        <v>1676.6399999999999</v>
      </c>
      <c r="Y7" s="37">
        <f t="shared" si="1"/>
        <v>1605.6399999999999</v>
      </c>
      <c r="Z7" s="37">
        <f t="shared" si="1"/>
        <v>1529.54</v>
      </c>
      <c r="AA7" s="37">
        <f t="shared" si="1"/>
        <v>1485.94</v>
      </c>
      <c r="AB7" s="37">
        <f t="shared" si="1"/>
        <v>1437.64</v>
      </c>
      <c r="AC7" s="37">
        <f t="shared" si="1"/>
        <v>1350.64</v>
      </c>
      <c r="AD7" s="37">
        <f t="shared" si="1"/>
        <v>1196.02</v>
      </c>
      <c r="AE7" s="37">
        <f t="shared" si="1"/>
        <v>1076.04</v>
      </c>
      <c r="AF7" s="37">
        <f t="shared" si="1"/>
        <v>962.54000000000008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60</v>
      </c>
      <c r="C11" s="49">
        <v>45.8</v>
      </c>
      <c r="D11" s="49">
        <v>45.6</v>
      </c>
      <c r="E11" s="49">
        <v>36.1</v>
      </c>
      <c r="F11" s="49">
        <v>120</v>
      </c>
      <c r="G11" s="49">
        <v>160</v>
      </c>
      <c r="H11" s="49">
        <v>180</v>
      </c>
      <c r="I11" s="49">
        <v>100</v>
      </c>
      <c r="J11" s="49">
        <v>100</v>
      </c>
      <c r="K11" s="49">
        <v>230</v>
      </c>
      <c r="L11" s="49">
        <v>300</v>
      </c>
      <c r="M11" s="50">
        <v>320</v>
      </c>
      <c r="N11" s="50">
        <v>320</v>
      </c>
      <c r="O11" s="50">
        <v>80</v>
      </c>
      <c r="P11" s="50">
        <v>20</v>
      </c>
      <c r="Q11" s="50">
        <v>20</v>
      </c>
      <c r="R11" s="51">
        <v>20</v>
      </c>
      <c r="S11" s="50">
        <v>10</v>
      </c>
      <c r="T11" s="50">
        <v>35</v>
      </c>
      <c r="U11" s="50">
        <v>35</v>
      </c>
      <c r="V11" s="50">
        <v>80</v>
      </c>
      <c r="W11" s="50">
        <v>420</v>
      </c>
      <c r="X11" s="50">
        <v>456</v>
      </c>
      <c r="Y11" s="50">
        <v>390</v>
      </c>
      <c r="Z11" s="50">
        <v>180</v>
      </c>
      <c r="AA11" s="50">
        <v>140</v>
      </c>
      <c r="AB11" s="50">
        <v>40</v>
      </c>
      <c r="AC11" s="50">
        <v>40</v>
      </c>
      <c r="AD11" s="50">
        <v>80</v>
      </c>
      <c r="AE11" s="50">
        <v>80</v>
      </c>
      <c r="AF11" s="50">
        <v>60</v>
      </c>
      <c r="AG11" s="53">
        <v>456</v>
      </c>
      <c r="AH11" s="54">
        <f>MAX(B11:AF11)</f>
        <v>456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46</v>
      </c>
      <c r="C12" s="50">
        <v>46</v>
      </c>
      <c r="D12" s="50">
        <v>46</v>
      </c>
      <c r="E12" s="50">
        <v>46</v>
      </c>
      <c r="F12" s="50">
        <v>46</v>
      </c>
      <c r="G12" s="50">
        <v>46</v>
      </c>
      <c r="H12" s="50">
        <v>46</v>
      </c>
      <c r="I12" s="50">
        <v>46</v>
      </c>
      <c r="J12" s="50">
        <v>46</v>
      </c>
      <c r="K12" s="50">
        <v>46</v>
      </c>
      <c r="L12" s="50">
        <v>46</v>
      </c>
      <c r="M12" s="50">
        <v>46</v>
      </c>
      <c r="N12" s="50">
        <v>46</v>
      </c>
      <c r="O12" s="49">
        <v>46</v>
      </c>
      <c r="P12" s="49">
        <v>46</v>
      </c>
      <c r="Q12" s="49">
        <v>46</v>
      </c>
      <c r="R12" s="49">
        <v>46</v>
      </c>
      <c r="S12" s="49">
        <v>46</v>
      </c>
      <c r="T12" s="49">
        <v>46</v>
      </c>
      <c r="U12" s="49">
        <v>46</v>
      </c>
      <c r="V12" s="49">
        <v>46</v>
      </c>
      <c r="W12" s="49">
        <v>46</v>
      </c>
      <c r="X12" s="58">
        <v>46</v>
      </c>
      <c r="Y12" s="58">
        <v>46</v>
      </c>
      <c r="Z12" s="58">
        <v>46</v>
      </c>
      <c r="AA12" s="58">
        <v>46</v>
      </c>
      <c r="AB12" s="58">
        <v>46</v>
      </c>
      <c r="AC12" s="58">
        <v>46</v>
      </c>
      <c r="AD12" s="58">
        <v>46</v>
      </c>
      <c r="AE12" s="58">
        <v>46</v>
      </c>
      <c r="AF12" s="58">
        <v>46</v>
      </c>
      <c r="AG12" s="59">
        <v>60</v>
      </c>
      <c r="AH12" s="54">
        <f t="shared" ref="AH12:AH75" si="2">MAX(B12:AF12)</f>
        <v>46</v>
      </c>
      <c r="AI12" s="55">
        <f t="shared" ref="AI12:AI75" si="3">MIN(B12:AF12)</f>
        <v>46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26.6</v>
      </c>
      <c r="C13" s="58">
        <v>26.6</v>
      </c>
      <c r="D13" s="58">
        <v>26.6</v>
      </c>
      <c r="E13" s="58">
        <v>26.6</v>
      </c>
      <c r="F13" s="58">
        <v>26.6</v>
      </c>
      <c r="G13" s="58">
        <v>26.6</v>
      </c>
      <c r="H13" s="58">
        <v>26.6</v>
      </c>
      <c r="I13" s="58">
        <v>26.6</v>
      </c>
      <c r="J13" s="58">
        <v>26.6</v>
      </c>
      <c r="K13" s="58">
        <v>26.6</v>
      </c>
      <c r="L13" s="58">
        <v>26.6</v>
      </c>
      <c r="M13" s="58">
        <v>26.6</v>
      </c>
      <c r="N13" s="58">
        <v>26.6</v>
      </c>
      <c r="O13" s="49">
        <v>26.4</v>
      </c>
      <c r="P13" s="49">
        <v>26.4</v>
      </c>
      <c r="Q13" s="49">
        <v>26.4</v>
      </c>
      <c r="R13" s="49">
        <v>26.4</v>
      </c>
      <c r="S13" s="49">
        <v>26.4</v>
      </c>
      <c r="T13" s="49">
        <v>26.4</v>
      </c>
      <c r="U13" s="49">
        <v>26.4</v>
      </c>
      <c r="V13" s="49">
        <v>26.4</v>
      </c>
      <c r="W13" s="49">
        <v>26.4</v>
      </c>
      <c r="X13" s="58">
        <v>26.4</v>
      </c>
      <c r="Y13" s="58">
        <v>26.4</v>
      </c>
      <c r="Z13" s="58">
        <v>26.4</v>
      </c>
      <c r="AA13" s="58">
        <v>26.4</v>
      </c>
      <c r="AB13" s="58">
        <v>26.4</v>
      </c>
      <c r="AC13" s="58">
        <v>26.4</v>
      </c>
      <c r="AD13" s="58">
        <v>26.4</v>
      </c>
      <c r="AE13" s="58">
        <v>26.4</v>
      </c>
      <c r="AF13" s="58">
        <v>26.4</v>
      </c>
      <c r="AG13" s="59">
        <v>52.4</v>
      </c>
      <c r="AH13" s="54">
        <f t="shared" si="2"/>
        <v>26.6</v>
      </c>
      <c r="AI13" s="55">
        <f t="shared" si="3"/>
        <v>26.4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50.5</v>
      </c>
      <c r="C14" s="60">
        <v>50.5</v>
      </c>
      <c r="D14" s="60">
        <v>50.5</v>
      </c>
      <c r="E14" s="60">
        <v>50.5</v>
      </c>
      <c r="F14" s="60">
        <v>50.5</v>
      </c>
      <c r="G14" s="60">
        <v>50.5</v>
      </c>
      <c r="H14" s="60">
        <v>50.5</v>
      </c>
      <c r="I14" s="60">
        <v>50.5</v>
      </c>
      <c r="J14" s="60">
        <v>50.5</v>
      </c>
      <c r="K14" s="60">
        <v>50.5</v>
      </c>
      <c r="L14" s="60">
        <v>50.5</v>
      </c>
      <c r="M14" s="60">
        <v>50.5</v>
      </c>
      <c r="N14" s="60">
        <v>50.5</v>
      </c>
      <c r="O14" s="50">
        <v>50.8</v>
      </c>
      <c r="P14" s="50">
        <v>50.8</v>
      </c>
      <c r="Q14" s="50">
        <v>50.8</v>
      </c>
      <c r="R14" s="50">
        <v>50.8</v>
      </c>
      <c r="S14" s="50">
        <v>50.8</v>
      </c>
      <c r="T14" s="50">
        <v>50.8</v>
      </c>
      <c r="U14" s="50">
        <v>50.8</v>
      </c>
      <c r="V14" s="50">
        <v>50.8</v>
      </c>
      <c r="W14" s="50">
        <v>50.8</v>
      </c>
      <c r="X14" s="60">
        <v>50.8</v>
      </c>
      <c r="Y14" s="60">
        <v>50.8</v>
      </c>
      <c r="Z14" s="60">
        <v>50.8</v>
      </c>
      <c r="AA14" s="60">
        <v>50.8</v>
      </c>
      <c r="AB14" s="60">
        <v>50.8</v>
      </c>
      <c r="AC14" s="60">
        <v>50.8</v>
      </c>
      <c r="AD14" s="60">
        <v>50.8</v>
      </c>
      <c r="AE14" s="60">
        <v>50.8</v>
      </c>
      <c r="AF14" s="60">
        <v>50.8</v>
      </c>
      <c r="AG14" s="59">
        <v>50</v>
      </c>
      <c r="AH14" s="54">
        <f t="shared" si="2"/>
        <v>50.8</v>
      </c>
      <c r="AI14" s="55">
        <f t="shared" si="3"/>
        <v>50.5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25</v>
      </c>
      <c r="C15" s="60">
        <v>25</v>
      </c>
      <c r="D15" s="60">
        <v>25</v>
      </c>
      <c r="E15" s="60">
        <v>25</v>
      </c>
      <c r="F15" s="60">
        <v>25</v>
      </c>
      <c r="G15" s="60">
        <v>25</v>
      </c>
      <c r="H15" s="60">
        <v>25</v>
      </c>
      <c r="I15" s="60">
        <v>25</v>
      </c>
      <c r="J15" s="60">
        <v>25</v>
      </c>
      <c r="K15" s="60">
        <v>25</v>
      </c>
      <c r="L15" s="60">
        <v>25</v>
      </c>
      <c r="M15" s="60">
        <v>25</v>
      </c>
      <c r="N15" s="60">
        <v>25</v>
      </c>
      <c r="O15" s="50">
        <v>25</v>
      </c>
      <c r="P15" s="50">
        <v>25</v>
      </c>
      <c r="Q15" s="50">
        <v>25</v>
      </c>
      <c r="R15" s="50">
        <v>25</v>
      </c>
      <c r="S15" s="50">
        <v>25</v>
      </c>
      <c r="T15" s="50">
        <v>25</v>
      </c>
      <c r="U15" s="50">
        <v>25</v>
      </c>
      <c r="V15" s="50">
        <v>25</v>
      </c>
      <c r="W15" s="50">
        <v>23.6</v>
      </c>
      <c r="X15" s="60">
        <v>23.6</v>
      </c>
      <c r="Y15" s="60">
        <v>23.6</v>
      </c>
      <c r="Z15" s="60">
        <v>23.6</v>
      </c>
      <c r="AA15" s="60">
        <v>23.6</v>
      </c>
      <c r="AB15" s="60">
        <v>23.6</v>
      </c>
      <c r="AC15" s="60">
        <v>23.6</v>
      </c>
      <c r="AD15" s="60">
        <v>23.6</v>
      </c>
      <c r="AE15" s="60">
        <v>23.6</v>
      </c>
      <c r="AF15" s="60">
        <v>23.6</v>
      </c>
      <c r="AG15" s="62">
        <v>45</v>
      </c>
      <c r="AH15" s="54">
        <f t="shared" si="2"/>
        <v>25</v>
      </c>
      <c r="AI15" s="55">
        <f t="shared" si="3"/>
        <v>23.6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>
        <v>12</v>
      </c>
      <c r="M16" s="63">
        <v>12</v>
      </c>
      <c r="N16" s="63">
        <v>12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63">
        <v>13</v>
      </c>
      <c r="Y16" s="63">
        <v>13</v>
      </c>
      <c r="Z16" s="63">
        <v>13</v>
      </c>
      <c r="AA16" s="63">
        <v>13</v>
      </c>
      <c r="AB16" s="63">
        <v>13</v>
      </c>
      <c r="AC16" s="63">
        <v>13</v>
      </c>
      <c r="AD16" s="63">
        <v>13</v>
      </c>
      <c r="AE16" s="63">
        <v>13</v>
      </c>
      <c r="AF16" s="63">
        <v>13</v>
      </c>
      <c r="AG16" s="59">
        <v>45</v>
      </c>
      <c r="AH16" s="54">
        <f t="shared" si="2"/>
        <v>13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13</v>
      </c>
      <c r="C17" s="60">
        <v>13</v>
      </c>
      <c r="D17" s="60">
        <v>13</v>
      </c>
      <c r="E17" s="60">
        <v>13</v>
      </c>
      <c r="F17" s="60">
        <v>13</v>
      </c>
      <c r="G17" s="60">
        <v>13</v>
      </c>
      <c r="H17" s="60">
        <v>13</v>
      </c>
      <c r="I17" s="60">
        <v>13</v>
      </c>
      <c r="J17" s="60">
        <v>13</v>
      </c>
      <c r="K17" s="60">
        <v>13</v>
      </c>
      <c r="L17" s="60">
        <v>13</v>
      </c>
      <c r="M17" s="60">
        <v>13</v>
      </c>
      <c r="N17" s="60">
        <v>13</v>
      </c>
      <c r="O17" s="60">
        <v>13</v>
      </c>
      <c r="P17" s="60">
        <v>13</v>
      </c>
      <c r="Q17" s="60">
        <v>13</v>
      </c>
      <c r="R17" s="60">
        <v>13</v>
      </c>
      <c r="S17" s="60">
        <v>13</v>
      </c>
      <c r="T17" s="60">
        <v>13</v>
      </c>
      <c r="U17" s="60">
        <v>13</v>
      </c>
      <c r="V17" s="60">
        <v>13</v>
      </c>
      <c r="W17" s="60">
        <v>13</v>
      </c>
      <c r="X17" s="60">
        <v>13</v>
      </c>
      <c r="Y17" s="60">
        <v>13</v>
      </c>
      <c r="Z17" s="60">
        <v>13</v>
      </c>
      <c r="AA17" s="60">
        <v>13</v>
      </c>
      <c r="AB17" s="60">
        <v>13</v>
      </c>
      <c r="AC17" s="60">
        <v>13</v>
      </c>
      <c r="AD17" s="60">
        <v>13</v>
      </c>
      <c r="AE17" s="60">
        <v>13</v>
      </c>
      <c r="AF17" s="6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11.5</v>
      </c>
      <c r="C19" s="50">
        <v>11.5</v>
      </c>
      <c r="D19" s="50">
        <v>11.5</v>
      </c>
      <c r="E19" s="50">
        <v>11.5</v>
      </c>
      <c r="F19" s="50">
        <v>11.5</v>
      </c>
      <c r="G19" s="50">
        <v>11.5</v>
      </c>
      <c r="H19" s="50">
        <v>11.5</v>
      </c>
      <c r="I19" s="50">
        <v>11.5</v>
      </c>
      <c r="J19" s="50">
        <v>11.5</v>
      </c>
      <c r="K19" s="50">
        <v>11.5</v>
      </c>
      <c r="L19" s="50">
        <v>11.5</v>
      </c>
      <c r="M19" s="50">
        <v>11.5</v>
      </c>
      <c r="N19" s="50">
        <v>11.5</v>
      </c>
      <c r="O19" s="50">
        <v>11.5</v>
      </c>
      <c r="P19" s="50">
        <v>11.5</v>
      </c>
      <c r="Q19" s="50">
        <v>11.5</v>
      </c>
      <c r="R19" s="50">
        <v>11.5</v>
      </c>
      <c r="S19" s="50">
        <v>11.5</v>
      </c>
      <c r="T19" s="50">
        <v>11.5</v>
      </c>
      <c r="U19" s="50">
        <v>11.5</v>
      </c>
      <c r="V19" s="50">
        <v>11.5</v>
      </c>
      <c r="W19" s="50">
        <v>11.5</v>
      </c>
      <c r="X19" s="50">
        <v>11.5</v>
      </c>
      <c r="Y19" s="50">
        <v>11.5</v>
      </c>
      <c r="Z19" s="50">
        <v>11.5</v>
      </c>
      <c r="AA19" s="50">
        <v>11.5</v>
      </c>
      <c r="AB19" s="50">
        <v>11.5</v>
      </c>
      <c r="AC19" s="50">
        <v>11.5</v>
      </c>
      <c r="AD19" s="50">
        <v>11.5</v>
      </c>
      <c r="AE19" s="50">
        <v>11.5</v>
      </c>
      <c r="AF19" s="50">
        <v>11.5</v>
      </c>
      <c r="AG19" s="59">
        <v>30</v>
      </c>
      <c r="AH19" s="54">
        <f t="shared" si="2"/>
        <v>11.5</v>
      </c>
      <c r="AI19" s="55">
        <f t="shared" si="3"/>
        <v>11.5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17.399999999999999</v>
      </c>
      <c r="C22" s="50">
        <v>17.399999999999999</v>
      </c>
      <c r="D22" s="50">
        <v>17.399999999999999</v>
      </c>
      <c r="E22" s="50">
        <v>17.399999999999999</v>
      </c>
      <c r="F22" s="50">
        <v>17.399999999999999</v>
      </c>
      <c r="G22" s="50">
        <v>17.399999999999999</v>
      </c>
      <c r="H22" s="50">
        <v>17.399999999999999</v>
      </c>
      <c r="I22" s="50">
        <v>17.399999999999999</v>
      </c>
      <c r="J22" s="50">
        <v>17.399999999999999</v>
      </c>
      <c r="K22" s="50">
        <v>17.399999999999999</v>
      </c>
      <c r="L22" s="50">
        <v>17.399999999999999</v>
      </c>
      <c r="M22" s="50">
        <v>17.399999999999999</v>
      </c>
      <c r="N22" s="50">
        <v>17.399999999999999</v>
      </c>
      <c r="O22" s="50">
        <v>17.399999999999999</v>
      </c>
      <c r="P22" s="50">
        <v>17.399999999999999</v>
      </c>
      <c r="Q22" s="50">
        <v>17.399999999999999</v>
      </c>
      <c r="R22" s="50">
        <v>17.399999999999999</v>
      </c>
      <c r="S22" s="50">
        <v>17.399999999999999</v>
      </c>
      <c r="T22" s="50">
        <v>17.399999999999999</v>
      </c>
      <c r="U22" s="50">
        <v>17.399999999999999</v>
      </c>
      <c r="V22" s="50">
        <v>17.399999999999999</v>
      </c>
      <c r="W22" s="50">
        <v>19.7</v>
      </c>
      <c r="X22" s="50">
        <v>19.7</v>
      </c>
      <c r="Y22" s="50">
        <v>19.7</v>
      </c>
      <c r="Z22" s="50">
        <v>19.7</v>
      </c>
      <c r="AA22" s="50">
        <v>19.7</v>
      </c>
      <c r="AB22" s="50">
        <v>19.7</v>
      </c>
      <c r="AC22" s="50">
        <v>19.7</v>
      </c>
      <c r="AD22" s="50">
        <v>19.7</v>
      </c>
      <c r="AE22" s="50">
        <v>19.7</v>
      </c>
      <c r="AF22" s="50">
        <v>19.7</v>
      </c>
      <c r="AG22" s="59">
        <v>25</v>
      </c>
      <c r="AH22" s="54">
        <f t="shared" si="2"/>
        <v>19.7</v>
      </c>
      <c r="AI22" s="55">
        <f t="shared" si="3"/>
        <v>17.399999999999999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10.5</v>
      </c>
      <c r="X24" s="50">
        <v>10.5</v>
      </c>
      <c r="Y24" s="50">
        <v>10.5</v>
      </c>
      <c r="Z24" s="50">
        <v>10.5</v>
      </c>
      <c r="AA24" s="50">
        <v>10.5</v>
      </c>
      <c r="AB24" s="50">
        <v>10.5</v>
      </c>
      <c r="AC24" s="50">
        <v>10.5</v>
      </c>
      <c r="AD24" s="50">
        <v>10.5</v>
      </c>
      <c r="AE24" s="50">
        <v>10.5</v>
      </c>
      <c r="AF24" s="50">
        <v>10.5</v>
      </c>
      <c r="AG24" s="59">
        <v>25</v>
      </c>
      <c r="AH24" s="54">
        <f t="shared" si="2"/>
        <v>12</v>
      </c>
      <c r="AI24" s="55">
        <f t="shared" si="3"/>
        <v>10.5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10</v>
      </c>
      <c r="C26" s="50">
        <v>10</v>
      </c>
      <c r="D26" s="50">
        <v>10</v>
      </c>
      <c r="E26" s="50">
        <v>10</v>
      </c>
      <c r="F26" s="50">
        <v>10</v>
      </c>
      <c r="G26" s="50">
        <v>10</v>
      </c>
      <c r="H26" s="50">
        <v>10</v>
      </c>
      <c r="I26" s="50">
        <v>10</v>
      </c>
      <c r="J26" s="50">
        <v>10</v>
      </c>
      <c r="K26" s="50">
        <v>10</v>
      </c>
      <c r="L26" s="50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59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v>62.6</v>
      </c>
      <c r="C37" s="61">
        <v>65.8</v>
      </c>
      <c r="D37" s="61">
        <v>65.400000000000006</v>
      </c>
      <c r="E37" s="61">
        <v>65.400000000000006</v>
      </c>
      <c r="F37" s="61">
        <v>65.400000000000006</v>
      </c>
      <c r="G37" s="61">
        <v>65.400000000000006</v>
      </c>
      <c r="H37" s="61">
        <v>65.400000000000006</v>
      </c>
      <c r="I37" s="61">
        <v>65.400000000000006</v>
      </c>
      <c r="J37" s="61">
        <v>65.400000000000006</v>
      </c>
      <c r="K37" s="61">
        <v>65.400000000000006</v>
      </c>
      <c r="L37" s="61">
        <v>65.400000000000006</v>
      </c>
      <c r="M37" s="70">
        <v>65.400000000000006</v>
      </c>
      <c r="N37" s="70">
        <v>65.400000000000006</v>
      </c>
      <c r="O37" s="70">
        <f>23.1+42.1</f>
        <v>65.2</v>
      </c>
      <c r="P37" s="70">
        <f>23.1+42.1</f>
        <v>65.2</v>
      </c>
      <c r="Q37" s="70">
        <f>21.5+37</f>
        <v>58.5</v>
      </c>
      <c r="R37" s="70">
        <f>23.2+43.3</f>
        <v>66.5</v>
      </c>
      <c r="S37" s="70">
        <f>40+22</f>
        <v>62</v>
      </c>
      <c r="T37" s="70">
        <f>40+22</f>
        <v>62</v>
      </c>
      <c r="U37" s="70">
        <f>40+22</f>
        <v>62</v>
      </c>
      <c r="V37" s="70">
        <f>40+22</f>
        <v>62</v>
      </c>
      <c r="W37" s="70">
        <f>40+22</f>
        <v>62</v>
      </c>
      <c r="X37" s="70">
        <v>57.8</v>
      </c>
      <c r="Y37" s="70">
        <v>57.8</v>
      </c>
      <c r="Z37" s="70">
        <v>57.8</v>
      </c>
      <c r="AA37" s="70">
        <v>57.8</v>
      </c>
      <c r="AB37" s="70">
        <v>57.8</v>
      </c>
      <c r="AC37" s="70">
        <v>57.8</v>
      </c>
      <c r="AD37" s="70">
        <v>57.8</v>
      </c>
      <c r="AE37" s="70">
        <v>57.8</v>
      </c>
      <c r="AF37" s="70">
        <v>57.8</v>
      </c>
      <c r="AG37" s="67">
        <v>240</v>
      </c>
      <c r="AH37" s="54">
        <f t="shared" si="2"/>
        <v>66.5</v>
      </c>
      <c r="AI37" s="55">
        <f t="shared" si="3"/>
        <v>57.8</v>
      </c>
      <c r="AK37" s="56"/>
    </row>
    <row r="38" spans="1:88" ht="15.75" thickBot="1" x14ac:dyDescent="0.3">
      <c r="A38" s="71" t="s">
        <v>46</v>
      </c>
      <c r="B38" s="72">
        <f>SUM(B11:B36)</f>
        <v>523.70000000000005</v>
      </c>
      <c r="C38" s="72">
        <f t="shared" ref="C38:AF38" si="4">SUM(C11:C36)</f>
        <v>509.5</v>
      </c>
      <c r="D38" s="72">
        <f t="shared" si="4"/>
        <v>509.29999999999995</v>
      </c>
      <c r="E38" s="72">
        <f t="shared" si="4"/>
        <v>499.79999999999995</v>
      </c>
      <c r="F38" s="72">
        <f t="shared" si="4"/>
        <v>583.70000000000005</v>
      </c>
      <c r="G38" s="72">
        <f t="shared" si="4"/>
        <v>623.70000000000005</v>
      </c>
      <c r="H38" s="72">
        <f t="shared" si="4"/>
        <v>643.70000000000005</v>
      </c>
      <c r="I38" s="72">
        <f t="shared" si="4"/>
        <v>563.70000000000005</v>
      </c>
      <c r="J38" s="72">
        <f t="shared" si="4"/>
        <v>563.70000000000005</v>
      </c>
      <c r="K38" s="72">
        <f t="shared" si="4"/>
        <v>693.7</v>
      </c>
      <c r="L38" s="72">
        <f t="shared" si="4"/>
        <v>763.7</v>
      </c>
      <c r="M38" s="72">
        <f t="shared" si="4"/>
        <v>783.7</v>
      </c>
      <c r="N38" s="72">
        <f t="shared" si="4"/>
        <v>783.7</v>
      </c>
      <c r="O38" s="72">
        <f t="shared" si="4"/>
        <v>544.79999999999995</v>
      </c>
      <c r="P38" s="72">
        <f t="shared" si="4"/>
        <v>484.79999999999995</v>
      </c>
      <c r="Q38" s="72">
        <f t="shared" si="4"/>
        <v>484.79999999999995</v>
      </c>
      <c r="R38" s="72">
        <f t="shared" si="4"/>
        <v>484.79999999999995</v>
      </c>
      <c r="S38" s="72">
        <f t="shared" si="4"/>
        <v>474.79999999999995</v>
      </c>
      <c r="T38" s="72">
        <f t="shared" si="4"/>
        <v>499.79999999999995</v>
      </c>
      <c r="U38" s="72">
        <f t="shared" si="4"/>
        <v>499.79999999999995</v>
      </c>
      <c r="V38" s="72">
        <f t="shared" si="4"/>
        <v>544.79999999999995</v>
      </c>
      <c r="W38" s="72">
        <f t="shared" si="4"/>
        <v>884.2</v>
      </c>
      <c r="X38" s="72">
        <f t="shared" si="4"/>
        <v>920.2</v>
      </c>
      <c r="Y38" s="72">
        <f t="shared" si="4"/>
        <v>854.2</v>
      </c>
      <c r="Z38" s="72">
        <f t="shared" si="4"/>
        <v>644.20000000000005</v>
      </c>
      <c r="AA38" s="72">
        <f t="shared" si="4"/>
        <v>604.20000000000005</v>
      </c>
      <c r="AB38" s="72">
        <f t="shared" si="4"/>
        <v>504.2</v>
      </c>
      <c r="AC38" s="72">
        <f t="shared" si="4"/>
        <v>504.2</v>
      </c>
      <c r="AD38" s="72">
        <f t="shared" si="4"/>
        <v>544.19999999999993</v>
      </c>
      <c r="AE38" s="72">
        <f t="shared" si="4"/>
        <v>544.19999999999993</v>
      </c>
      <c r="AF38" s="72">
        <f t="shared" si="4"/>
        <v>524.20000000000005</v>
      </c>
      <c r="AG38" s="67">
        <f>SUM(AG11:AG37)</f>
        <v>1492.8299999999997</v>
      </c>
      <c r="AH38" s="54">
        <f t="shared" si="2"/>
        <v>920.2</v>
      </c>
      <c r="AI38" s="55">
        <f t="shared" si="3"/>
        <v>474.79999999999995</v>
      </c>
      <c r="AK38" s="56"/>
    </row>
    <row r="39" spans="1:88" x14ac:dyDescent="0.25">
      <c r="A39" s="57" t="s">
        <v>47</v>
      </c>
      <c r="B39" s="49">
        <v>48</v>
      </c>
      <c r="C39" s="61">
        <v>46.2</v>
      </c>
      <c r="D39" s="61">
        <v>40.700000000000003</v>
      </c>
      <c r="E39" s="61">
        <v>30.6</v>
      </c>
      <c r="F39" s="61">
        <v>30.5</v>
      </c>
      <c r="G39" s="61">
        <v>36</v>
      </c>
      <c r="H39" s="61">
        <v>40.6</v>
      </c>
      <c r="I39" s="61">
        <v>61.8</v>
      </c>
      <c r="J39" s="61">
        <v>97.4</v>
      </c>
      <c r="K39" s="61">
        <v>141</v>
      </c>
      <c r="L39" s="61">
        <v>141.9</v>
      </c>
      <c r="M39" s="61">
        <v>142.5</v>
      </c>
      <c r="N39" s="50">
        <v>145.80000000000001</v>
      </c>
      <c r="O39" s="50">
        <v>145.69999999999999</v>
      </c>
      <c r="P39" s="50">
        <v>145.4</v>
      </c>
      <c r="Q39" s="50">
        <v>138.5</v>
      </c>
      <c r="R39" s="50">
        <v>114.8</v>
      </c>
      <c r="S39" s="50">
        <v>90.7</v>
      </c>
      <c r="T39" s="50">
        <v>90.7</v>
      </c>
      <c r="U39" s="50">
        <v>90.7</v>
      </c>
      <c r="V39" s="50">
        <v>136.6</v>
      </c>
      <c r="W39" s="50">
        <v>142.6</v>
      </c>
      <c r="X39" s="50">
        <v>144.69999999999999</v>
      </c>
      <c r="Y39" s="50">
        <v>144.69999999999999</v>
      </c>
      <c r="Z39" s="50">
        <v>144.69999999999999</v>
      </c>
      <c r="AA39" s="50">
        <v>144.69999999999999</v>
      </c>
      <c r="AB39" s="50">
        <v>121</v>
      </c>
      <c r="AC39" s="50">
        <v>80.7</v>
      </c>
      <c r="AD39" s="50">
        <v>61.48</v>
      </c>
      <c r="AE39" s="50">
        <v>48.6</v>
      </c>
      <c r="AF39" s="49">
        <v>45.7</v>
      </c>
      <c r="AG39" s="62">
        <v>144</v>
      </c>
      <c r="AH39" s="54">
        <f t="shared" si="2"/>
        <v>145.80000000000001</v>
      </c>
      <c r="AI39" s="55">
        <f t="shared" si="3"/>
        <v>30.5</v>
      </c>
      <c r="AK39" s="56"/>
    </row>
    <row r="40" spans="1:88" x14ac:dyDescent="0.25">
      <c r="A40" s="66" t="s">
        <v>48</v>
      </c>
      <c r="B40" s="61">
        <v>34.5</v>
      </c>
      <c r="C40" s="61">
        <v>32.6</v>
      </c>
      <c r="D40" s="61">
        <v>34.799999999999997</v>
      </c>
      <c r="E40" s="61">
        <v>22.8</v>
      </c>
      <c r="F40" s="61">
        <v>0</v>
      </c>
      <c r="G40" s="61">
        <v>0</v>
      </c>
      <c r="H40" s="61">
        <v>23.1</v>
      </c>
      <c r="I40" s="61">
        <v>35.4</v>
      </c>
      <c r="J40" s="61">
        <v>35.6</v>
      </c>
      <c r="K40" s="61">
        <v>35.6</v>
      </c>
      <c r="L40" s="61">
        <v>71.599999999999994</v>
      </c>
      <c r="M40" s="61">
        <v>71.8</v>
      </c>
      <c r="N40" s="73">
        <v>71.900000000000006</v>
      </c>
      <c r="O40" s="73">
        <v>71.599999999999994</v>
      </c>
      <c r="P40" s="73">
        <v>56.4</v>
      </c>
      <c r="Q40" s="73">
        <v>45.1</v>
      </c>
      <c r="R40" s="73">
        <v>46.2</v>
      </c>
      <c r="S40" s="73">
        <v>45.3</v>
      </c>
      <c r="T40" s="73">
        <v>45.3</v>
      </c>
      <c r="U40" s="73">
        <v>45.3</v>
      </c>
      <c r="V40" s="73">
        <v>59.4</v>
      </c>
      <c r="W40" s="73">
        <v>59</v>
      </c>
      <c r="X40" s="73">
        <v>68.7</v>
      </c>
      <c r="Y40" s="73">
        <v>68.7</v>
      </c>
      <c r="Z40" s="73">
        <v>68.7</v>
      </c>
      <c r="AA40" s="73">
        <v>68.7</v>
      </c>
      <c r="AB40" s="73">
        <v>68.900000000000006</v>
      </c>
      <c r="AC40" s="73">
        <v>59.9</v>
      </c>
      <c r="AD40" s="73">
        <v>55</v>
      </c>
      <c r="AE40" s="73">
        <v>45</v>
      </c>
      <c r="AF40" s="73">
        <v>30</v>
      </c>
      <c r="AG40" s="67">
        <v>70</v>
      </c>
      <c r="AH40" s="54">
        <f t="shared" si="2"/>
        <v>71.900000000000006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68.599999999999994</v>
      </c>
      <c r="C41" s="61">
        <v>67.3</v>
      </c>
      <c r="D41" s="61">
        <v>68.7</v>
      </c>
      <c r="E41" s="61">
        <v>68.8</v>
      </c>
      <c r="F41" s="61">
        <v>36.1</v>
      </c>
      <c r="G41" s="61">
        <v>35.799999999999997</v>
      </c>
      <c r="H41" s="61">
        <v>35.799999999999997</v>
      </c>
      <c r="I41" s="61">
        <v>36.299999999999997</v>
      </c>
      <c r="J41" s="61">
        <v>47.1</v>
      </c>
      <c r="K41" s="61">
        <v>55</v>
      </c>
      <c r="L41" s="61">
        <v>67</v>
      </c>
      <c r="M41" s="61">
        <v>67</v>
      </c>
      <c r="N41" s="73">
        <v>67.400000000000006</v>
      </c>
      <c r="O41" s="73">
        <v>67.099999999999994</v>
      </c>
      <c r="P41" s="73">
        <v>43.6</v>
      </c>
      <c r="Q41" s="73">
        <v>31.6</v>
      </c>
      <c r="R41" s="73">
        <v>32.4</v>
      </c>
      <c r="S41" s="73">
        <v>32.1</v>
      </c>
      <c r="T41" s="73">
        <v>32.1</v>
      </c>
      <c r="U41" s="73">
        <v>32.1</v>
      </c>
      <c r="V41" s="73">
        <v>68.5</v>
      </c>
      <c r="W41" s="73">
        <v>67.900000000000006</v>
      </c>
      <c r="X41" s="73">
        <v>68.400000000000006</v>
      </c>
      <c r="Y41" s="73">
        <v>68.400000000000006</v>
      </c>
      <c r="Z41" s="73">
        <v>68.400000000000006</v>
      </c>
      <c r="AA41" s="73">
        <v>68.400000000000006</v>
      </c>
      <c r="AB41" s="73">
        <v>68</v>
      </c>
      <c r="AC41" s="73">
        <v>62.6</v>
      </c>
      <c r="AD41" s="73">
        <v>62.6</v>
      </c>
      <c r="AE41" s="73">
        <v>52.5</v>
      </c>
      <c r="AF41" s="73">
        <v>51.9</v>
      </c>
      <c r="AG41" s="67">
        <v>69</v>
      </c>
      <c r="AH41" s="54">
        <f t="shared" si="2"/>
        <v>68.8</v>
      </c>
      <c r="AI41" s="55">
        <f t="shared" si="3"/>
        <v>31.6</v>
      </c>
      <c r="AK41" s="56"/>
    </row>
    <row r="42" spans="1:88" x14ac:dyDescent="0.25">
      <c r="A42" s="66" t="s">
        <v>50</v>
      </c>
      <c r="B42" s="61">
        <v>60.7</v>
      </c>
      <c r="C42" s="61">
        <v>60.7</v>
      </c>
      <c r="D42" s="61">
        <v>60.9</v>
      </c>
      <c r="E42" s="61">
        <v>60.7</v>
      </c>
      <c r="F42" s="61">
        <v>60.9</v>
      </c>
      <c r="G42" s="61">
        <v>60.9</v>
      </c>
      <c r="H42" s="61">
        <v>60.7</v>
      </c>
      <c r="I42" s="61">
        <v>60.7</v>
      </c>
      <c r="J42" s="61">
        <v>60.7</v>
      </c>
      <c r="K42" s="61">
        <v>60.7</v>
      </c>
      <c r="L42" s="61">
        <v>60.9</v>
      </c>
      <c r="M42" s="61">
        <v>60.9</v>
      </c>
      <c r="N42" s="73">
        <v>60</v>
      </c>
      <c r="O42" s="73">
        <v>60.2</v>
      </c>
      <c r="P42" s="73">
        <v>60.2</v>
      </c>
      <c r="Q42" s="73">
        <v>60.2</v>
      </c>
      <c r="R42" s="73">
        <v>60.1</v>
      </c>
      <c r="S42" s="73">
        <v>60.1</v>
      </c>
      <c r="T42" s="73">
        <v>60.1</v>
      </c>
      <c r="U42" s="73">
        <v>60.1</v>
      </c>
      <c r="V42" s="73">
        <v>60.1</v>
      </c>
      <c r="W42" s="73">
        <v>60</v>
      </c>
      <c r="X42" s="73">
        <v>60</v>
      </c>
      <c r="Y42" s="73">
        <v>60</v>
      </c>
      <c r="Z42" s="73">
        <v>60</v>
      </c>
      <c r="AA42" s="73">
        <v>60</v>
      </c>
      <c r="AB42" s="73">
        <v>60</v>
      </c>
      <c r="AC42" s="73">
        <v>60</v>
      </c>
      <c r="AD42" s="73">
        <v>60</v>
      </c>
      <c r="AE42" s="73">
        <v>60</v>
      </c>
      <c r="AF42" s="73">
        <v>60</v>
      </c>
      <c r="AG42" s="67">
        <v>60</v>
      </c>
      <c r="AH42" s="54">
        <f t="shared" si="2"/>
        <v>60.9</v>
      </c>
      <c r="AI42" s="55">
        <f t="shared" si="3"/>
        <v>60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9.8000000000000007</v>
      </c>
      <c r="E43" s="61">
        <v>15</v>
      </c>
      <c r="F43" s="61">
        <v>15</v>
      </c>
      <c r="G43" s="61">
        <v>15</v>
      </c>
      <c r="H43" s="61">
        <v>22.8</v>
      </c>
      <c r="I43" s="61">
        <v>22.8</v>
      </c>
      <c r="J43" s="61">
        <v>30.1</v>
      </c>
      <c r="K43" s="61">
        <v>30.1</v>
      </c>
      <c r="L43" s="61">
        <v>28.5</v>
      </c>
      <c r="M43" s="61">
        <v>28.5</v>
      </c>
      <c r="N43" s="50">
        <v>27.9</v>
      </c>
      <c r="O43" s="50">
        <v>10.7</v>
      </c>
      <c r="P43" s="50">
        <v>0</v>
      </c>
      <c r="Q43" s="50">
        <v>0</v>
      </c>
      <c r="R43" s="50">
        <v>0</v>
      </c>
      <c r="S43" s="50">
        <v>0</v>
      </c>
      <c r="T43" s="50">
        <v>10</v>
      </c>
      <c r="U43" s="50">
        <v>10</v>
      </c>
      <c r="V43" s="50">
        <v>30</v>
      </c>
      <c r="W43" s="50">
        <v>30</v>
      </c>
      <c r="X43" s="50">
        <v>30</v>
      </c>
      <c r="Y43" s="50">
        <v>30</v>
      </c>
      <c r="Z43" s="50">
        <v>30</v>
      </c>
      <c r="AA43" s="50">
        <v>30</v>
      </c>
      <c r="AB43" s="50">
        <v>30</v>
      </c>
      <c r="AC43" s="50">
        <v>30</v>
      </c>
      <c r="AD43" s="50">
        <v>15</v>
      </c>
      <c r="AE43" s="50">
        <v>10.3</v>
      </c>
      <c r="AF43" s="50">
        <v>10.3</v>
      </c>
      <c r="AG43" s="67">
        <v>30</v>
      </c>
      <c r="AH43" s="54">
        <f t="shared" si="2"/>
        <v>30.1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2.5</v>
      </c>
      <c r="C46" s="50">
        <v>2.5</v>
      </c>
      <c r="D46" s="50">
        <v>2.5</v>
      </c>
      <c r="E46" s="50">
        <v>2.5</v>
      </c>
      <c r="F46" s="50">
        <v>2.5</v>
      </c>
      <c r="G46" s="50">
        <v>2.5</v>
      </c>
      <c r="H46" s="50">
        <v>2.5</v>
      </c>
      <c r="I46" s="50">
        <v>2.5</v>
      </c>
      <c r="J46" s="50">
        <v>2.5</v>
      </c>
      <c r="K46" s="50">
        <v>2.5</v>
      </c>
      <c r="L46" s="50">
        <v>2.5</v>
      </c>
      <c r="M46" s="50">
        <v>2.5</v>
      </c>
      <c r="N46" s="50">
        <v>2.5</v>
      </c>
      <c r="O46" s="50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50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</v>
      </c>
      <c r="C48" s="50">
        <v>6</v>
      </c>
      <c r="D48" s="50">
        <v>6</v>
      </c>
      <c r="E48" s="50">
        <v>6</v>
      </c>
      <c r="F48" s="50">
        <v>6</v>
      </c>
      <c r="G48" s="50">
        <v>6</v>
      </c>
      <c r="H48" s="50">
        <v>6</v>
      </c>
      <c r="I48" s="50">
        <v>6</v>
      </c>
      <c r="J48" s="50">
        <v>6</v>
      </c>
      <c r="K48" s="50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50">
        <v>8</v>
      </c>
      <c r="C49" s="50">
        <v>8</v>
      </c>
      <c r="D49" s="50">
        <v>8</v>
      </c>
      <c r="E49" s="50">
        <v>8</v>
      </c>
      <c r="F49" s="50">
        <v>8</v>
      </c>
      <c r="G49" s="50">
        <v>8</v>
      </c>
      <c r="H49" s="50">
        <v>8</v>
      </c>
      <c r="I49" s="50">
        <v>8</v>
      </c>
      <c r="J49" s="50">
        <v>8</v>
      </c>
      <c r="K49" s="50">
        <v>8</v>
      </c>
      <c r="L49" s="50">
        <v>8</v>
      </c>
      <c r="M49" s="50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50">
        <v>4.4000000000000004</v>
      </c>
      <c r="C50" s="50">
        <v>4.4000000000000004</v>
      </c>
      <c r="D50" s="50">
        <v>4.4000000000000004</v>
      </c>
      <c r="E50" s="50">
        <v>4.4000000000000004</v>
      </c>
      <c r="F50" s="50">
        <v>4.4000000000000004</v>
      </c>
      <c r="G50" s="50">
        <v>4.4000000000000004</v>
      </c>
      <c r="H50" s="50">
        <v>4.4000000000000004</v>
      </c>
      <c r="I50" s="50">
        <v>4.4000000000000004</v>
      </c>
      <c r="J50" s="50">
        <v>4.4000000000000004</v>
      </c>
      <c r="K50" s="50">
        <v>4.4000000000000004</v>
      </c>
      <c r="L50" s="50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5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267.24</v>
      </c>
      <c r="C52" s="72">
        <f t="shared" ref="C52:AF52" si="7">SUM(C39:C51)</f>
        <v>262.24</v>
      </c>
      <c r="D52" s="72">
        <f t="shared" si="7"/>
        <v>270.33999999999997</v>
      </c>
      <c r="E52" s="72">
        <f t="shared" si="7"/>
        <v>253.34</v>
      </c>
      <c r="F52" s="72">
        <f t="shared" si="7"/>
        <v>197.94</v>
      </c>
      <c r="G52" s="72">
        <f t="shared" si="7"/>
        <v>203.14</v>
      </c>
      <c r="H52" s="72">
        <f t="shared" si="7"/>
        <v>238.44</v>
      </c>
      <c r="I52" s="72">
        <f t="shared" si="7"/>
        <v>272.44</v>
      </c>
      <c r="J52" s="72">
        <f t="shared" si="7"/>
        <v>326.34000000000003</v>
      </c>
      <c r="K52" s="72">
        <f t="shared" si="7"/>
        <v>377.84000000000003</v>
      </c>
      <c r="L52" s="72">
        <f t="shared" si="7"/>
        <v>425.34</v>
      </c>
      <c r="M52" s="72">
        <f t="shared" si="7"/>
        <v>426.14</v>
      </c>
      <c r="N52" s="72">
        <f t="shared" si="7"/>
        <v>428.44</v>
      </c>
      <c r="O52" s="72">
        <f t="shared" si="7"/>
        <v>410.73999999999995</v>
      </c>
      <c r="P52" s="72">
        <f t="shared" si="7"/>
        <v>361.04</v>
      </c>
      <c r="Q52" s="72">
        <f t="shared" si="7"/>
        <v>330.84</v>
      </c>
      <c r="R52" s="72">
        <f t="shared" si="7"/>
        <v>308.94</v>
      </c>
      <c r="S52" s="72">
        <f t="shared" si="7"/>
        <v>283.64</v>
      </c>
      <c r="T52" s="72">
        <f t="shared" si="7"/>
        <v>293.64</v>
      </c>
      <c r="U52" s="72">
        <f t="shared" si="7"/>
        <v>293.64</v>
      </c>
      <c r="V52" s="72">
        <f t="shared" si="7"/>
        <v>410.04</v>
      </c>
      <c r="W52" s="72">
        <f t="shared" si="7"/>
        <v>414.94</v>
      </c>
      <c r="X52" s="72">
        <f t="shared" si="7"/>
        <v>427.23999999999995</v>
      </c>
      <c r="Y52" s="72">
        <f t="shared" si="7"/>
        <v>427.23999999999995</v>
      </c>
      <c r="Z52" s="72">
        <f t="shared" si="7"/>
        <v>427.23999999999995</v>
      </c>
      <c r="AA52" s="72">
        <f t="shared" si="7"/>
        <v>427.23999999999995</v>
      </c>
      <c r="AB52" s="72">
        <f t="shared" si="7"/>
        <v>403.34</v>
      </c>
      <c r="AC52" s="72">
        <f t="shared" si="7"/>
        <v>348.64</v>
      </c>
      <c r="AD52" s="72">
        <f t="shared" si="7"/>
        <v>309.52</v>
      </c>
      <c r="AE52" s="72">
        <f t="shared" si="7"/>
        <v>271.83999999999997</v>
      </c>
      <c r="AF52" s="72">
        <f t="shared" si="7"/>
        <v>253.34</v>
      </c>
      <c r="AG52" s="78">
        <f>SUM(AG39:AG51)</f>
        <v>489.91</v>
      </c>
      <c r="AH52" s="54">
        <f t="shared" si="2"/>
        <v>428.44</v>
      </c>
      <c r="AI52" s="55">
        <f t="shared" si="3"/>
        <v>197.94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41</v>
      </c>
      <c r="L53" s="61">
        <v>41</v>
      </c>
      <c r="M53" s="79">
        <v>49.9</v>
      </c>
      <c r="N53" s="79">
        <v>49.9</v>
      </c>
      <c r="O53" s="79">
        <v>30.3</v>
      </c>
      <c r="P53" s="79">
        <v>55.2</v>
      </c>
      <c r="Q53" s="50">
        <v>55</v>
      </c>
      <c r="R53" s="50">
        <v>51.9</v>
      </c>
      <c r="S53" s="50">
        <v>51.9</v>
      </c>
      <c r="T53" s="50">
        <v>51.9</v>
      </c>
      <c r="U53" s="50">
        <v>52.3</v>
      </c>
      <c r="V53" s="50">
        <v>53</v>
      </c>
      <c r="W53" s="50">
        <v>53.8</v>
      </c>
      <c r="X53" s="50">
        <v>59.8</v>
      </c>
      <c r="Y53" s="50">
        <v>59.8</v>
      </c>
      <c r="Z53" s="50">
        <v>59.8</v>
      </c>
      <c r="AA53" s="50">
        <v>55</v>
      </c>
      <c r="AB53" s="50">
        <v>39.200000000000003</v>
      </c>
      <c r="AC53" s="50">
        <v>45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59.8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19.899999999999999</v>
      </c>
      <c r="L54" s="61">
        <v>19.3</v>
      </c>
      <c r="M54" s="79">
        <v>19.8</v>
      </c>
      <c r="N54" s="79">
        <v>23.2</v>
      </c>
      <c r="O54" s="79">
        <v>15.4</v>
      </c>
      <c r="P54" s="79">
        <v>25.7</v>
      </c>
      <c r="Q54" s="73">
        <v>28.2</v>
      </c>
      <c r="R54" s="73">
        <v>24.6</v>
      </c>
      <c r="S54" s="50">
        <v>23</v>
      </c>
      <c r="T54" s="50">
        <v>25</v>
      </c>
      <c r="U54" s="50">
        <v>25.8</v>
      </c>
      <c r="V54" s="73">
        <v>25.7</v>
      </c>
      <c r="W54" s="73">
        <v>24.9</v>
      </c>
      <c r="X54" s="73">
        <v>29.6</v>
      </c>
      <c r="Y54" s="73">
        <v>29.6</v>
      </c>
      <c r="Z54" s="73">
        <v>29.6</v>
      </c>
      <c r="AA54" s="73">
        <v>26</v>
      </c>
      <c r="AB54" s="73">
        <v>23</v>
      </c>
      <c r="AC54" s="73">
        <v>21.6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29.6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7.3</v>
      </c>
      <c r="L55" s="74">
        <v>7</v>
      </c>
      <c r="M55" s="81">
        <v>7.2</v>
      </c>
      <c r="N55" s="81">
        <v>8.5</v>
      </c>
      <c r="O55" s="81">
        <v>5.6</v>
      </c>
      <c r="P55" s="81">
        <v>9.4</v>
      </c>
      <c r="Q55" s="80">
        <v>10.3</v>
      </c>
      <c r="R55" s="80">
        <v>9</v>
      </c>
      <c r="S55" s="50">
        <v>8.4</v>
      </c>
      <c r="T55" s="50">
        <v>8.4</v>
      </c>
      <c r="U55" s="50">
        <v>9.4</v>
      </c>
      <c r="V55" s="80">
        <v>9.4</v>
      </c>
      <c r="W55" s="80">
        <v>9.1</v>
      </c>
      <c r="X55" s="80">
        <v>10.8</v>
      </c>
      <c r="Y55" s="80">
        <v>10.8</v>
      </c>
      <c r="Z55" s="80">
        <v>10.8</v>
      </c>
      <c r="AA55" s="80">
        <v>9.5</v>
      </c>
      <c r="AB55" s="80">
        <v>8.4</v>
      </c>
      <c r="AC55" s="80">
        <v>7.9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10.8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68.2</v>
      </c>
      <c r="L56" s="72">
        <f t="shared" si="8"/>
        <v>67.3</v>
      </c>
      <c r="M56" s="72">
        <f t="shared" si="8"/>
        <v>76.900000000000006</v>
      </c>
      <c r="N56" s="72">
        <f t="shared" si="8"/>
        <v>81.599999999999994</v>
      </c>
      <c r="O56" s="72">
        <f t="shared" si="8"/>
        <v>51.300000000000004</v>
      </c>
      <c r="P56" s="72">
        <f t="shared" si="8"/>
        <v>90.300000000000011</v>
      </c>
      <c r="Q56" s="72">
        <f t="shared" si="8"/>
        <v>93.5</v>
      </c>
      <c r="R56" s="72">
        <f t="shared" si="8"/>
        <v>85.5</v>
      </c>
      <c r="S56" s="72">
        <f t="shared" si="8"/>
        <v>83.300000000000011</v>
      </c>
      <c r="T56" s="72">
        <f t="shared" si="8"/>
        <v>85.300000000000011</v>
      </c>
      <c r="U56" s="72">
        <f t="shared" si="8"/>
        <v>87.5</v>
      </c>
      <c r="V56" s="72">
        <f t="shared" si="8"/>
        <v>88.100000000000009</v>
      </c>
      <c r="W56" s="72">
        <f t="shared" si="8"/>
        <v>87.799999999999983</v>
      </c>
      <c r="X56" s="72">
        <f t="shared" si="8"/>
        <v>100.2</v>
      </c>
      <c r="Y56" s="72">
        <f t="shared" si="8"/>
        <v>100.2</v>
      </c>
      <c r="Z56" s="72">
        <f t="shared" si="8"/>
        <v>100.2</v>
      </c>
      <c r="AA56" s="72">
        <f t="shared" si="8"/>
        <v>90.5</v>
      </c>
      <c r="AB56" s="72">
        <f t="shared" si="8"/>
        <v>70.600000000000009</v>
      </c>
      <c r="AC56" s="72">
        <f t="shared" si="8"/>
        <v>74.5</v>
      </c>
      <c r="AD56" s="72">
        <f t="shared" si="8"/>
        <v>0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100.2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51</v>
      </c>
      <c r="C57" s="50">
        <v>56.6</v>
      </c>
      <c r="D57" s="50">
        <v>54.7</v>
      </c>
      <c r="E57" s="50">
        <v>51</v>
      </c>
      <c r="F57" s="50">
        <v>67.400000000000006</v>
      </c>
      <c r="G57" s="50">
        <v>67</v>
      </c>
      <c r="H57" s="50">
        <v>66.8</v>
      </c>
      <c r="I57" s="50">
        <v>53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59</v>
      </c>
      <c r="AD57" s="50">
        <v>56</v>
      </c>
      <c r="AE57" s="50">
        <v>50</v>
      </c>
      <c r="AF57" s="50">
        <v>50</v>
      </c>
      <c r="AG57" s="62"/>
      <c r="AH57" s="54">
        <f t="shared" si="2"/>
        <v>67.400000000000006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118</v>
      </c>
      <c r="C59" s="73">
        <v>87.9</v>
      </c>
      <c r="D59" s="73">
        <v>81.400000000000006</v>
      </c>
      <c r="E59" s="73">
        <v>86.9</v>
      </c>
      <c r="F59" s="73">
        <v>90</v>
      </c>
      <c r="G59" s="73">
        <v>128</v>
      </c>
      <c r="H59" s="50">
        <v>145</v>
      </c>
      <c r="I59" s="50">
        <v>224</v>
      </c>
      <c r="J59" s="50">
        <v>242</v>
      </c>
      <c r="K59" s="50">
        <v>144</v>
      </c>
      <c r="L59" s="50">
        <v>142.30000000000001</v>
      </c>
      <c r="M59" s="73">
        <v>135</v>
      </c>
      <c r="N59" s="73">
        <v>25</v>
      </c>
      <c r="O59" s="73">
        <v>305</v>
      </c>
      <c r="P59" s="73">
        <v>302</v>
      </c>
      <c r="Q59" s="73">
        <v>300</v>
      </c>
      <c r="R59" s="73">
        <v>324</v>
      </c>
      <c r="S59" s="73">
        <v>349</v>
      </c>
      <c r="T59" s="73">
        <f>170+170</f>
        <v>340</v>
      </c>
      <c r="U59" s="73">
        <f>174+174</f>
        <v>348</v>
      </c>
      <c r="V59" s="73">
        <f>154+154</f>
        <v>308</v>
      </c>
      <c r="W59" s="73">
        <f>28+28</f>
        <v>56</v>
      </c>
      <c r="X59" s="84">
        <v>50</v>
      </c>
      <c r="Y59" s="84">
        <v>96</v>
      </c>
      <c r="Z59" s="84">
        <v>226</v>
      </c>
      <c r="AA59" s="84">
        <v>240</v>
      </c>
      <c r="AB59" s="84">
        <v>330</v>
      </c>
      <c r="AC59" s="84">
        <v>289</v>
      </c>
      <c r="AD59" s="84">
        <v>220</v>
      </c>
      <c r="AE59" s="73">
        <v>210</v>
      </c>
      <c r="AF59" s="73">
        <v>135</v>
      </c>
      <c r="AG59" s="85"/>
      <c r="AH59" s="54">
        <f t="shared" si="2"/>
        <v>349</v>
      </c>
      <c r="AI59" s="55">
        <f t="shared" si="3"/>
        <v>25</v>
      </c>
      <c r="AK59" s="56"/>
    </row>
    <row r="60" spans="1:37" x14ac:dyDescent="0.25">
      <c r="A60" s="66" t="s">
        <v>68</v>
      </c>
      <c r="B60" s="73">
        <v>0</v>
      </c>
      <c r="C60" s="73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38</v>
      </c>
      <c r="J60" s="58">
        <v>51</v>
      </c>
      <c r="K60" s="58">
        <v>48</v>
      </c>
      <c r="L60" s="58">
        <v>52</v>
      </c>
      <c r="M60" s="73">
        <v>45</v>
      </c>
      <c r="N60" s="73">
        <v>55</v>
      </c>
      <c r="O60" s="73">
        <v>53</v>
      </c>
      <c r="P60" s="73">
        <v>57</v>
      </c>
      <c r="Q60" s="73">
        <v>58</v>
      </c>
      <c r="R60" s="73">
        <v>51</v>
      </c>
      <c r="S60" s="73">
        <v>51</v>
      </c>
      <c r="T60" s="73">
        <v>52</v>
      </c>
      <c r="U60" s="73">
        <v>50</v>
      </c>
      <c r="V60" s="73">
        <v>54</v>
      </c>
      <c r="W60" s="73">
        <v>55</v>
      </c>
      <c r="X60" s="73">
        <v>56</v>
      </c>
      <c r="Y60" s="73">
        <v>50</v>
      </c>
      <c r="Z60" s="73">
        <v>53</v>
      </c>
      <c r="AA60" s="73">
        <v>47</v>
      </c>
      <c r="AB60" s="73">
        <v>47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58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89.1</v>
      </c>
      <c r="K61" s="58">
        <v>63.1</v>
      </c>
      <c r="L61" s="58">
        <v>87.2</v>
      </c>
      <c r="M61" s="50">
        <v>78.8</v>
      </c>
      <c r="N61" s="50">
        <v>80.8</v>
      </c>
      <c r="O61" s="50">
        <v>79.099999999999994</v>
      </c>
      <c r="P61" s="50">
        <v>66.900000000000006</v>
      </c>
      <c r="Q61" s="50">
        <v>65.099999999999994</v>
      </c>
      <c r="R61" s="50">
        <v>75.400000000000006</v>
      </c>
      <c r="S61" s="50">
        <v>75.400000000000006</v>
      </c>
      <c r="T61" s="50">
        <v>70</v>
      </c>
      <c r="U61" s="50">
        <v>75.400000000000006</v>
      </c>
      <c r="V61" s="50">
        <v>78.8</v>
      </c>
      <c r="W61" s="50">
        <v>81.8</v>
      </c>
      <c r="X61" s="50">
        <v>58</v>
      </c>
      <c r="Y61" s="50">
        <v>78</v>
      </c>
      <c r="Z61" s="50">
        <v>78.900000000000006</v>
      </c>
      <c r="AA61" s="50">
        <v>77</v>
      </c>
      <c r="AB61" s="50">
        <v>73.5</v>
      </c>
      <c r="AC61" s="50">
        <v>66.3</v>
      </c>
      <c r="AD61" s="50">
        <v>66.3</v>
      </c>
      <c r="AE61" s="50">
        <v>0</v>
      </c>
      <c r="AF61" s="50">
        <v>0</v>
      </c>
      <c r="AG61" s="85"/>
      <c r="AH61" s="54">
        <f t="shared" si="2"/>
        <v>89.1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9</v>
      </c>
      <c r="AC66" s="63">
        <v>9</v>
      </c>
      <c r="AD66" s="63">
        <v>0</v>
      </c>
      <c r="AE66" s="63">
        <v>0</v>
      </c>
      <c r="AF66" s="63">
        <v>0</v>
      </c>
      <c r="AG66" s="87"/>
      <c r="AH66" s="54">
        <f t="shared" si="2"/>
        <v>9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169</v>
      </c>
      <c r="C68" s="72">
        <f>SUM(C57:C67)</f>
        <v>144.5</v>
      </c>
      <c r="D68" s="72">
        <f t="shared" ref="D68:AF68" si="9">SUM(D57:D67)</f>
        <v>136.10000000000002</v>
      </c>
      <c r="E68" s="72">
        <f t="shared" si="9"/>
        <v>137.9</v>
      </c>
      <c r="F68" s="72">
        <f t="shared" si="9"/>
        <v>157.4</v>
      </c>
      <c r="G68" s="72">
        <f t="shared" si="9"/>
        <v>195</v>
      </c>
      <c r="H68" s="72">
        <f t="shared" si="9"/>
        <v>211.8</v>
      </c>
      <c r="I68" s="72">
        <f t="shared" si="9"/>
        <v>315</v>
      </c>
      <c r="J68" s="72">
        <f t="shared" si="9"/>
        <v>382.1</v>
      </c>
      <c r="K68" s="72">
        <f t="shared" si="9"/>
        <v>255.1</v>
      </c>
      <c r="L68" s="72">
        <f t="shared" si="9"/>
        <v>281.5</v>
      </c>
      <c r="M68" s="72">
        <f t="shared" si="9"/>
        <v>258.8</v>
      </c>
      <c r="N68" s="72">
        <f t="shared" si="9"/>
        <v>160.80000000000001</v>
      </c>
      <c r="O68" s="72">
        <f t="shared" si="9"/>
        <v>437.1</v>
      </c>
      <c r="P68" s="72">
        <f t="shared" si="9"/>
        <v>425.9</v>
      </c>
      <c r="Q68" s="72">
        <f t="shared" si="9"/>
        <v>423.1</v>
      </c>
      <c r="R68" s="72">
        <f t="shared" si="9"/>
        <v>450.4</v>
      </c>
      <c r="S68" s="72">
        <f t="shared" si="9"/>
        <v>475.4</v>
      </c>
      <c r="T68" s="72">
        <f t="shared" si="9"/>
        <v>462</v>
      </c>
      <c r="U68" s="72">
        <f t="shared" si="9"/>
        <v>473.4</v>
      </c>
      <c r="V68" s="72">
        <f t="shared" si="9"/>
        <v>440.8</v>
      </c>
      <c r="W68" s="72">
        <f t="shared" si="9"/>
        <v>192.8</v>
      </c>
      <c r="X68" s="72">
        <f t="shared" si="9"/>
        <v>164</v>
      </c>
      <c r="Y68" s="72">
        <f t="shared" si="9"/>
        <v>224</v>
      </c>
      <c r="Z68" s="72">
        <f t="shared" si="9"/>
        <v>357.9</v>
      </c>
      <c r="AA68" s="72">
        <f t="shared" si="9"/>
        <v>364</v>
      </c>
      <c r="AB68" s="72">
        <f t="shared" si="9"/>
        <v>459.5</v>
      </c>
      <c r="AC68" s="72">
        <f t="shared" si="9"/>
        <v>423.3</v>
      </c>
      <c r="AD68" s="72">
        <f t="shared" si="9"/>
        <v>342.3</v>
      </c>
      <c r="AE68" s="72">
        <f t="shared" si="9"/>
        <v>260</v>
      </c>
      <c r="AF68" s="72">
        <f t="shared" si="9"/>
        <v>185</v>
      </c>
      <c r="AG68" s="78">
        <f>SUM(AG57:AG67)</f>
        <v>0</v>
      </c>
      <c r="AH68" s="54">
        <f t="shared" si="2"/>
        <v>475.4</v>
      </c>
      <c r="AI68" s="55">
        <f t="shared" si="3"/>
        <v>136.10000000000002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959.94</v>
      </c>
      <c r="C73" s="89">
        <f>C68+C56+C52+C38+C72</f>
        <v>916.24</v>
      </c>
      <c r="D73" s="89">
        <f t="shared" ref="D73:AG73" si="11">D68+D56+D52+D38+D72</f>
        <v>915.74</v>
      </c>
      <c r="E73" s="89">
        <f t="shared" si="11"/>
        <v>891.04</v>
      </c>
      <c r="F73" s="89">
        <f t="shared" si="11"/>
        <v>939.04000000000008</v>
      </c>
      <c r="G73" s="89">
        <f t="shared" si="11"/>
        <v>1021.84</v>
      </c>
      <c r="H73" s="89">
        <f t="shared" si="11"/>
        <v>1093.94</v>
      </c>
      <c r="I73" s="89">
        <f t="shared" si="11"/>
        <v>1151.1400000000001</v>
      </c>
      <c r="J73" s="89">
        <f t="shared" si="11"/>
        <v>1272.1400000000001</v>
      </c>
      <c r="K73" s="89">
        <f t="shared" si="11"/>
        <v>1394.8400000000001</v>
      </c>
      <c r="L73" s="89">
        <f t="shared" si="11"/>
        <v>1537.8400000000001</v>
      </c>
      <c r="M73" s="89">
        <f t="shared" si="11"/>
        <v>1545.54</v>
      </c>
      <c r="N73" s="89">
        <f t="shared" si="11"/>
        <v>1454.54</v>
      </c>
      <c r="O73" s="89">
        <f t="shared" si="11"/>
        <v>1443.94</v>
      </c>
      <c r="P73" s="89">
        <f t="shared" si="11"/>
        <v>1362.04</v>
      </c>
      <c r="Q73" s="89">
        <f t="shared" si="11"/>
        <v>1332.24</v>
      </c>
      <c r="R73" s="89">
        <f t="shared" si="11"/>
        <v>1329.6399999999999</v>
      </c>
      <c r="S73" s="89">
        <f t="shared" si="11"/>
        <v>1317.1399999999999</v>
      </c>
      <c r="T73" s="89">
        <f t="shared" si="11"/>
        <v>1340.7399999999998</v>
      </c>
      <c r="U73" s="89">
        <f t="shared" si="11"/>
        <v>1354.34</v>
      </c>
      <c r="V73" s="89">
        <f t="shared" si="11"/>
        <v>1483.74</v>
      </c>
      <c r="W73" s="89">
        <f t="shared" si="11"/>
        <v>1579.74</v>
      </c>
      <c r="X73" s="89">
        <f t="shared" si="11"/>
        <v>1611.6399999999999</v>
      </c>
      <c r="Y73" s="89">
        <f t="shared" si="11"/>
        <v>1605.6399999999999</v>
      </c>
      <c r="Z73" s="89">
        <f t="shared" si="11"/>
        <v>1529.54</v>
      </c>
      <c r="AA73" s="89">
        <f t="shared" si="11"/>
        <v>1485.94</v>
      </c>
      <c r="AB73" s="89">
        <f t="shared" si="11"/>
        <v>1437.64</v>
      </c>
      <c r="AC73" s="89">
        <f t="shared" si="11"/>
        <v>1350.64</v>
      </c>
      <c r="AD73" s="89">
        <f t="shared" si="11"/>
        <v>1196.02</v>
      </c>
      <c r="AE73" s="89">
        <f t="shared" si="11"/>
        <v>1076.04</v>
      </c>
      <c r="AF73" s="89">
        <f t="shared" si="11"/>
        <v>962.54000000000008</v>
      </c>
      <c r="AG73" s="89">
        <f t="shared" si="11"/>
        <v>2144.14</v>
      </c>
      <c r="AH73" s="54">
        <f t="shared" si="2"/>
        <v>1611.6399999999999</v>
      </c>
      <c r="AI73" s="55">
        <f t="shared" si="3"/>
        <v>891.04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>
        <v>24</v>
      </c>
      <c r="J74" s="91"/>
      <c r="K74" s="91">
        <v>15</v>
      </c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>
        <v>65</v>
      </c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65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959.94</v>
      </c>
      <c r="C75" s="89">
        <f>C73+C74</f>
        <v>916.24</v>
      </c>
      <c r="D75" s="89">
        <f t="shared" ref="D75:AF75" si="12">D72+D68+D56+D52+D38+D74</f>
        <v>915.74</v>
      </c>
      <c r="E75" s="89">
        <f t="shared" si="12"/>
        <v>891.04</v>
      </c>
      <c r="F75" s="89">
        <f t="shared" si="12"/>
        <v>939.04000000000008</v>
      </c>
      <c r="G75" s="89">
        <f t="shared" si="12"/>
        <v>1021.84</v>
      </c>
      <c r="H75" s="89">
        <f t="shared" si="12"/>
        <v>1093.94</v>
      </c>
      <c r="I75" s="89">
        <f t="shared" si="12"/>
        <v>1175.1400000000001</v>
      </c>
      <c r="J75" s="89">
        <f t="shared" si="12"/>
        <v>1272.1400000000001</v>
      </c>
      <c r="K75" s="89">
        <f t="shared" si="12"/>
        <v>1409.8400000000001</v>
      </c>
      <c r="L75" s="89">
        <f t="shared" si="12"/>
        <v>1537.8400000000001</v>
      </c>
      <c r="M75" s="89">
        <f t="shared" si="12"/>
        <v>1545.54</v>
      </c>
      <c r="N75" s="89">
        <f t="shared" si="12"/>
        <v>1454.54</v>
      </c>
      <c r="O75" s="89">
        <f t="shared" si="12"/>
        <v>1443.94</v>
      </c>
      <c r="P75" s="89">
        <f t="shared" si="12"/>
        <v>1362.04</v>
      </c>
      <c r="Q75" s="89">
        <f t="shared" si="12"/>
        <v>1332.24</v>
      </c>
      <c r="R75" s="89">
        <f t="shared" si="12"/>
        <v>1329.6399999999999</v>
      </c>
      <c r="S75" s="89">
        <f t="shared" si="12"/>
        <v>1317.1399999999999</v>
      </c>
      <c r="T75" s="89">
        <f t="shared" si="12"/>
        <v>1340.7399999999998</v>
      </c>
      <c r="U75" s="89">
        <f t="shared" si="12"/>
        <v>1354.34</v>
      </c>
      <c r="V75" s="89">
        <f t="shared" si="12"/>
        <v>1483.74</v>
      </c>
      <c r="W75" s="89">
        <f t="shared" si="12"/>
        <v>1579.74</v>
      </c>
      <c r="X75" s="89">
        <f t="shared" si="12"/>
        <v>1676.6399999999999</v>
      </c>
      <c r="Y75" s="89">
        <f t="shared" si="12"/>
        <v>1605.6399999999999</v>
      </c>
      <c r="Z75" s="89">
        <f t="shared" si="12"/>
        <v>1529.54</v>
      </c>
      <c r="AA75" s="89">
        <f t="shared" si="12"/>
        <v>1485.94</v>
      </c>
      <c r="AB75" s="89">
        <f t="shared" si="12"/>
        <v>1437.64</v>
      </c>
      <c r="AC75" s="89">
        <f t="shared" si="12"/>
        <v>1350.64</v>
      </c>
      <c r="AD75" s="89">
        <f t="shared" si="12"/>
        <v>1196.02</v>
      </c>
      <c r="AE75" s="89">
        <f t="shared" si="12"/>
        <v>1076.04</v>
      </c>
      <c r="AF75" s="89">
        <f t="shared" si="12"/>
        <v>962.54000000000008</v>
      </c>
      <c r="AG75" s="78">
        <f>AG72+AG68+AG56+AG52+AG38+AG74</f>
        <v>2144.14</v>
      </c>
      <c r="AH75" s="54">
        <f t="shared" si="2"/>
        <v>1676.6399999999999</v>
      </c>
      <c r="AI75" s="55">
        <f t="shared" si="3"/>
        <v>891.04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>
        <f t="shared" si="13"/>
        <v>0</v>
      </c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83" si="14">MAX(B76:AF76)</f>
        <v>0</v>
      </c>
      <c r="AI76" s="55">
        <f t="shared" ref="AI76:AI83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f t="shared" si="16"/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f t="shared" si="17"/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f t="shared" si="18"/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f t="shared" si="19"/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f t="shared" si="20"/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1919.88</v>
      </c>
      <c r="C83" s="72">
        <f t="shared" ref="C83:AG83" si="21">SUM(C70:C82)</f>
        <v>1832.48</v>
      </c>
      <c r="D83" s="72">
        <f t="shared" si="21"/>
        <v>1831.48</v>
      </c>
      <c r="E83" s="72">
        <f t="shared" si="21"/>
        <v>1782.08</v>
      </c>
      <c r="F83" s="72">
        <f t="shared" si="21"/>
        <v>1878.0800000000002</v>
      </c>
      <c r="G83" s="72">
        <f t="shared" si="21"/>
        <v>2043.68</v>
      </c>
      <c r="H83" s="72">
        <f t="shared" si="21"/>
        <v>2187.88</v>
      </c>
      <c r="I83" s="72">
        <f t="shared" si="21"/>
        <v>2350.2800000000002</v>
      </c>
      <c r="J83" s="72">
        <f t="shared" si="21"/>
        <v>2544.2800000000002</v>
      </c>
      <c r="K83" s="72">
        <f t="shared" si="21"/>
        <v>2819.6800000000003</v>
      </c>
      <c r="L83" s="72">
        <f t="shared" si="21"/>
        <v>3075.6800000000003</v>
      </c>
      <c r="M83" s="72">
        <f t="shared" si="21"/>
        <v>3091.08</v>
      </c>
      <c r="N83" s="72">
        <f t="shared" si="21"/>
        <v>2909.08</v>
      </c>
      <c r="O83" s="72">
        <f t="shared" si="21"/>
        <v>2887.88</v>
      </c>
      <c r="P83" s="72">
        <f t="shared" si="21"/>
        <v>2724.08</v>
      </c>
      <c r="Q83" s="72">
        <f t="shared" si="21"/>
        <v>2664.48</v>
      </c>
      <c r="R83" s="72">
        <f t="shared" si="21"/>
        <v>2659.2799999999997</v>
      </c>
      <c r="S83" s="72">
        <f t="shared" si="21"/>
        <v>2634.2799999999997</v>
      </c>
      <c r="T83" s="72">
        <f t="shared" si="21"/>
        <v>2681.4799999999996</v>
      </c>
      <c r="U83" s="72">
        <f t="shared" si="21"/>
        <v>2708.68</v>
      </c>
      <c r="V83" s="72">
        <f t="shared" si="21"/>
        <v>2967.48</v>
      </c>
      <c r="W83" s="72">
        <f t="shared" si="21"/>
        <v>3159.48</v>
      </c>
      <c r="X83" s="72">
        <f t="shared" si="21"/>
        <v>3353.2799999999997</v>
      </c>
      <c r="Y83" s="72">
        <f t="shared" si="21"/>
        <v>3211.2799999999997</v>
      </c>
      <c r="Z83" s="72">
        <f t="shared" si="21"/>
        <v>3059.08</v>
      </c>
      <c r="AA83" s="72">
        <f t="shared" si="21"/>
        <v>2971.88</v>
      </c>
      <c r="AB83" s="72">
        <f t="shared" si="21"/>
        <v>2875.28</v>
      </c>
      <c r="AC83" s="72">
        <f t="shared" si="21"/>
        <v>2701.28</v>
      </c>
      <c r="AD83" s="72">
        <f t="shared" si="21"/>
        <v>2392.04</v>
      </c>
      <c r="AE83" s="72">
        <f t="shared" si="21"/>
        <v>2152.08</v>
      </c>
      <c r="AF83" s="72">
        <f t="shared" si="21"/>
        <v>1925.0800000000002</v>
      </c>
      <c r="AG83" s="78">
        <f t="shared" si="21"/>
        <v>4360.08</v>
      </c>
      <c r="AH83" s="54">
        <f t="shared" si="14"/>
        <v>3353.2799999999997</v>
      </c>
      <c r="AI83" s="55">
        <f t="shared" si="15"/>
        <v>1782.08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50.011000000000003</v>
      </c>
      <c r="C84" s="95">
        <v>50.05</v>
      </c>
      <c r="D84" s="95">
        <v>49.957000000000001</v>
      </c>
      <c r="E84" s="95">
        <v>50.027999999999999</v>
      </c>
      <c r="F84" s="95">
        <v>49.988999999999997</v>
      </c>
      <c r="G84" s="95">
        <v>50</v>
      </c>
      <c r="H84" s="95">
        <v>49.993000000000002</v>
      </c>
      <c r="I84" s="95">
        <v>49.993000000000002</v>
      </c>
      <c r="J84" s="95">
        <v>49.904000000000003</v>
      </c>
      <c r="K84" s="95">
        <v>50.034999999999997</v>
      </c>
      <c r="L84" s="95">
        <v>49.957000000000001</v>
      </c>
      <c r="M84" s="95">
        <v>50.024000000000001</v>
      </c>
      <c r="N84" s="95">
        <v>49.991</v>
      </c>
      <c r="O84" s="95">
        <v>49.997999999999998</v>
      </c>
      <c r="P84" s="95">
        <v>49.997999999999998</v>
      </c>
      <c r="Q84" s="95">
        <v>50.069000000000003</v>
      </c>
      <c r="R84" s="95">
        <v>49.991999999999997</v>
      </c>
      <c r="S84" s="95">
        <v>50.07</v>
      </c>
      <c r="T84" s="95">
        <v>50.069000000000003</v>
      </c>
      <c r="U84" s="95">
        <v>50.009</v>
      </c>
      <c r="V84" s="95">
        <v>49.99</v>
      </c>
      <c r="W84" s="95">
        <v>50.082000000000001</v>
      </c>
      <c r="X84" s="95">
        <v>50.07</v>
      </c>
      <c r="Y84" s="95">
        <v>49.98</v>
      </c>
      <c r="Z84" s="95">
        <v>50.033999999999999</v>
      </c>
      <c r="AA84" s="95">
        <v>50.05</v>
      </c>
      <c r="AB84" s="95">
        <v>50.1</v>
      </c>
      <c r="AC84" s="95">
        <v>50.01</v>
      </c>
      <c r="AD84" s="95">
        <v>50.03</v>
      </c>
      <c r="AE84" s="95">
        <v>50.05</v>
      </c>
      <c r="AF84" s="95">
        <v>50.03</v>
      </c>
      <c r="AG84" s="96"/>
      <c r="AH84" s="54">
        <f t="shared" ref="AH84:AH91" si="22">MAX(B84:AF84)</f>
        <v>50.1</v>
      </c>
      <c r="AI84" s="55">
        <f t="shared" ref="AI84:AI91" si="23">MIN(B84:AF84)</f>
        <v>49.904000000000003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126.2</v>
      </c>
      <c r="C85" s="73">
        <v>126.8</v>
      </c>
      <c r="D85" s="73">
        <v>126.3</v>
      </c>
      <c r="E85" s="73">
        <v>126.7</v>
      </c>
      <c r="F85" s="73">
        <v>127.3</v>
      </c>
      <c r="G85" s="73">
        <v>125.6</v>
      </c>
      <c r="H85" s="73">
        <v>124.2</v>
      </c>
      <c r="I85" s="73">
        <v>124.2</v>
      </c>
      <c r="J85" s="73">
        <v>125.4</v>
      </c>
      <c r="K85" s="73">
        <v>125</v>
      </c>
      <c r="L85" s="73">
        <v>122.2</v>
      </c>
      <c r="M85" s="73">
        <v>121.5</v>
      </c>
      <c r="N85" s="73">
        <v>123.3</v>
      </c>
      <c r="O85" s="73">
        <v>124.3</v>
      </c>
      <c r="P85" s="73">
        <v>124.3</v>
      </c>
      <c r="Q85" s="73">
        <v>125.2</v>
      </c>
      <c r="R85" s="73">
        <v>124.4</v>
      </c>
      <c r="S85" s="73">
        <v>124.7</v>
      </c>
      <c r="T85" s="73">
        <v>125.2</v>
      </c>
      <c r="U85" s="98">
        <v>123.9</v>
      </c>
      <c r="V85" s="98">
        <v>124.82</v>
      </c>
      <c r="W85" s="98">
        <v>122.9</v>
      </c>
      <c r="X85" s="98">
        <v>123.7</v>
      </c>
      <c r="Y85" s="98">
        <v>126</v>
      </c>
      <c r="Z85" s="98">
        <v>125.4</v>
      </c>
      <c r="AA85" s="98">
        <v>125.4</v>
      </c>
      <c r="AB85" s="73">
        <v>126.4</v>
      </c>
      <c r="AC85" s="73">
        <v>125.1</v>
      </c>
      <c r="AD85" s="73">
        <v>123.3</v>
      </c>
      <c r="AE85" s="73">
        <v>124.1</v>
      </c>
      <c r="AF85" s="73">
        <v>124.2</v>
      </c>
      <c r="AG85" s="99"/>
      <c r="AH85" s="54">
        <f t="shared" si="22"/>
        <v>127.3</v>
      </c>
      <c r="AI85" s="55">
        <f t="shared" si="23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130.5</v>
      </c>
      <c r="C86" s="73">
        <v>131.1</v>
      </c>
      <c r="D86" s="73">
        <v>130.69999999999999</v>
      </c>
      <c r="E86" s="73">
        <v>131.19999999999999</v>
      </c>
      <c r="F86" s="73">
        <v>130.9</v>
      </c>
      <c r="G86" s="73">
        <v>129.4</v>
      </c>
      <c r="H86" s="73">
        <v>128.19999999999999</v>
      </c>
      <c r="I86" s="73">
        <v>128.19999999999999</v>
      </c>
      <c r="J86" s="73">
        <v>128.19999999999999</v>
      </c>
      <c r="K86" s="73">
        <v>127.1</v>
      </c>
      <c r="L86" s="73">
        <v>124.5</v>
      </c>
      <c r="M86" s="73">
        <v>123.8</v>
      </c>
      <c r="N86" s="73">
        <v>124.9</v>
      </c>
      <c r="O86" s="73">
        <v>126</v>
      </c>
      <c r="P86" s="73">
        <v>126</v>
      </c>
      <c r="Q86" s="73">
        <v>126.6</v>
      </c>
      <c r="R86" s="73">
        <v>126</v>
      </c>
      <c r="S86" s="73">
        <v>126.9</v>
      </c>
      <c r="T86" s="73">
        <v>127</v>
      </c>
      <c r="U86" s="98">
        <v>125.6</v>
      </c>
      <c r="V86" s="98">
        <v>126</v>
      </c>
      <c r="W86" s="98">
        <v>124.6</v>
      </c>
      <c r="X86" s="98">
        <v>125.1</v>
      </c>
      <c r="Y86" s="98">
        <v>127</v>
      </c>
      <c r="Z86" s="98">
        <v>126.7</v>
      </c>
      <c r="AA86" s="98">
        <v>126.7</v>
      </c>
      <c r="AB86" s="73">
        <v>127.5</v>
      </c>
      <c r="AC86" s="73">
        <v>127</v>
      </c>
      <c r="AD86" s="73">
        <v>126.8</v>
      </c>
      <c r="AE86" s="73">
        <v>128</v>
      </c>
      <c r="AF86" s="73">
        <v>128</v>
      </c>
      <c r="AG86" s="99"/>
      <c r="AH86" s="54">
        <f t="shared" si="22"/>
        <v>131.19999999999999</v>
      </c>
      <c r="AI86" s="55">
        <f t="shared" si="23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130.1</v>
      </c>
      <c r="C87" s="73">
        <v>129.4</v>
      </c>
      <c r="D87" s="73">
        <v>130.9</v>
      </c>
      <c r="E87" s="73">
        <v>129.4</v>
      </c>
      <c r="F87" s="73">
        <v>129</v>
      </c>
      <c r="G87" s="73">
        <v>129.1</v>
      </c>
      <c r="H87" s="73">
        <v>128.30000000000001</v>
      </c>
      <c r="I87" s="73">
        <v>128.30000000000001</v>
      </c>
      <c r="J87" s="73">
        <v>127.1</v>
      </c>
      <c r="K87" s="73">
        <v>126.2</v>
      </c>
      <c r="L87" s="73">
        <v>127.5</v>
      </c>
      <c r="M87" s="73">
        <v>125.3</v>
      </c>
      <c r="N87" s="73">
        <v>124.7</v>
      </c>
      <c r="O87" s="73">
        <v>128.80000000000001</v>
      </c>
      <c r="P87" s="73">
        <v>128.80000000000001</v>
      </c>
      <c r="Q87" s="73">
        <v>130</v>
      </c>
      <c r="R87" s="73">
        <v>129.30000000000001</v>
      </c>
      <c r="S87" s="73">
        <v>130.30000000000001</v>
      </c>
      <c r="T87" s="73">
        <v>128.9</v>
      </c>
      <c r="U87" s="73">
        <v>129.5</v>
      </c>
      <c r="V87" s="73">
        <v>129.30000000000001</v>
      </c>
      <c r="W87" s="73">
        <v>126.3</v>
      </c>
      <c r="X87" s="98">
        <v>129.19999999999999</v>
      </c>
      <c r="Y87" s="98">
        <v>131</v>
      </c>
      <c r="Z87" s="98">
        <v>130.4</v>
      </c>
      <c r="AA87" s="98">
        <v>130.4</v>
      </c>
      <c r="AB87" s="73">
        <v>130.6</v>
      </c>
      <c r="AC87" s="73">
        <v>128.80000000000001</v>
      </c>
      <c r="AD87" s="73">
        <v>130.69999999999999</v>
      </c>
      <c r="AE87" s="73">
        <v>130.6</v>
      </c>
      <c r="AF87" s="73">
        <v>130.19999999999999</v>
      </c>
      <c r="AG87" s="99"/>
      <c r="AH87" s="54">
        <f t="shared" si="22"/>
        <v>131</v>
      </c>
      <c r="AI87" s="55">
        <f t="shared" si="23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133.69999999999999</v>
      </c>
      <c r="C88" s="73">
        <v>133.4</v>
      </c>
      <c r="D88" s="73">
        <v>134.5</v>
      </c>
      <c r="E88" s="73">
        <v>132.19999999999999</v>
      </c>
      <c r="F88" s="73">
        <v>131.80000000000001</v>
      </c>
      <c r="G88" s="73">
        <v>131.5</v>
      </c>
      <c r="H88" s="73">
        <v>130.6</v>
      </c>
      <c r="I88" s="73">
        <v>130.6</v>
      </c>
      <c r="J88" s="73">
        <v>132.5</v>
      </c>
      <c r="K88" s="73">
        <v>131.80000000000001</v>
      </c>
      <c r="L88" s="73">
        <v>131.9</v>
      </c>
      <c r="M88" s="73">
        <v>129.80000000000001</v>
      </c>
      <c r="N88" s="73">
        <v>128.80000000000001</v>
      </c>
      <c r="O88" s="73">
        <v>133.19999999999999</v>
      </c>
      <c r="P88" s="73">
        <v>133.19999999999999</v>
      </c>
      <c r="Q88" s="73">
        <v>134.5</v>
      </c>
      <c r="R88" s="73">
        <v>134.69999999999999</v>
      </c>
      <c r="S88" s="73">
        <v>134.69999999999999</v>
      </c>
      <c r="T88" s="73">
        <v>133</v>
      </c>
      <c r="U88" s="73">
        <v>133.5</v>
      </c>
      <c r="V88" s="73">
        <v>133.30000000000001</v>
      </c>
      <c r="W88" s="73">
        <v>131.1</v>
      </c>
      <c r="X88" s="98">
        <v>133</v>
      </c>
      <c r="Y88" s="98">
        <v>136</v>
      </c>
      <c r="Z88" s="98">
        <v>133.5</v>
      </c>
      <c r="AA88" s="98">
        <v>133.5</v>
      </c>
      <c r="AB88" s="73">
        <v>133.69999999999999</v>
      </c>
      <c r="AC88" s="73">
        <v>132.69999999999999</v>
      </c>
      <c r="AD88" s="73">
        <v>134.80000000000001</v>
      </c>
      <c r="AE88" s="73">
        <v>135</v>
      </c>
      <c r="AF88" s="73">
        <v>134.4</v>
      </c>
      <c r="AG88" s="99"/>
      <c r="AH88" s="54">
        <f t="shared" si="22"/>
        <v>136</v>
      </c>
      <c r="AI88" s="55">
        <f t="shared" si="23"/>
        <v>128.80000000000001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131.6</v>
      </c>
      <c r="C89" s="101">
        <v>131.4</v>
      </c>
      <c r="D89" s="101">
        <v>129.80000000000001</v>
      </c>
      <c r="E89" s="101">
        <v>132.69999999999999</v>
      </c>
      <c r="F89" s="101">
        <v>133.5</v>
      </c>
      <c r="G89" s="101">
        <v>131.19999999999999</v>
      </c>
      <c r="H89" s="101">
        <v>133.19999999999999</v>
      </c>
      <c r="I89" s="101">
        <v>133.19999999999999</v>
      </c>
      <c r="J89" s="101">
        <v>132.5</v>
      </c>
      <c r="K89" s="101">
        <v>133.4</v>
      </c>
      <c r="L89" s="101">
        <v>131.4</v>
      </c>
      <c r="M89" s="101">
        <v>132</v>
      </c>
      <c r="N89" s="101">
        <v>134.19999999999999</v>
      </c>
      <c r="O89" s="101">
        <v>135.5</v>
      </c>
      <c r="P89" s="101">
        <v>135.5</v>
      </c>
      <c r="Q89" s="101">
        <v>134.4</v>
      </c>
      <c r="R89" s="101">
        <v>132.9</v>
      </c>
      <c r="S89" s="101">
        <v>132.19999999999999</v>
      </c>
      <c r="T89" s="101">
        <v>135</v>
      </c>
      <c r="U89" s="101">
        <v>134.1</v>
      </c>
      <c r="V89" s="101">
        <v>136.6</v>
      </c>
      <c r="W89" s="101">
        <v>131.4</v>
      </c>
      <c r="X89" s="98">
        <v>133.1</v>
      </c>
      <c r="Y89" s="98">
        <v>135.69999999999999</v>
      </c>
      <c r="Z89" s="98">
        <v>136.19999999999999</v>
      </c>
      <c r="AA89" s="98">
        <v>136.19999999999999</v>
      </c>
      <c r="AB89" s="101">
        <v>135.5</v>
      </c>
      <c r="AC89" s="101">
        <v>132</v>
      </c>
      <c r="AD89" s="101">
        <v>129.69999999999999</v>
      </c>
      <c r="AE89" s="101">
        <v>131.6</v>
      </c>
      <c r="AF89" s="101">
        <v>130.5</v>
      </c>
      <c r="AG89" s="102"/>
      <c r="AH89" s="54">
        <f t="shared" si="22"/>
        <v>136.6</v>
      </c>
      <c r="AI89" s="55">
        <f t="shared" si="23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137</v>
      </c>
      <c r="C90" s="73">
        <v>135</v>
      </c>
      <c r="D90" s="73">
        <v>128.30000000000001</v>
      </c>
      <c r="E90" s="73">
        <v>128.69999999999999</v>
      </c>
      <c r="F90" s="73">
        <v>128.5</v>
      </c>
      <c r="G90" s="73">
        <v>130.69999999999999</v>
      </c>
      <c r="H90" s="73">
        <v>127.2</v>
      </c>
      <c r="I90" s="73">
        <v>127.2</v>
      </c>
      <c r="J90" s="73">
        <v>127.7</v>
      </c>
      <c r="K90" s="73">
        <v>128.6</v>
      </c>
      <c r="L90" s="73">
        <v>128.80000000000001</v>
      </c>
      <c r="M90" s="73">
        <v>128.69999999999999</v>
      </c>
      <c r="N90" s="73">
        <v>129.5</v>
      </c>
      <c r="O90" s="73">
        <v>135</v>
      </c>
      <c r="P90" s="73">
        <v>135</v>
      </c>
      <c r="Q90" s="73">
        <v>135.6</v>
      </c>
      <c r="R90" s="73">
        <v>130.69999999999999</v>
      </c>
      <c r="S90" s="73">
        <v>131.5</v>
      </c>
      <c r="T90" s="73">
        <v>136</v>
      </c>
      <c r="U90" s="73">
        <v>133.9</v>
      </c>
      <c r="V90" s="73">
        <v>133</v>
      </c>
      <c r="W90" s="73">
        <v>128.80000000000001</v>
      </c>
      <c r="X90" s="98">
        <v>132.6</v>
      </c>
      <c r="Y90" s="98">
        <v>133</v>
      </c>
      <c r="Z90" s="98">
        <v>133.4</v>
      </c>
      <c r="AA90" s="98">
        <v>133.4</v>
      </c>
      <c r="AB90" s="73">
        <v>133.69999999999999</v>
      </c>
      <c r="AC90" s="73">
        <v>131.69999999999999</v>
      </c>
      <c r="AD90" s="73">
        <v>134.6</v>
      </c>
      <c r="AE90" s="73">
        <v>135.9</v>
      </c>
      <c r="AF90" s="73">
        <v>140.9</v>
      </c>
      <c r="AG90" s="99"/>
      <c r="AH90" s="54">
        <f t="shared" si="22"/>
        <v>140.9</v>
      </c>
      <c r="AI90" s="55">
        <f t="shared" si="23"/>
        <v>127.2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65.599999999999994</v>
      </c>
      <c r="C91" s="103">
        <v>65.900000000000006</v>
      </c>
      <c r="D91" s="103">
        <v>65.8</v>
      </c>
      <c r="E91" s="103">
        <v>66.099999999999994</v>
      </c>
      <c r="F91" s="103">
        <v>65.900000000000006</v>
      </c>
      <c r="G91" s="103">
        <v>65</v>
      </c>
      <c r="H91" s="103">
        <v>64.7</v>
      </c>
      <c r="I91" s="103">
        <v>64.7</v>
      </c>
      <c r="J91" s="103">
        <v>65</v>
      </c>
      <c r="K91" s="103">
        <v>65</v>
      </c>
      <c r="L91" s="103">
        <v>63.2</v>
      </c>
      <c r="M91" s="103">
        <v>62.6</v>
      </c>
      <c r="N91" s="103">
        <v>63</v>
      </c>
      <c r="O91" s="103">
        <v>63.8</v>
      </c>
      <c r="P91" s="103">
        <v>63.8</v>
      </c>
      <c r="Q91" s="103">
        <v>63.6</v>
      </c>
      <c r="R91" s="103">
        <v>63.3</v>
      </c>
      <c r="S91" s="103">
        <v>64</v>
      </c>
      <c r="T91" s="103">
        <v>63.9</v>
      </c>
      <c r="U91" s="103">
        <v>63.4</v>
      </c>
      <c r="V91" s="103">
        <v>63.6</v>
      </c>
      <c r="W91" s="103">
        <v>63.1</v>
      </c>
      <c r="X91" s="103">
        <v>63.2</v>
      </c>
      <c r="Y91" s="103">
        <v>64.2</v>
      </c>
      <c r="Z91" s="103">
        <v>64</v>
      </c>
      <c r="AA91" s="103">
        <v>64</v>
      </c>
      <c r="AB91" s="103">
        <v>67.3</v>
      </c>
      <c r="AC91" s="103">
        <v>64.3</v>
      </c>
      <c r="AD91" s="103">
        <v>63.9</v>
      </c>
      <c r="AE91" s="103">
        <v>64.900000000000006</v>
      </c>
      <c r="AF91" s="103">
        <v>66.099999999999994</v>
      </c>
      <c r="AG91" s="104"/>
      <c r="AH91" s="54">
        <f t="shared" si="22"/>
        <v>67.3</v>
      </c>
      <c r="AI91" s="55">
        <f t="shared" si="23"/>
        <v>62.6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207.23999999999995</v>
      </c>
      <c r="C93" s="110">
        <f>SUM(C15,C18,C21:C22,C42,C44:C45,C47,C49,C94:C97,C102,C108,C114,C123,C125,C137,C144,C147:C148,C155,C157,C159,C163:C165,C167:C169,C174,C180:C181,C183:C185,C193,C198)</f>
        <v>186.03999999999996</v>
      </c>
      <c r="D93" s="110">
        <f t="shared" ref="D93:AF93" si="24">SUM(D15,D18,D21:D22,D42,D44:D45,D47,D49,D94:D97,D102,D108,D114,D123,D125,D137,D144,D147:D148,D155,D157,D159,D163:D165,D167:D169,D174,D180:D181,D183:D185,D193,D198)</f>
        <v>180.83999999999997</v>
      </c>
      <c r="E93" s="110">
        <f t="shared" si="24"/>
        <v>181.83999999999997</v>
      </c>
      <c r="F93" s="110">
        <f t="shared" si="24"/>
        <v>189.33999999999997</v>
      </c>
      <c r="G93" s="109">
        <f t="shared" si="24"/>
        <v>215.74</v>
      </c>
      <c r="H93" s="109">
        <f t="shared" si="24"/>
        <v>246.93999999999997</v>
      </c>
      <c r="I93" s="109">
        <f t="shared" si="24"/>
        <v>298.94000000000005</v>
      </c>
      <c r="J93" s="109">
        <f t="shared" si="24"/>
        <v>345.04</v>
      </c>
      <c r="K93" s="109">
        <f t="shared" si="24"/>
        <v>402.34000000000003</v>
      </c>
      <c r="L93" s="109">
        <f t="shared" si="24"/>
        <v>449.6400000000001</v>
      </c>
      <c r="M93" s="109">
        <f t="shared" si="24"/>
        <v>471.94000000000005</v>
      </c>
      <c r="N93" s="109">
        <f t="shared" si="24"/>
        <v>449.84000000000009</v>
      </c>
      <c r="O93" s="109">
        <f t="shared" si="24"/>
        <v>434.64000000000004</v>
      </c>
      <c r="P93" s="109">
        <f t="shared" si="24"/>
        <v>439.04</v>
      </c>
      <c r="Q93" s="109">
        <f t="shared" si="24"/>
        <v>440.44000000000005</v>
      </c>
      <c r="R93" s="109">
        <f t="shared" si="24"/>
        <v>437.64</v>
      </c>
      <c r="S93" s="109">
        <f t="shared" si="24"/>
        <v>403.24</v>
      </c>
      <c r="T93" s="109">
        <f t="shared" si="24"/>
        <v>413.94</v>
      </c>
      <c r="U93" s="109">
        <f t="shared" si="24"/>
        <v>433.74</v>
      </c>
      <c r="V93" s="109">
        <f t="shared" si="24"/>
        <v>467.04</v>
      </c>
      <c r="W93" s="109">
        <f t="shared" si="24"/>
        <v>491.03999999999996</v>
      </c>
      <c r="X93" s="109">
        <f t="shared" si="24"/>
        <v>473.8900000000001</v>
      </c>
      <c r="Y93" s="109">
        <f t="shared" si="24"/>
        <v>461.64000000000004</v>
      </c>
      <c r="Z93" s="109">
        <f t="shared" si="24"/>
        <v>464.74</v>
      </c>
      <c r="AA93" s="109">
        <f t="shared" si="24"/>
        <v>495.64000000000004</v>
      </c>
      <c r="AB93" s="109">
        <f t="shared" si="24"/>
        <v>477.74</v>
      </c>
      <c r="AC93" s="109">
        <f t="shared" si="24"/>
        <v>453.04000000000008</v>
      </c>
      <c r="AD93" s="109">
        <f t="shared" si="24"/>
        <v>345.64000000000004</v>
      </c>
      <c r="AE93" s="109">
        <f t="shared" si="24"/>
        <v>322.44000000000005</v>
      </c>
      <c r="AF93" s="109">
        <f t="shared" si="24"/>
        <v>196.64</v>
      </c>
      <c r="AG93" s="111"/>
      <c r="AH93" s="54">
        <f>MAX(C93:AF93)</f>
        <v>495.64000000000004</v>
      </c>
      <c r="AI93" s="55">
        <f>MIN(C93:AF93)</f>
        <v>180.83999999999997</v>
      </c>
    </row>
    <row r="94" spans="1:88" x14ac:dyDescent="0.25">
      <c r="A94" s="112" t="s">
        <v>98</v>
      </c>
      <c r="B94" s="175">
        <v>33.799999999999997</v>
      </c>
      <c r="C94" s="58">
        <v>41.7</v>
      </c>
      <c r="D94" s="58">
        <v>38.1</v>
      </c>
      <c r="E94" s="58">
        <v>37.700000000000003</v>
      </c>
      <c r="F94" s="58">
        <v>5.6</v>
      </c>
      <c r="G94" s="114">
        <v>-4.7</v>
      </c>
      <c r="H94" s="114">
        <v>4.5</v>
      </c>
      <c r="I94" s="114">
        <v>27.4</v>
      </c>
      <c r="J94" s="114">
        <v>25.6</v>
      </c>
      <c r="K94" s="114">
        <v>32.4</v>
      </c>
      <c r="L94" s="114">
        <v>39.799999999999997</v>
      </c>
      <c r="M94" s="113">
        <v>40.700000000000003</v>
      </c>
      <c r="N94" s="113">
        <v>49.2</v>
      </c>
      <c r="O94" s="113">
        <v>54.7</v>
      </c>
      <c r="P94" s="113">
        <v>50.6</v>
      </c>
      <c r="Q94" s="114">
        <v>38.4</v>
      </c>
      <c r="R94" s="114">
        <v>28</v>
      </c>
      <c r="S94" s="114">
        <v>10</v>
      </c>
      <c r="T94" s="114">
        <v>12.1</v>
      </c>
      <c r="U94" s="113">
        <v>13.7</v>
      </c>
      <c r="V94" s="113">
        <v>57</v>
      </c>
      <c r="W94" s="113">
        <v>38.9</v>
      </c>
      <c r="X94" s="114">
        <v>30.8</v>
      </c>
      <c r="Y94" s="114">
        <v>52</v>
      </c>
      <c r="Z94" s="114">
        <v>53.6</v>
      </c>
      <c r="AA94" s="114">
        <v>53</v>
      </c>
      <c r="AB94" s="114">
        <v>52.1</v>
      </c>
      <c r="AC94" s="113">
        <v>47.5</v>
      </c>
      <c r="AD94" s="113">
        <v>41</v>
      </c>
      <c r="AE94" s="113">
        <v>35.700000000000003</v>
      </c>
      <c r="AF94" s="113"/>
      <c r="AG94" s="115">
        <v>75</v>
      </c>
      <c r="AH94" s="54">
        <f t="shared" ref="AH94:AH99" si="25">IF(ABS(MAX(C94:AF94))&gt;ABS(MIN(C94:AF94)),MAX(C94:AF94),MIN(C94:AF94))</f>
        <v>57</v>
      </c>
      <c r="AI94" s="116">
        <f t="shared" ref="AI94:AI99" si="26">INDEX($C$9:$AF$9,1,MATCH(AH94,C94:AF94,0))</f>
        <v>0.70833333333333304</v>
      </c>
    </row>
    <row r="95" spans="1:88" x14ac:dyDescent="0.25">
      <c r="A95" s="117" t="s">
        <v>99</v>
      </c>
      <c r="B95" s="176">
        <v>-77</v>
      </c>
      <c r="C95" s="60">
        <v>-87</v>
      </c>
      <c r="D95" s="60">
        <v>-90.2</v>
      </c>
      <c r="E95" s="60">
        <v>-88</v>
      </c>
      <c r="F95" s="60">
        <v>-79</v>
      </c>
      <c r="G95" s="60">
        <v>-67</v>
      </c>
      <c r="H95" s="60">
        <v>-53</v>
      </c>
      <c r="I95" s="60">
        <v>-32</v>
      </c>
      <c r="J95" s="60">
        <v>15</v>
      </c>
      <c r="K95" s="60">
        <v>39</v>
      </c>
      <c r="L95" s="60">
        <v>60</v>
      </c>
      <c r="M95" s="60">
        <v>64</v>
      </c>
      <c r="N95" s="60">
        <v>46</v>
      </c>
      <c r="O95" s="60">
        <v>37.700000000000003</v>
      </c>
      <c r="P95" s="60">
        <v>48</v>
      </c>
      <c r="Q95" s="60">
        <v>52.6</v>
      </c>
      <c r="R95" s="60">
        <v>44.9</v>
      </c>
      <c r="S95" s="60">
        <f>18+12</f>
        <v>30</v>
      </c>
      <c r="T95" s="60">
        <v>35</v>
      </c>
      <c r="U95" s="60">
        <f>25+19</f>
        <v>44</v>
      </c>
      <c r="V95" s="60">
        <f>27.6+22.7</f>
        <v>50.3</v>
      </c>
      <c r="W95" s="60">
        <f>39.3+35.4</f>
        <v>74.699999999999989</v>
      </c>
      <c r="X95" s="60">
        <v>50.45</v>
      </c>
      <c r="Y95" s="60">
        <v>60</v>
      </c>
      <c r="Z95" s="60">
        <f>34.5+29.3</f>
        <v>63.8</v>
      </c>
      <c r="AA95" s="60">
        <v>57</v>
      </c>
      <c r="AB95" s="60">
        <f>31.7+29.4</f>
        <v>61.099999999999994</v>
      </c>
      <c r="AC95" s="73">
        <f>30.2+28.6</f>
        <v>58.8</v>
      </c>
      <c r="AD95" s="73">
        <v>0</v>
      </c>
      <c r="AE95" s="73">
        <f>-5.5-6.1</f>
        <v>-11.6</v>
      </c>
      <c r="AF95" s="73"/>
      <c r="AG95" s="115">
        <v>240</v>
      </c>
      <c r="AH95" s="54">
        <f t="shared" si="25"/>
        <v>-90.2</v>
      </c>
      <c r="AI95" s="116">
        <f t="shared" si="26"/>
        <v>8.3333333333333301E-2</v>
      </c>
    </row>
    <row r="96" spans="1:88" x14ac:dyDescent="0.25">
      <c r="A96" s="117" t="s">
        <v>100</v>
      </c>
      <c r="B96" s="176">
        <v>12.7</v>
      </c>
      <c r="C96" s="60">
        <v>12.7</v>
      </c>
      <c r="D96" s="60">
        <v>12.8</v>
      </c>
      <c r="E96" s="60">
        <v>12.8</v>
      </c>
      <c r="F96" s="60">
        <v>12.8</v>
      </c>
      <c r="G96" s="60">
        <v>12.6</v>
      </c>
      <c r="H96" s="60">
        <v>12.4</v>
      </c>
      <c r="I96" s="60">
        <v>12</v>
      </c>
      <c r="J96" s="60">
        <v>11.7</v>
      </c>
      <c r="K96" s="60">
        <v>52.5</v>
      </c>
      <c r="L96" s="60">
        <v>52.6</v>
      </c>
      <c r="M96" s="60">
        <v>60.6</v>
      </c>
      <c r="N96" s="60">
        <v>60.6</v>
      </c>
      <c r="O96" s="60">
        <v>42.5</v>
      </c>
      <c r="P96" s="60">
        <v>57.2</v>
      </c>
      <c r="Q96" s="60">
        <v>56</v>
      </c>
      <c r="R96" s="60">
        <v>60.5</v>
      </c>
      <c r="S96" s="60">
        <v>61.3</v>
      </c>
      <c r="T96" s="60">
        <v>61.8</v>
      </c>
      <c r="U96" s="60">
        <v>61</v>
      </c>
      <c r="V96" s="60">
        <v>61.4</v>
      </c>
      <c r="W96" s="60">
        <v>61.9</v>
      </c>
      <c r="X96" s="60">
        <v>67.400000000000006</v>
      </c>
      <c r="Y96" s="60">
        <v>23</v>
      </c>
      <c r="Z96" s="60">
        <v>23</v>
      </c>
      <c r="AA96" s="60">
        <v>65</v>
      </c>
      <c r="AB96" s="60">
        <v>50.7</v>
      </c>
      <c r="AC96" s="73">
        <v>45.1</v>
      </c>
      <c r="AD96" s="73">
        <v>11.7</v>
      </c>
      <c r="AE96" s="73">
        <v>12.3</v>
      </c>
      <c r="AF96" s="73"/>
      <c r="AG96" s="115">
        <v>60</v>
      </c>
      <c r="AH96" s="54">
        <f t="shared" si="25"/>
        <v>67.400000000000006</v>
      </c>
      <c r="AI96" s="116">
        <f t="shared" si="26"/>
        <v>0.75</v>
      </c>
    </row>
    <row r="97" spans="1:37" x14ac:dyDescent="0.25">
      <c r="A97" s="118" t="s">
        <v>101</v>
      </c>
      <c r="B97" s="177">
        <v>41.3</v>
      </c>
      <c r="C97" s="63">
        <v>22.2</v>
      </c>
      <c r="D97" s="63">
        <v>23.5</v>
      </c>
      <c r="E97" s="63">
        <v>22.9</v>
      </c>
      <c r="F97" s="63">
        <v>53.3</v>
      </c>
      <c r="G97" s="63">
        <v>78.2</v>
      </c>
      <c r="H97" s="63">
        <v>86.6</v>
      </c>
      <c r="I97" s="63">
        <v>95.1</v>
      </c>
      <c r="J97" s="63">
        <v>96.3</v>
      </c>
      <c r="K97" s="63">
        <v>82</v>
      </c>
      <c r="L97" s="63">
        <v>100.6</v>
      </c>
      <c r="M97" s="63">
        <v>110</v>
      </c>
      <c r="N97" s="63">
        <v>98.3</v>
      </c>
      <c r="O97" s="63">
        <v>103.8</v>
      </c>
      <c r="P97" s="63">
        <v>87.3</v>
      </c>
      <c r="Q97" s="63">
        <v>97.5</v>
      </c>
      <c r="R97" s="63">
        <v>108.4</v>
      </c>
      <c r="S97" s="63">
        <v>106.1</v>
      </c>
      <c r="T97" s="63">
        <v>109.2</v>
      </c>
      <c r="U97" s="63">
        <v>119.2</v>
      </c>
      <c r="V97" s="63">
        <v>102.5</v>
      </c>
      <c r="W97" s="63">
        <v>118.9</v>
      </c>
      <c r="X97" s="63">
        <v>128.6</v>
      </c>
      <c r="Y97" s="63">
        <v>130</v>
      </c>
      <c r="Z97" s="63">
        <v>127.7</v>
      </c>
      <c r="AA97" s="63">
        <v>124</v>
      </c>
      <c r="AB97" s="63">
        <v>117.2</v>
      </c>
      <c r="AC97" s="119">
        <v>105</v>
      </c>
      <c r="AD97" s="119">
        <v>96.3</v>
      </c>
      <c r="AE97" s="119">
        <v>89.4</v>
      </c>
      <c r="AF97" s="119"/>
      <c r="AG97" s="120">
        <v>120</v>
      </c>
      <c r="AH97" s="54">
        <f t="shared" si="25"/>
        <v>130</v>
      </c>
      <c r="AI97" s="116">
        <f t="shared" si="26"/>
        <v>0.77083333333333337</v>
      </c>
    </row>
    <row r="98" spans="1:37" x14ac:dyDescent="0.25">
      <c r="A98" s="118" t="s">
        <v>102</v>
      </c>
      <c r="B98" s="177">
        <v>49.4</v>
      </c>
      <c r="C98" s="63">
        <v>35.9</v>
      </c>
      <c r="D98" s="63">
        <v>40.1</v>
      </c>
      <c r="E98" s="63">
        <v>38.5</v>
      </c>
      <c r="F98" s="63">
        <v>61.3</v>
      </c>
      <c r="G98" s="63">
        <v>79.099999999999994</v>
      </c>
      <c r="H98" s="63">
        <v>84.1</v>
      </c>
      <c r="I98" s="63">
        <v>90.2</v>
      </c>
      <c r="J98" s="63">
        <v>72</v>
      </c>
      <c r="K98" s="63">
        <v>80</v>
      </c>
      <c r="L98" s="63">
        <v>97.8</v>
      </c>
      <c r="M98" s="63">
        <v>99</v>
      </c>
      <c r="N98" s="63">
        <v>80.2</v>
      </c>
      <c r="O98" s="63">
        <v>79.099999999999994</v>
      </c>
      <c r="P98" s="63">
        <v>64</v>
      </c>
      <c r="Q98" s="63">
        <v>75.599999999999994</v>
      </c>
      <c r="R98" s="63">
        <v>87.9</v>
      </c>
      <c r="S98" s="63">
        <v>88.9</v>
      </c>
      <c r="T98" s="63">
        <v>90.2</v>
      </c>
      <c r="U98" s="63">
        <v>100.2</v>
      </c>
      <c r="V98" s="63">
        <v>76.8</v>
      </c>
      <c r="W98" s="63">
        <v>100.9</v>
      </c>
      <c r="X98" s="63">
        <v>109.4</v>
      </c>
      <c r="Y98" s="63">
        <v>80</v>
      </c>
      <c r="Z98" s="63">
        <v>80.400000000000006</v>
      </c>
      <c r="AA98" s="63">
        <v>72</v>
      </c>
      <c r="AB98" s="63">
        <v>88.6</v>
      </c>
      <c r="AC98" s="119">
        <v>84.6</v>
      </c>
      <c r="AD98" s="119">
        <v>90.8</v>
      </c>
      <c r="AE98" s="119">
        <v>84.9</v>
      </c>
      <c r="AF98" s="119"/>
      <c r="AG98" s="120"/>
      <c r="AH98" s="54">
        <f t="shared" si="25"/>
        <v>109.4</v>
      </c>
      <c r="AI98" s="116">
        <f t="shared" si="26"/>
        <v>0.75</v>
      </c>
    </row>
    <row r="99" spans="1:37" ht="15.75" thickBot="1" x14ac:dyDescent="0.3">
      <c r="A99" s="118" t="s">
        <v>217</v>
      </c>
      <c r="B99" s="177">
        <v>63.1</v>
      </c>
      <c r="C99" s="63">
        <v>47.6</v>
      </c>
      <c r="D99" s="63">
        <v>55.9</v>
      </c>
      <c r="E99" s="63">
        <v>48.7</v>
      </c>
      <c r="F99" s="63">
        <v>56.2</v>
      </c>
      <c r="G99" s="63">
        <v>65.7</v>
      </c>
      <c r="H99" s="63">
        <v>66.400000000000006</v>
      </c>
      <c r="I99" s="63">
        <v>35.4</v>
      </c>
      <c r="J99" s="63">
        <v>54.1</v>
      </c>
      <c r="K99" s="63">
        <v>52.7</v>
      </c>
      <c r="L99" s="63">
        <v>58.3</v>
      </c>
      <c r="M99" s="63">
        <v>59.4</v>
      </c>
      <c r="N99" s="63">
        <v>57.1</v>
      </c>
      <c r="O99" s="63">
        <v>57.1</v>
      </c>
      <c r="P99" s="63">
        <v>51</v>
      </c>
      <c r="Q99" s="63">
        <v>52</v>
      </c>
      <c r="R99" s="63">
        <v>52</v>
      </c>
      <c r="S99" s="63"/>
      <c r="T99" s="63"/>
      <c r="U99" s="63"/>
      <c r="V99" s="63"/>
      <c r="W99" s="63"/>
      <c r="X99" s="63" t="s">
        <v>231</v>
      </c>
      <c r="Y99" s="63" t="s">
        <v>231</v>
      </c>
      <c r="Z99" s="63" t="s">
        <v>231</v>
      </c>
      <c r="AA99" s="63"/>
      <c r="AB99" s="63"/>
      <c r="AC99" s="119"/>
      <c r="AD99" s="119"/>
      <c r="AE99" s="119"/>
      <c r="AF99" s="119"/>
      <c r="AG99" s="121"/>
      <c r="AH99" s="54">
        <f t="shared" si="25"/>
        <v>66.400000000000006</v>
      </c>
      <c r="AI99" s="116">
        <f t="shared" si="26"/>
        <v>0.22916666666666666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7">AF101</f>
        <v>9.9</v>
      </c>
      <c r="C101" s="53">
        <v>9.9</v>
      </c>
      <c r="D101" s="127">
        <f t="shared" ref="D101:S106" si="28">C101</f>
        <v>9.9</v>
      </c>
      <c r="E101" s="127">
        <f t="shared" si="28"/>
        <v>9.9</v>
      </c>
      <c r="F101" s="127">
        <f t="shared" si="28"/>
        <v>9.9</v>
      </c>
      <c r="G101" s="127">
        <f t="shared" si="28"/>
        <v>9.9</v>
      </c>
      <c r="H101" s="127">
        <f t="shared" si="28"/>
        <v>9.9</v>
      </c>
      <c r="I101" s="127">
        <f t="shared" si="28"/>
        <v>9.9</v>
      </c>
      <c r="J101" s="127">
        <f t="shared" si="28"/>
        <v>9.9</v>
      </c>
      <c r="K101" s="127">
        <f t="shared" si="28"/>
        <v>9.9</v>
      </c>
      <c r="L101" s="127">
        <f t="shared" si="28"/>
        <v>9.9</v>
      </c>
      <c r="M101" s="127">
        <f t="shared" si="28"/>
        <v>9.9</v>
      </c>
      <c r="N101" s="127">
        <f t="shared" si="28"/>
        <v>9.9</v>
      </c>
      <c r="O101" s="127">
        <f t="shared" si="28"/>
        <v>9.9</v>
      </c>
      <c r="P101" s="127">
        <f t="shared" si="28"/>
        <v>9.9</v>
      </c>
      <c r="Q101" s="127">
        <f t="shared" si="28"/>
        <v>9.9</v>
      </c>
      <c r="R101" s="127">
        <f t="shared" si="28"/>
        <v>9.9</v>
      </c>
      <c r="S101" s="127">
        <f t="shared" si="28"/>
        <v>9.9</v>
      </c>
      <c r="T101" s="127">
        <f t="shared" ref="T101:AF106" si="29">S101</f>
        <v>9.9</v>
      </c>
      <c r="U101" s="127">
        <f t="shared" si="29"/>
        <v>9.9</v>
      </c>
      <c r="V101" s="127">
        <f t="shared" si="29"/>
        <v>9.9</v>
      </c>
      <c r="W101" s="127">
        <f t="shared" si="29"/>
        <v>9.9</v>
      </c>
      <c r="X101" s="127">
        <f t="shared" si="29"/>
        <v>9.9</v>
      </c>
      <c r="Y101" s="127">
        <f t="shared" si="29"/>
        <v>9.9</v>
      </c>
      <c r="Z101" s="127">
        <f t="shared" si="29"/>
        <v>9.9</v>
      </c>
      <c r="AA101" s="127">
        <f t="shared" si="29"/>
        <v>9.9</v>
      </c>
      <c r="AB101" s="127">
        <f t="shared" si="29"/>
        <v>9.9</v>
      </c>
      <c r="AC101" s="127">
        <f t="shared" si="29"/>
        <v>9.9</v>
      </c>
      <c r="AD101" s="127">
        <f t="shared" si="29"/>
        <v>9.9</v>
      </c>
      <c r="AE101" s="127">
        <f t="shared" si="29"/>
        <v>9.9</v>
      </c>
      <c r="AF101" s="127">
        <f t="shared" si="29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7"/>
        <v>9.6</v>
      </c>
      <c r="C102" s="130">
        <v>9.6</v>
      </c>
      <c r="D102" s="129">
        <f t="shared" si="28"/>
        <v>9.6</v>
      </c>
      <c r="E102" s="129">
        <f t="shared" si="28"/>
        <v>9.6</v>
      </c>
      <c r="F102" s="129">
        <f t="shared" si="28"/>
        <v>9.6</v>
      </c>
      <c r="G102" s="129">
        <f t="shared" si="28"/>
        <v>9.6</v>
      </c>
      <c r="H102" s="129">
        <f t="shared" si="28"/>
        <v>9.6</v>
      </c>
      <c r="I102" s="129">
        <f t="shared" si="28"/>
        <v>9.6</v>
      </c>
      <c r="J102" s="129">
        <f t="shared" si="28"/>
        <v>9.6</v>
      </c>
      <c r="K102" s="129">
        <f t="shared" si="28"/>
        <v>9.6</v>
      </c>
      <c r="L102" s="129">
        <f t="shared" si="28"/>
        <v>9.6</v>
      </c>
      <c r="M102" s="129">
        <f t="shared" si="28"/>
        <v>9.6</v>
      </c>
      <c r="N102" s="129">
        <f t="shared" si="28"/>
        <v>9.6</v>
      </c>
      <c r="O102" s="129">
        <f t="shared" si="28"/>
        <v>9.6</v>
      </c>
      <c r="P102" s="129">
        <f t="shared" si="28"/>
        <v>9.6</v>
      </c>
      <c r="Q102" s="129">
        <f t="shared" si="28"/>
        <v>9.6</v>
      </c>
      <c r="R102" s="129">
        <f t="shared" si="28"/>
        <v>9.6</v>
      </c>
      <c r="S102" s="129">
        <f t="shared" si="28"/>
        <v>9.6</v>
      </c>
      <c r="T102" s="129">
        <f t="shared" si="29"/>
        <v>9.6</v>
      </c>
      <c r="U102" s="129">
        <f t="shared" si="29"/>
        <v>9.6</v>
      </c>
      <c r="V102" s="129">
        <f t="shared" si="29"/>
        <v>9.6</v>
      </c>
      <c r="W102" s="129">
        <f t="shared" si="29"/>
        <v>9.6</v>
      </c>
      <c r="X102" s="129">
        <f t="shared" si="29"/>
        <v>9.6</v>
      </c>
      <c r="Y102" s="129">
        <f t="shared" si="29"/>
        <v>9.6</v>
      </c>
      <c r="Z102" s="129">
        <f t="shared" si="29"/>
        <v>9.6</v>
      </c>
      <c r="AA102" s="129">
        <f t="shared" si="29"/>
        <v>9.6</v>
      </c>
      <c r="AB102" s="129">
        <f t="shared" si="29"/>
        <v>9.6</v>
      </c>
      <c r="AC102" s="129">
        <f t="shared" si="29"/>
        <v>9.6</v>
      </c>
      <c r="AD102" s="129">
        <f t="shared" si="29"/>
        <v>9.6</v>
      </c>
      <c r="AE102" s="129">
        <f t="shared" si="29"/>
        <v>9.6</v>
      </c>
      <c r="AF102" s="129">
        <f t="shared" si="29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7"/>
        <v>9.98</v>
      </c>
      <c r="C103" s="130">
        <v>9.98</v>
      </c>
      <c r="D103" s="129">
        <f t="shared" si="28"/>
        <v>9.98</v>
      </c>
      <c r="E103" s="129">
        <f t="shared" si="28"/>
        <v>9.98</v>
      </c>
      <c r="F103" s="129">
        <f t="shared" si="28"/>
        <v>9.98</v>
      </c>
      <c r="G103" s="129">
        <f t="shared" si="28"/>
        <v>9.98</v>
      </c>
      <c r="H103" s="129">
        <f t="shared" si="28"/>
        <v>9.98</v>
      </c>
      <c r="I103" s="129">
        <f t="shared" si="28"/>
        <v>9.98</v>
      </c>
      <c r="J103" s="129">
        <f t="shared" si="28"/>
        <v>9.98</v>
      </c>
      <c r="K103" s="129">
        <f t="shared" si="28"/>
        <v>9.98</v>
      </c>
      <c r="L103" s="129">
        <f t="shared" si="28"/>
        <v>9.98</v>
      </c>
      <c r="M103" s="129">
        <f t="shared" si="28"/>
        <v>9.98</v>
      </c>
      <c r="N103" s="129">
        <f t="shared" si="28"/>
        <v>9.98</v>
      </c>
      <c r="O103" s="129">
        <f t="shared" si="28"/>
        <v>9.98</v>
      </c>
      <c r="P103" s="129">
        <f t="shared" si="28"/>
        <v>9.98</v>
      </c>
      <c r="Q103" s="129">
        <f t="shared" si="28"/>
        <v>9.98</v>
      </c>
      <c r="R103" s="129">
        <f t="shared" si="28"/>
        <v>9.98</v>
      </c>
      <c r="S103" s="129">
        <f t="shared" si="28"/>
        <v>9.98</v>
      </c>
      <c r="T103" s="129">
        <f t="shared" si="29"/>
        <v>9.98</v>
      </c>
      <c r="U103" s="129">
        <f t="shared" si="29"/>
        <v>9.98</v>
      </c>
      <c r="V103" s="129">
        <f t="shared" si="29"/>
        <v>9.98</v>
      </c>
      <c r="W103" s="129">
        <f t="shared" si="29"/>
        <v>9.98</v>
      </c>
      <c r="X103" s="129">
        <f t="shared" si="29"/>
        <v>9.98</v>
      </c>
      <c r="Y103" s="129">
        <f t="shared" si="29"/>
        <v>9.98</v>
      </c>
      <c r="Z103" s="129">
        <f t="shared" si="29"/>
        <v>9.98</v>
      </c>
      <c r="AA103" s="129">
        <f t="shared" si="29"/>
        <v>9.98</v>
      </c>
      <c r="AB103" s="129">
        <f t="shared" si="29"/>
        <v>9.98</v>
      </c>
      <c r="AC103" s="129">
        <f t="shared" si="29"/>
        <v>9.98</v>
      </c>
      <c r="AD103" s="129">
        <f t="shared" si="29"/>
        <v>9.98</v>
      </c>
      <c r="AE103" s="129">
        <f t="shared" si="29"/>
        <v>9.98</v>
      </c>
      <c r="AF103" s="129">
        <f t="shared" si="29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7"/>
        <v>9.1</v>
      </c>
      <c r="C104" s="130">
        <v>9.1</v>
      </c>
      <c r="D104" s="129">
        <f t="shared" si="28"/>
        <v>9.1</v>
      </c>
      <c r="E104" s="129">
        <f t="shared" si="28"/>
        <v>9.1</v>
      </c>
      <c r="F104" s="129">
        <f t="shared" si="28"/>
        <v>9.1</v>
      </c>
      <c r="G104" s="129">
        <f t="shared" si="28"/>
        <v>9.1</v>
      </c>
      <c r="H104" s="129">
        <f t="shared" si="28"/>
        <v>9.1</v>
      </c>
      <c r="I104" s="129">
        <f t="shared" si="28"/>
        <v>9.1</v>
      </c>
      <c r="J104" s="129">
        <f t="shared" si="28"/>
        <v>9.1</v>
      </c>
      <c r="K104" s="129">
        <f t="shared" si="28"/>
        <v>9.1</v>
      </c>
      <c r="L104" s="129">
        <f t="shared" si="28"/>
        <v>9.1</v>
      </c>
      <c r="M104" s="129">
        <f t="shared" si="28"/>
        <v>9.1</v>
      </c>
      <c r="N104" s="129">
        <f t="shared" si="28"/>
        <v>9.1</v>
      </c>
      <c r="O104" s="129">
        <f t="shared" si="28"/>
        <v>9.1</v>
      </c>
      <c r="P104" s="129">
        <f t="shared" si="28"/>
        <v>9.1</v>
      </c>
      <c r="Q104" s="129">
        <f t="shared" si="28"/>
        <v>9.1</v>
      </c>
      <c r="R104" s="129">
        <f t="shared" si="28"/>
        <v>9.1</v>
      </c>
      <c r="S104" s="129">
        <f t="shared" si="28"/>
        <v>9.1</v>
      </c>
      <c r="T104" s="129">
        <f t="shared" si="29"/>
        <v>9.1</v>
      </c>
      <c r="U104" s="129">
        <f t="shared" si="29"/>
        <v>9.1</v>
      </c>
      <c r="V104" s="129">
        <f t="shared" si="29"/>
        <v>9.1</v>
      </c>
      <c r="W104" s="129">
        <f t="shared" si="29"/>
        <v>9.1</v>
      </c>
      <c r="X104" s="129">
        <f t="shared" si="29"/>
        <v>9.1</v>
      </c>
      <c r="Y104" s="129">
        <f t="shared" si="29"/>
        <v>9.1</v>
      </c>
      <c r="Z104" s="129">
        <f t="shared" si="29"/>
        <v>9.1</v>
      </c>
      <c r="AA104" s="129">
        <f t="shared" si="29"/>
        <v>9.1</v>
      </c>
      <c r="AB104" s="129">
        <f t="shared" si="29"/>
        <v>9.1</v>
      </c>
      <c r="AC104" s="129">
        <f t="shared" si="29"/>
        <v>9.1</v>
      </c>
      <c r="AD104" s="129">
        <f t="shared" si="29"/>
        <v>9.1</v>
      </c>
      <c r="AE104" s="129">
        <f t="shared" si="29"/>
        <v>9.1</v>
      </c>
      <c r="AF104" s="129">
        <f t="shared" si="29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7"/>
        <v>9.18</v>
      </c>
      <c r="C105" s="130">
        <v>9.18</v>
      </c>
      <c r="D105" s="129">
        <f t="shared" si="28"/>
        <v>9.18</v>
      </c>
      <c r="E105" s="129">
        <f t="shared" si="28"/>
        <v>9.18</v>
      </c>
      <c r="F105" s="129">
        <f t="shared" si="28"/>
        <v>9.18</v>
      </c>
      <c r="G105" s="129">
        <f t="shared" si="28"/>
        <v>9.18</v>
      </c>
      <c r="H105" s="129">
        <f t="shared" si="28"/>
        <v>9.18</v>
      </c>
      <c r="I105" s="129">
        <f t="shared" si="28"/>
        <v>9.18</v>
      </c>
      <c r="J105" s="129">
        <f t="shared" si="28"/>
        <v>9.18</v>
      </c>
      <c r="K105" s="129">
        <f t="shared" si="28"/>
        <v>9.18</v>
      </c>
      <c r="L105" s="129">
        <f t="shared" si="28"/>
        <v>9.18</v>
      </c>
      <c r="M105" s="129">
        <f t="shared" si="28"/>
        <v>9.18</v>
      </c>
      <c r="N105" s="129">
        <f t="shared" si="28"/>
        <v>9.18</v>
      </c>
      <c r="O105" s="129">
        <f t="shared" si="28"/>
        <v>9.18</v>
      </c>
      <c r="P105" s="129">
        <f t="shared" si="28"/>
        <v>9.18</v>
      </c>
      <c r="Q105" s="129">
        <f t="shared" si="28"/>
        <v>9.18</v>
      </c>
      <c r="R105" s="129">
        <f t="shared" si="28"/>
        <v>9.18</v>
      </c>
      <c r="S105" s="129">
        <f t="shared" si="28"/>
        <v>9.18</v>
      </c>
      <c r="T105" s="129">
        <f t="shared" si="29"/>
        <v>9.18</v>
      </c>
      <c r="U105" s="129">
        <f t="shared" si="29"/>
        <v>9.18</v>
      </c>
      <c r="V105" s="129">
        <f t="shared" si="29"/>
        <v>9.18</v>
      </c>
      <c r="W105" s="129">
        <f t="shared" si="29"/>
        <v>9.18</v>
      </c>
      <c r="X105" s="129">
        <f t="shared" si="29"/>
        <v>9.18</v>
      </c>
      <c r="Y105" s="129">
        <f t="shared" si="29"/>
        <v>9.18</v>
      </c>
      <c r="Z105" s="129">
        <f t="shared" si="29"/>
        <v>9.18</v>
      </c>
      <c r="AA105" s="129">
        <f t="shared" si="29"/>
        <v>9.18</v>
      </c>
      <c r="AB105" s="129">
        <f t="shared" si="29"/>
        <v>9.18</v>
      </c>
      <c r="AC105" s="129">
        <f t="shared" si="29"/>
        <v>9.18</v>
      </c>
      <c r="AD105" s="129">
        <f t="shared" si="29"/>
        <v>9.18</v>
      </c>
      <c r="AE105" s="129">
        <f t="shared" si="29"/>
        <v>9.18</v>
      </c>
      <c r="AF105" s="129">
        <f t="shared" si="29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7"/>
        <v>7</v>
      </c>
      <c r="C106" s="130">
        <v>7</v>
      </c>
      <c r="D106" s="129">
        <f t="shared" si="28"/>
        <v>7</v>
      </c>
      <c r="E106" s="129">
        <f t="shared" si="28"/>
        <v>7</v>
      </c>
      <c r="F106" s="129">
        <f t="shared" si="28"/>
        <v>7</v>
      </c>
      <c r="G106" s="129">
        <f t="shared" si="28"/>
        <v>7</v>
      </c>
      <c r="H106" s="129">
        <f t="shared" si="28"/>
        <v>7</v>
      </c>
      <c r="I106" s="129">
        <f t="shared" si="28"/>
        <v>7</v>
      </c>
      <c r="J106" s="129">
        <f t="shared" si="28"/>
        <v>7</v>
      </c>
      <c r="K106" s="129">
        <f t="shared" si="28"/>
        <v>7</v>
      </c>
      <c r="L106" s="129">
        <f t="shared" si="28"/>
        <v>7</v>
      </c>
      <c r="M106" s="129">
        <f t="shared" si="28"/>
        <v>7</v>
      </c>
      <c r="N106" s="129">
        <f t="shared" si="28"/>
        <v>7</v>
      </c>
      <c r="O106" s="129">
        <f t="shared" si="28"/>
        <v>7</v>
      </c>
      <c r="P106" s="129">
        <f t="shared" si="28"/>
        <v>7</v>
      </c>
      <c r="Q106" s="129">
        <f t="shared" si="28"/>
        <v>7</v>
      </c>
      <c r="R106" s="129">
        <f t="shared" si="28"/>
        <v>7</v>
      </c>
      <c r="S106" s="129">
        <f t="shared" si="28"/>
        <v>7</v>
      </c>
      <c r="T106" s="129">
        <f t="shared" si="29"/>
        <v>7</v>
      </c>
      <c r="U106" s="129">
        <f t="shared" si="29"/>
        <v>7</v>
      </c>
      <c r="V106" s="129">
        <f t="shared" si="29"/>
        <v>7</v>
      </c>
      <c r="W106" s="129">
        <f t="shared" si="29"/>
        <v>7</v>
      </c>
      <c r="X106" s="129">
        <f t="shared" si="29"/>
        <v>7</v>
      </c>
      <c r="Y106" s="129">
        <f t="shared" si="29"/>
        <v>7</v>
      </c>
      <c r="Z106" s="129">
        <f t="shared" si="29"/>
        <v>7</v>
      </c>
      <c r="AA106" s="129">
        <f t="shared" si="29"/>
        <v>7</v>
      </c>
      <c r="AB106" s="129">
        <f t="shared" si="29"/>
        <v>7</v>
      </c>
      <c r="AC106" s="129">
        <f t="shared" si="29"/>
        <v>7</v>
      </c>
      <c r="AD106" s="129">
        <f t="shared" si="29"/>
        <v>7</v>
      </c>
      <c r="AE106" s="129">
        <f t="shared" si="29"/>
        <v>7</v>
      </c>
      <c r="AF106" s="129">
        <f t="shared" si="29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30">C108</f>
        <v>2.25</v>
      </c>
      <c r="E108" s="129">
        <f t="shared" si="30"/>
        <v>2.25</v>
      </c>
      <c r="F108" s="129">
        <f t="shared" si="30"/>
        <v>2.25</v>
      </c>
      <c r="G108" s="129">
        <f t="shared" si="30"/>
        <v>2.25</v>
      </c>
      <c r="H108" s="129">
        <f t="shared" si="30"/>
        <v>2.25</v>
      </c>
      <c r="I108" s="129">
        <f t="shared" si="30"/>
        <v>2.25</v>
      </c>
      <c r="J108" s="129">
        <f t="shared" si="30"/>
        <v>2.25</v>
      </c>
      <c r="K108" s="129">
        <f t="shared" si="30"/>
        <v>2.25</v>
      </c>
      <c r="L108" s="129">
        <f t="shared" si="30"/>
        <v>2.25</v>
      </c>
      <c r="M108" s="129">
        <f t="shared" si="30"/>
        <v>2.25</v>
      </c>
      <c r="N108" s="129">
        <f t="shared" si="30"/>
        <v>2.25</v>
      </c>
      <c r="O108" s="129">
        <f t="shared" si="30"/>
        <v>2.25</v>
      </c>
      <c r="P108" s="129">
        <f t="shared" si="30"/>
        <v>2.25</v>
      </c>
      <c r="Q108" s="129">
        <f t="shared" si="30"/>
        <v>2.25</v>
      </c>
      <c r="R108" s="129">
        <f t="shared" si="30"/>
        <v>2.25</v>
      </c>
      <c r="S108" s="129">
        <f t="shared" si="30"/>
        <v>2.25</v>
      </c>
      <c r="T108" s="129">
        <f t="shared" ref="T108:AF109" si="31">S108</f>
        <v>2.25</v>
      </c>
      <c r="U108" s="129">
        <f t="shared" si="31"/>
        <v>2.25</v>
      </c>
      <c r="V108" s="129">
        <f t="shared" si="31"/>
        <v>2.25</v>
      </c>
      <c r="W108" s="129">
        <f t="shared" si="31"/>
        <v>2.25</v>
      </c>
      <c r="X108" s="129">
        <f t="shared" si="31"/>
        <v>2.25</v>
      </c>
      <c r="Y108" s="129">
        <f t="shared" si="31"/>
        <v>2.25</v>
      </c>
      <c r="Z108" s="129">
        <f t="shared" si="31"/>
        <v>2.25</v>
      </c>
      <c r="AA108" s="129">
        <f t="shared" si="31"/>
        <v>2.25</v>
      </c>
      <c r="AB108" s="129">
        <f t="shared" si="31"/>
        <v>2.25</v>
      </c>
      <c r="AC108" s="129">
        <f t="shared" si="31"/>
        <v>2.25</v>
      </c>
      <c r="AD108" s="129">
        <f t="shared" si="31"/>
        <v>2.25</v>
      </c>
      <c r="AE108" s="129">
        <f t="shared" si="31"/>
        <v>2.25</v>
      </c>
      <c r="AF108" s="129">
        <f t="shared" si="31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30"/>
        <v>1.64</v>
      </c>
      <c r="E109" s="129">
        <f t="shared" si="30"/>
        <v>1.64</v>
      </c>
      <c r="F109" s="129">
        <f t="shared" si="30"/>
        <v>1.64</v>
      </c>
      <c r="G109" s="129">
        <f t="shared" si="30"/>
        <v>1.64</v>
      </c>
      <c r="H109" s="129">
        <f t="shared" si="30"/>
        <v>1.64</v>
      </c>
      <c r="I109" s="129">
        <f t="shared" si="30"/>
        <v>1.64</v>
      </c>
      <c r="J109" s="129">
        <f t="shared" si="30"/>
        <v>1.64</v>
      </c>
      <c r="K109" s="129">
        <f t="shared" si="30"/>
        <v>1.64</v>
      </c>
      <c r="L109" s="129">
        <f t="shared" si="30"/>
        <v>1.64</v>
      </c>
      <c r="M109" s="129">
        <f t="shared" si="30"/>
        <v>1.64</v>
      </c>
      <c r="N109" s="129">
        <f t="shared" si="30"/>
        <v>1.64</v>
      </c>
      <c r="O109" s="129">
        <f t="shared" si="30"/>
        <v>1.64</v>
      </c>
      <c r="P109" s="129">
        <f t="shared" si="30"/>
        <v>1.64</v>
      </c>
      <c r="Q109" s="129">
        <f t="shared" si="30"/>
        <v>1.64</v>
      </c>
      <c r="R109" s="129">
        <f t="shared" si="30"/>
        <v>1.64</v>
      </c>
      <c r="S109" s="129">
        <f t="shared" si="30"/>
        <v>1.64</v>
      </c>
      <c r="T109" s="129">
        <f t="shared" si="31"/>
        <v>1.64</v>
      </c>
      <c r="U109" s="129">
        <f t="shared" si="31"/>
        <v>1.64</v>
      </c>
      <c r="V109" s="129">
        <f t="shared" si="31"/>
        <v>1.64</v>
      </c>
      <c r="W109" s="129">
        <f t="shared" si="31"/>
        <v>1.64</v>
      </c>
      <c r="X109" s="129">
        <f t="shared" si="31"/>
        <v>1.64</v>
      </c>
      <c r="Y109" s="129">
        <f t="shared" si="31"/>
        <v>1.64</v>
      </c>
      <c r="Z109" s="129">
        <f t="shared" si="31"/>
        <v>1.64</v>
      </c>
      <c r="AA109" s="129">
        <f t="shared" si="31"/>
        <v>1.64</v>
      </c>
      <c r="AB109" s="129">
        <f t="shared" si="31"/>
        <v>1.64</v>
      </c>
      <c r="AC109" s="129">
        <f t="shared" si="31"/>
        <v>1.64</v>
      </c>
      <c r="AD109" s="129">
        <f t="shared" si="31"/>
        <v>1.64</v>
      </c>
      <c r="AE109" s="129">
        <f t="shared" si="31"/>
        <v>1.64</v>
      </c>
      <c r="AF109" s="129">
        <f t="shared" si="31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2">AF111</f>
        <v>1.62</v>
      </c>
      <c r="C111" s="130">
        <v>1.62</v>
      </c>
      <c r="D111" s="129">
        <f t="shared" ref="D111:S118" si="33">C111</f>
        <v>1.62</v>
      </c>
      <c r="E111" s="129">
        <f t="shared" si="33"/>
        <v>1.62</v>
      </c>
      <c r="F111" s="129">
        <f t="shared" si="33"/>
        <v>1.62</v>
      </c>
      <c r="G111" s="129">
        <f t="shared" si="33"/>
        <v>1.62</v>
      </c>
      <c r="H111" s="129">
        <f t="shared" si="33"/>
        <v>1.62</v>
      </c>
      <c r="I111" s="129">
        <f t="shared" si="33"/>
        <v>1.62</v>
      </c>
      <c r="J111" s="129">
        <f t="shared" si="33"/>
        <v>1.62</v>
      </c>
      <c r="K111" s="129">
        <f t="shared" si="33"/>
        <v>1.62</v>
      </c>
      <c r="L111" s="129">
        <f t="shared" si="33"/>
        <v>1.62</v>
      </c>
      <c r="M111" s="129">
        <f t="shared" si="33"/>
        <v>1.62</v>
      </c>
      <c r="N111" s="129">
        <f t="shared" si="33"/>
        <v>1.62</v>
      </c>
      <c r="O111" s="129">
        <f t="shared" si="33"/>
        <v>1.62</v>
      </c>
      <c r="P111" s="129">
        <f t="shared" si="33"/>
        <v>1.62</v>
      </c>
      <c r="Q111" s="129">
        <f t="shared" si="33"/>
        <v>1.62</v>
      </c>
      <c r="R111" s="129">
        <f t="shared" si="33"/>
        <v>1.62</v>
      </c>
      <c r="S111" s="129">
        <f t="shared" si="33"/>
        <v>1.62</v>
      </c>
      <c r="T111" s="129">
        <f t="shared" ref="T111:AF126" si="34">S111</f>
        <v>1.62</v>
      </c>
      <c r="U111" s="129">
        <f t="shared" si="34"/>
        <v>1.62</v>
      </c>
      <c r="V111" s="129">
        <f t="shared" si="34"/>
        <v>1.62</v>
      </c>
      <c r="W111" s="129">
        <f t="shared" si="34"/>
        <v>1.62</v>
      </c>
      <c r="X111" s="129">
        <f t="shared" si="34"/>
        <v>1.62</v>
      </c>
      <c r="Y111" s="129">
        <f t="shared" si="34"/>
        <v>1.62</v>
      </c>
      <c r="Z111" s="129">
        <f t="shared" si="34"/>
        <v>1.62</v>
      </c>
      <c r="AA111" s="129">
        <f t="shared" si="34"/>
        <v>1.62</v>
      </c>
      <c r="AB111" s="129">
        <f t="shared" si="34"/>
        <v>1.62</v>
      </c>
      <c r="AC111" s="129">
        <f t="shared" si="34"/>
        <v>1.62</v>
      </c>
      <c r="AD111" s="129">
        <f t="shared" si="34"/>
        <v>1.62</v>
      </c>
      <c r="AE111" s="129">
        <f t="shared" si="34"/>
        <v>1.62</v>
      </c>
      <c r="AF111" s="129">
        <f t="shared" si="34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2"/>
        <v>8.36</v>
      </c>
      <c r="C112" s="130">
        <v>8.36</v>
      </c>
      <c r="D112" s="129">
        <f t="shared" si="33"/>
        <v>8.36</v>
      </c>
      <c r="E112" s="129">
        <f t="shared" si="33"/>
        <v>8.36</v>
      </c>
      <c r="F112" s="129">
        <f t="shared" si="33"/>
        <v>8.36</v>
      </c>
      <c r="G112" s="129">
        <f t="shared" si="33"/>
        <v>8.36</v>
      </c>
      <c r="H112" s="129">
        <f t="shared" si="33"/>
        <v>8.36</v>
      </c>
      <c r="I112" s="129">
        <f t="shared" si="33"/>
        <v>8.36</v>
      </c>
      <c r="J112" s="129">
        <f t="shared" si="33"/>
        <v>8.36</v>
      </c>
      <c r="K112" s="129">
        <f t="shared" si="33"/>
        <v>8.36</v>
      </c>
      <c r="L112" s="129">
        <f t="shared" si="33"/>
        <v>8.36</v>
      </c>
      <c r="M112" s="129">
        <f t="shared" si="33"/>
        <v>8.36</v>
      </c>
      <c r="N112" s="129">
        <f t="shared" si="33"/>
        <v>8.36</v>
      </c>
      <c r="O112" s="129">
        <f t="shared" si="33"/>
        <v>8.36</v>
      </c>
      <c r="P112" s="129">
        <f t="shared" si="33"/>
        <v>8.36</v>
      </c>
      <c r="Q112" s="129">
        <f t="shared" si="33"/>
        <v>8.36</v>
      </c>
      <c r="R112" s="129">
        <f t="shared" si="33"/>
        <v>8.36</v>
      </c>
      <c r="S112" s="129">
        <f t="shared" si="33"/>
        <v>8.36</v>
      </c>
      <c r="T112" s="129">
        <f t="shared" si="34"/>
        <v>8.36</v>
      </c>
      <c r="U112" s="129">
        <f t="shared" si="34"/>
        <v>8.36</v>
      </c>
      <c r="V112" s="129">
        <f t="shared" si="34"/>
        <v>8.36</v>
      </c>
      <c r="W112" s="129">
        <f t="shared" si="34"/>
        <v>8.36</v>
      </c>
      <c r="X112" s="129">
        <f t="shared" si="34"/>
        <v>8.36</v>
      </c>
      <c r="Y112" s="129">
        <f t="shared" si="34"/>
        <v>8.36</v>
      </c>
      <c r="Z112" s="129">
        <f t="shared" si="34"/>
        <v>8.36</v>
      </c>
      <c r="AA112" s="129">
        <f t="shared" si="34"/>
        <v>8.36</v>
      </c>
      <c r="AB112" s="129">
        <f t="shared" si="34"/>
        <v>8.36</v>
      </c>
      <c r="AC112" s="129">
        <f t="shared" si="34"/>
        <v>8.36</v>
      </c>
      <c r="AD112" s="129">
        <f t="shared" si="34"/>
        <v>8.36</v>
      </c>
      <c r="AE112" s="129">
        <f t="shared" si="34"/>
        <v>8.36</v>
      </c>
      <c r="AF112" s="129">
        <f t="shared" si="34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2"/>
        <v>5.4</v>
      </c>
      <c r="C113" s="130">
        <v>8</v>
      </c>
      <c r="D113" s="129">
        <f t="shared" si="33"/>
        <v>8</v>
      </c>
      <c r="E113" s="129">
        <f t="shared" si="33"/>
        <v>8</v>
      </c>
      <c r="F113" s="129">
        <f t="shared" si="33"/>
        <v>8</v>
      </c>
      <c r="G113" s="129">
        <f t="shared" si="33"/>
        <v>8</v>
      </c>
      <c r="H113" s="129">
        <f t="shared" si="33"/>
        <v>8</v>
      </c>
      <c r="I113" s="129">
        <f t="shared" si="33"/>
        <v>8</v>
      </c>
      <c r="J113" s="129">
        <v>5.4</v>
      </c>
      <c r="K113" s="129">
        <f t="shared" si="33"/>
        <v>5.4</v>
      </c>
      <c r="L113" s="129">
        <f t="shared" si="33"/>
        <v>5.4</v>
      </c>
      <c r="M113" s="129">
        <f t="shared" si="33"/>
        <v>5.4</v>
      </c>
      <c r="N113" s="129">
        <f t="shared" si="33"/>
        <v>5.4</v>
      </c>
      <c r="O113" s="129">
        <f t="shared" si="33"/>
        <v>5.4</v>
      </c>
      <c r="P113" s="129">
        <f t="shared" si="33"/>
        <v>5.4</v>
      </c>
      <c r="Q113" s="129">
        <f t="shared" si="33"/>
        <v>5.4</v>
      </c>
      <c r="R113" s="129">
        <f t="shared" si="33"/>
        <v>5.4</v>
      </c>
      <c r="S113" s="129">
        <f t="shared" si="33"/>
        <v>5.4</v>
      </c>
      <c r="T113" s="129">
        <f t="shared" si="34"/>
        <v>5.4</v>
      </c>
      <c r="U113" s="129">
        <f t="shared" si="34"/>
        <v>5.4</v>
      </c>
      <c r="V113" s="129">
        <f t="shared" si="34"/>
        <v>5.4</v>
      </c>
      <c r="W113" s="129">
        <f t="shared" si="34"/>
        <v>5.4</v>
      </c>
      <c r="X113" s="129">
        <f t="shared" si="34"/>
        <v>5.4</v>
      </c>
      <c r="Y113" s="129">
        <f t="shared" si="34"/>
        <v>5.4</v>
      </c>
      <c r="Z113" s="129">
        <f t="shared" si="34"/>
        <v>5.4</v>
      </c>
      <c r="AA113" s="129">
        <f t="shared" si="34"/>
        <v>5.4</v>
      </c>
      <c r="AB113" s="129">
        <f t="shared" si="34"/>
        <v>5.4</v>
      </c>
      <c r="AC113" s="129">
        <f t="shared" si="34"/>
        <v>5.4</v>
      </c>
      <c r="AD113" s="129">
        <f t="shared" si="34"/>
        <v>5.4</v>
      </c>
      <c r="AE113" s="129">
        <f t="shared" si="34"/>
        <v>5.4</v>
      </c>
      <c r="AF113" s="129">
        <f t="shared" si="34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2"/>
        <v>6.57</v>
      </c>
      <c r="C114" s="130">
        <v>6.57</v>
      </c>
      <c r="D114" s="129">
        <f t="shared" si="33"/>
        <v>6.57</v>
      </c>
      <c r="E114" s="129">
        <f t="shared" si="33"/>
        <v>6.57</v>
      </c>
      <c r="F114" s="129">
        <f t="shared" si="33"/>
        <v>6.57</v>
      </c>
      <c r="G114" s="129">
        <f t="shared" si="33"/>
        <v>6.57</v>
      </c>
      <c r="H114" s="129">
        <f t="shared" si="33"/>
        <v>6.57</v>
      </c>
      <c r="I114" s="129">
        <f t="shared" si="33"/>
        <v>6.57</v>
      </c>
      <c r="J114" s="129">
        <f t="shared" si="33"/>
        <v>6.57</v>
      </c>
      <c r="K114" s="129">
        <f t="shared" si="33"/>
        <v>6.57</v>
      </c>
      <c r="L114" s="129">
        <f t="shared" si="33"/>
        <v>6.57</v>
      </c>
      <c r="M114" s="129">
        <f t="shared" si="33"/>
        <v>6.57</v>
      </c>
      <c r="N114" s="129">
        <f t="shared" si="33"/>
        <v>6.57</v>
      </c>
      <c r="O114" s="129">
        <f t="shared" si="33"/>
        <v>6.57</v>
      </c>
      <c r="P114" s="129">
        <f t="shared" si="33"/>
        <v>6.57</v>
      </c>
      <c r="Q114" s="129">
        <f t="shared" si="33"/>
        <v>6.57</v>
      </c>
      <c r="R114" s="129">
        <f t="shared" si="33"/>
        <v>6.57</v>
      </c>
      <c r="S114" s="129">
        <f t="shared" si="33"/>
        <v>6.57</v>
      </c>
      <c r="T114" s="129">
        <f t="shared" si="34"/>
        <v>6.57</v>
      </c>
      <c r="U114" s="129">
        <f t="shared" si="34"/>
        <v>6.57</v>
      </c>
      <c r="V114" s="129">
        <f t="shared" si="34"/>
        <v>6.57</v>
      </c>
      <c r="W114" s="129">
        <f t="shared" si="34"/>
        <v>6.57</v>
      </c>
      <c r="X114" s="129">
        <f t="shared" si="34"/>
        <v>6.57</v>
      </c>
      <c r="Y114" s="129">
        <f t="shared" si="34"/>
        <v>6.57</v>
      </c>
      <c r="Z114" s="129">
        <f t="shared" si="34"/>
        <v>6.57</v>
      </c>
      <c r="AA114" s="129">
        <f t="shared" si="34"/>
        <v>6.57</v>
      </c>
      <c r="AB114" s="129">
        <f t="shared" si="34"/>
        <v>6.57</v>
      </c>
      <c r="AC114" s="129">
        <f t="shared" si="34"/>
        <v>6.57</v>
      </c>
      <c r="AD114" s="129">
        <f t="shared" si="34"/>
        <v>6.57</v>
      </c>
      <c r="AE114" s="129">
        <f t="shared" si="34"/>
        <v>6.57</v>
      </c>
      <c r="AF114" s="129">
        <f t="shared" si="34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2"/>
        <v>3.43</v>
      </c>
      <c r="C115" s="130">
        <v>3.43</v>
      </c>
      <c r="D115" s="129">
        <f t="shared" si="33"/>
        <v>3.43</v>
      </c>
      <c r="E115" s="129">
        <f t="shared" si="33"/>
        <v>3.43</v>
      </c>
      <c r="F115" s="129">
        <f t="shared" si="33"/>
        <v>3.43</v>
      </c>
      <c r="G115" s="129">
        <f t="shared" si="33"/>
        <v>3.43</v>
      </c>
      <c r="H115" s="129">
        <f t="shared" si="33"/>
        <v>3.43</v>
      </c>
      <c r="I115" s="129">
        <f t="shared" si="33"/>
        <v>3.43</v>
      </c>
      <c r="J115" s="129">
        <f t="shared" si="33"/>
        <v>3.43</v>
      </c>
      <c r="K115" s="129">
        <f t="shared" si="33"/>
        <v>3.43</v>
      </c>
      <c r="L115" s="129">
        <f t="shared" si="33"/>
        <v>3.43</v>
      </c>
      <c r="M115" s="129">
        <f t="shared" si="33"/>
        <v>3.43</v>
      </c>
      <c r="N115" s="129">
        <f t="shared" si="33"/>
        <v>3.43</v>
      </c>
      <c r="O115" s="129">
        <f t="shared" si="33"/>
        <v>3.43</v>
      </c>
      <c r="P115" s="129">
        <f t="shared" si="33"/>
        <v>3.43</v>
      </c>
      <c r="Q115" s="129">
        <f t="shared" si="33"/>
        <v>3.43</v>
      </c>
      <c r="R115" s="129">
        <f t="shared" si="33"/>
        <v>3.43</v>
      </c>
      <c r="S115" s="129">
        <f t="shared" si="33"/>
        <v>3.43</v>
      </c>
      <c r="T115" s="129">
        <f t="shared" si="34"/>
        <v>3.43</v>
      </c>
      <c r="U115" s="129">
        <f t="shared" si="34"/>
        <v>3.43</v>
      </c>
      <c r="V115" s="129">
        <f t="shared" si="34"/>
        <v>3.43</v>
      </c>
      <c r="W115" s="129">
        <f t="shared" si="34"/>
        <v>3.43</v>
      </c>
      <c r="X115" s="129">
        <f t="shared" si="34"/>
        <v>3.43</v>
      </c>
      <c r="Y115" s="129">
        <f t="shared" si="34"/>
        <v>3.43</v>
      </c>
      <c r="Z115" s="129">
        <f t="shared" si="34"/>
        <v>3.43</v>
      </c>
      <c r="AA115" s="129">
        <f t="shared" si="34"/>
        <v>3.43</v>
      </c>
      <c r="AB115" s="129">
        <f t="shared" si="34"/>
        <v>3.43</v>
      </c>
      <c r="AC115" s="129">
        <f t="shared" si="34"/>
        <v>3.43</v>
      </c>
      <c r="AD115" s="129">
        <f t="shared" si="34"/>
        <v>3.43</v>
      </c>
      <c r="AE115" s="129">
        <f t="shared" si="34"/>
        <v>3.43</v>
      </c>
      <c r="AF115" s="129">
        <f t="shared" si="34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2"/>
        <v>2.96</v>
      </c>
      <c r="C116" s="130">
        <v>2.96</v>
      </c>
      <c r="D116" s="129">
        <f t="shared" si="33"/>
        <v>2.96</v>
      </c>
      <c r="E116" s="129">
        <f t="shared" si="33"/>
        <v>2.96</v>
      </c>
      <c r="F116" s="129">
        <f t="shared" si="33"/>
        <v>2.96</v>
      </c>
      <c r="G116" s="129">
        <f t="shared" si="33"/>
        <v>2.96</v>
      </c>
      <c r="H116" s="129">
        <f t="shared" si="33"/>
        <v>2.96</v>
      </c>
      <c r="I116" s="129">
        <f t="shared" si="33"/>
        <v>2.96</v>
      </c>
      <c r="J116" s="129">
        <f t="shared" si="33"/>
        <v>2.96</v>
      </c>
      <c r="K116" s="129">
        <f t="shared" si="33"/>
        <v>2.96</v>
      </c>
      <c r="L116" s="129">
        <f t="shared" si="33"/>
        <v>2.96</v>
      </c>
      <c r="M116" s="129">
        <f t="shared" si="33"/>
        <v>2.96</v>
      </c>
      <c r="N116" s="129">
        <f t="shared" si="33"/>
        <v>2.96</v>
      </c>
      <c r="O116" s="129">
        <f t="shared" si="33"/>
        <v>2.96</v>
      </c>
      <c r="P116" s="129">
        <f t="shared" si="33"/>
        <v>2.96</v>
      </c>
      <c r="Q116" s="129">
        <f t="shared" si="33"/>
        <v>2.96</v>
      </c>
      <c r="R116" s="129">
        <f t="shared" si="33"/>
        <v>2.96</v>
      </c>
      <c r="S116" s="129">
        <f t="shared" si="33"/>
        <v>2.96</v>
      </c>
      <c r="T116" s="129">
        <f t="shared" si="34"/>
        <v>2.96</v>
      </c>
      <c r="U116" s="129">
        <f t="shared" si="34"/>
        <v>2.96</v>
      </c>
      <c r="V116" s="129">
        <f t="shared" si="34"/>
        <v>2.96</v>
      </c>
      <c r="W116" s="129">
        <f t="shared" si="34"/>
        <v>2.96</v>
      </c>
      <c r="X116" s="129">
        <f t="shared" si="34"/>
        <v>2.96</v>
      </c>
      <c r="Y116" s="129">
        <f t="shared" si="34"/>
        <v>2.96</v>
      </c>
      <c r="Z116" s="129">
        <f t="shared" si="34"/>
        <v>2.96</v>
      </c>
      <c r="AA116" s="129">
        <f t="shared" si="34"/>
        <v>2.96</v>
      </c>
      <c r="AB116" s="129">
        <f t="shared" si="34"/>
        <v>2.96</v>
      </c>
      <c r="AC116" s="129">
        <f t="shared" si="34"/>
        <v>2.96</v>
      </c>
      <c r="AD116" s="129">
        <f t="shared" si="34"/>
        <v>2.96</v>
      </c>
      <c r="AE116" s="129">
        <f t="shared" si="34"/>
        <v>2.96</v>
      </c>
      <c r="AF116" s="129">
        <f t="shared" si="34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2"/>
        <v>8</v>
      </c>
      <c r="C117" s="130">
        <v>8</v>
      </c>
      <c r="D117" s="129">
        <f t="shared" si="33"/>
        <v>8</v>
      </c>
      <c r="E117" s="129">
        <f t="shared" si="33"/>
        <v>8</v>
      </c>
      <c r="F117" s="129">
        <f t="shared" si="33"/>
        <v>8</v>
      </c>
      <c r="G117" s="129">
        <f t="shared" si="33"/>
        <v>8</v>
      </c>
      <c r="H117" s="129">
        <f t="shared" si="33"/>
        <v>8</v>
      </c>
      <c r="I117" s="129">
        <f t="shared" si="33"/>
        <v>8</v>
      </c>
      <c r="J117" s="129">
        <f t="shared" si="33"/>
        <v>8</v>
      </c>
      <c r="K117" s="129">
        <f t="shared" si="33"/>
        <v>8</v>
      </c>
      <c r="L117" s="129">
        <f t="shared" si="33"/>
        <v>8</v>
      </c>
      <c r="M117" s="129">
        <f t="shared" si="33"/>
        <v>8</v>
      </c>
      <c r="N117" s="129">
        <f t="shared" si="33"/>
        <v>8</v>
      </c>
      <c r="O117" s="129">
        <f t="shared" si="33"/>
        <v>8</v>
      </c>
      <c r="P117" s="129">
        <f t="shared" si="33"/>
        <v>8</v>
      </c>
      <c r="Q117" s="129">
        <f t="shared" si="33"/>
        <v>8</v>
      </c>
      <c r="R117" s="129">
        <f t="shared" si="33"/>
        <v>8</v>
      </c>
      <c r="S117" s="129">
        <f t="shared" si="33"/>
        <v>8</v>
      </c>
      <c r="T117" s="129">
        <f t="shared" si="34"/>
        <v>8</v>
      </c>
      <c r="U117" s="129">
        <f t="shared" si="34"/>
        <v>8</v>
      </c>
      <c r="V117" s="129">
        <f t="shared" si="34"/>
        <v>8</v>
      </c>
      <c r="W117" s="129">
        <f t="shared" si="34"/>
        <v>8</v>
      </c>
      <c r="X117" s="129">
        <f t="shared" si="34"/>
        <v>8</v>
      </c>
      <c r="Y117" s="129">
        <f t="shared" si="34"/>
        <v>8</v>
      </c>
      <c r="Z117" s="129">
        <f t="shared" si="34"/>
        <v>8</v>
      </c>
      <c r="AA117" s="129">
        <f t="shared" si="34"/>
        <v>8</v>
      </c>
      <c r="AB117" s="129">
        <f t="shared" si="34"/>
        <v>8</v>
      </c>
      <c r="AC117" s="129">
        <f t="shared" si="34"/>
        <v>8</v>
      </c>
      <c r="AD117" s="129">
        <f t="shared" si="34"/>
        <v>8</v>
      </c>
      <c r="AE117" s="129">
        <f t="shared" si="34"/>
        <v>8</v>
      </c>
      <c r="AF117" s="129">
        <f t="shared" si="34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2"/>
        <v>7</v>
      </c>
      <c r="C118" s="130">
        <v>7</v>
      </c>
      <c r="D118" s="129">
        <f>C118</f>
        <v>7</v>
      </c>
      <c r="E118" s="129">
        <f t="shared" si="33"/>
        <v>7</v>
      </c>
      <c r="F118" s="129">
        <f t="shared" si="33"/>
        <v>7</v>
      </c>
      <c r="G118" s="129">
        <f t="shared" si="33"/>
        <v>7</v>
      </c>
      <c r="H118" s="129">
        <f t="shared" si="33"/>
        <v>7</v>
      </c>
      <c r="I118" s="129">
        <f t="shared" si="33"/>
        <v>7</v>
      </c>
      <c r="J118" s="129">
        <f t="shared" si="33"/>
        <v>7</v>
      </c>
      <c r="K118" s="129">
        <f t="shared" si="33"/>
        <v>7</v>
      </c>
      <c r="L118" s="129">
        <f t="shared" si="33"/>
        <v>7</v>
      </c>
      <c r="M118" s="129">
        <f t="shared" si="33"/>
        <v>7</v>
      </c>
      <c r="N118" s="129">
        <f t="shared" si="33"/>
        <v>7</v>
      </c>
      <c r="O118" s="129">
        <f t="shared" si="33"/>
        <v>7</v>
      </c>
      <c r="P118" s="129">
        <f t="shared" si="33"/>
        <v>7</v>
      </c>
      <c r="Q118" s="129">
        <f t="shared" si="33"/>
        <v>7</v>
      </c>
      <c r="R118" s="129">
        <f t="shared" si="33"/>
        <v>7</v>
      </c>
      <c r="S118" s="129">
        <f t="shared" si="33"/>
        <v>7</v>
      </c>
      <c r="T118" s="129">
        <f t="shared" si="34"/>
        <v>7</v>
      </c>
      <c r="U118" s="129">
        <f t="shared" si="34"/>
        <v>7</v>
      </c>
      <c r="V118" s="129">
        <f t="shared" si="34"/>
        <v>7</v>
      </c>
      <c r="W118" s="129">
        <f t="shared" si="34"/>
        <v>7</v>
      </c>
      <c r="X118" s="129">
        <f t="shared" si="34"/>
        <v>7</v>
      </c>
      <c r="Y118" s="129">
        <f t="shared" si="34"/>
        <v>7</v>
      </c>
      <c r="Z118" s="129">
        <f t="shared" si="34"/>
        <v>7</v>
      </c>
      <c r="AA118" s="129">
        <f t="shared" si="34"/>
        <v>7</v>
      </c>
      <c r="AB118" s="129">
        <f t="shared" si="34"/>
        <v>7</v>
      </c>
      <c r="AC118" s="129">
        <f t="shared" si="34"/>
        <v>7</v>
      </c>
      <c r="AD118" s="129">
        <f t="shared" si="34"/>
        <v>7</v>
      </c>
      <c r="AE118" s="129">
        <f t="shared" si="34"/>
        <v>7</v>
      </c>
      <c r="AF118" s="129">
        <f t="shared" si="34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2"/>
        <v>3.47</v>
      </c>
      <c r="C119" s="130">
        <v>3.47</v>
      </c>
      <c r="D119" s="129">
        <f t="shared" ref="D119:S128" si="35">C119</f>
        <v>3.47</v>
      </c>
      <c r="E119" s="129">
        <f t="shared" si="35"/>
        <v>3.47</v>
      </c>
      <c r="F119" s="129">
        <f t="shared" si="35"/>
        <v>3.47</v>
      </c>
      <c r="G119" s="129">
        <f t="shared" si="35"/>
        <v>3.47</v>
      </c>
      <c r="H119" s="129">
        <f t="shared" si="35"/>
        <v>3.47</v>
      </c>
      <c r="I119" s="129">
        <f t="shared" si="35"/>
        <v>3.47</v>
      </c>
      <c r="J119" s="129">
        <f t="shared" si="35"/>
        <v>3.47</v>
      </c>
      <c r="K119" s="129">
        <f t="shared" si="35"/>
        <v>3.47</v>
      </c>
      <c r="L119" s="129">
        <f t="shared" si="35"/>
        <v>3.47</v>
      </c>
      <c r="M119" s="129">
        <f t="shared" si="35"/>
        <v>3.47</v>
      </c>
      <c r="N119" s="129">
        <f t="shared" si="35"/>
        <v>3.47</v>
      </c>
      <c r="O119" s="129">
        <f t="shared" si="35"/>
        <v>3.47</v>
      </c>
      <c r="P119" s="129">
        <f t="shared" si="35"/>
        <v>3.47</v>
      </c>
      <c r="Q119" s="129">
        <f t="shared" si="35"/>
        <v>3.47</v>
      </c>
      <c r="R119" s="129">
        <f t="shared" si="35"/>
        <v>3.47</v>
      </c>
      <c r="S119" s="129">
        <f t="shared" si="35"/>
        <v>3.47</v>
      </c>
      <c r="T119" s="129">
        <f t="shared" si="34"/>
        <v>3.47</v>
      </c>
      <c r="U119" s="129">
        <f t="shared" si="34"/>
        <v>3.47</v>
      </c>
      <c r="V119" s="129">
        <f t="shared" si="34"/>
        <v>3.47</v>
      </c>
      <c r="W119" s="129">
        <f t="shared" si="34"/>
        <v>3.47</v>
      </c>
      <c r="X119" s="129">
        <f t="shared" si="34"/>
        <v>3.47</v>
      </c>
      <c r="Y119" s="129">
        <f t="shared" si="34"/>
        <v>3.47</v>
      </c>
      <c r="Z119" s="129">
        <f t="shared" si="34"/>
        <v>3.47</v>
      </c>
      <c r="AA119" s="129">
        <f t="shared" si="34"/>
        <v>3.47</v>
      </c>
      <c r="AB119" s="129">
        <f t="shared" si="34"/>
        <v>3.47</v>
      </c>
      <c r="AC119" s="129">
        <f t="shared" si="34"/>
        <v>3.47</v>
      </c>
      <c r="AD119" s="129">
        <f t="shared" si="34"/>
        <v>3.47</v>
      </c>
      <c r="AE119" s="129">
        <f t="shared" si="34"/>
        <v>3.47</v>
      </c>
      <c r="AF119" s="129">
        <f t="shared" si="34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2"/>
        <v>2.1</v>
      </c>
      <c r="C120" s="130">
        <v>2.1</v>
      </c>
      <c r="D120" s="129">
        <f t="shared" si="35"/>
        <v>2.1</v>
      </c>
      <c r="E120" s="129">
        <f t="shared" si="35"/>
        <v>2.1</v>
      </c>
      <c r="F120" s="129">
        <f t="shared" si="35"/>
        <v>2.1</v>
      </c>
      <c r="G120" s="129">
        <f t="shared" si="35"/>
        <v>2.1</v>
      </c>
      <c r="H120" s="129">
        <f t="shared" si="35"/>
        <v>2.1</v>
      </c>
      <c r="I120" s="129">
        <f t="shared" si="35"/>
        <v>2.1</v>
      </c>
      <c r="J120" s="129">
        <f t="shared" si="35"/>
        <v>2.1</v>
      </c>
      <c r="K120" s="129">
        <f t="shared" si="35"/>
        <v>2.1</v>
      </c>
      <c r="L120" s="129">
        <f t="shared" si="35"/>
        <v>2.1</v>
      </c>
      <c r="M120" s="129">
        <f t="shared" si="35"/>
        <v>2.1</v>
      </c>
      <c r="N120" s="129">
        <f t="shared" si="35"/>
        <v>2.1</v>
      </c>
      <c r="O120" s="129">
        <f t="shared" si="35"/>
        <v>2.1</v>
      </c>
      <c r="P120" s="129">
        <f t="shared" si="35"/>
        <v>2.1</v>
      </c>
      <c r="Q120" s="129">
        <f t="shared" si="35"/>
        <v>2.1</v>
      </c>
      <c r="R120" s="129">
        <f t="shared" si="35"/>
        <v>2.1</v>
      </c>
      <c r="S120" s="129">
        <f t="shared" si="35"/>
        <v>2.1</v>
      </c>
      <c r="T120" s="129">
        <f t="shared" si="34"/>
        <v>2.1</v>
      </c>
      <c r="U120" s="129">
        <f t="shared" si="34"/>
        <v>2.1</v>
      </c>
      <c r="V120" s="129">
        <f t="shared" si="34"/>
        <v>2.1</v>
      </c>
      <c r="W120" s="129">
        <f t="shared" si="34"/>
        <v>2.1</v>
      </c>
      <c r="X120" s="129">
        <f t="shared" si="34"/>
        <v>2.1</v>
      </c>
      <c r="Y120" s="129">
        <f t="shared" si="34"/>
        <v>2.1</v>
      </c>
      <c r="Z120" s="129">
        <f t="shared" si="34"/>
        <v>2.1</v>
      </c>
      <c r="AA120" s="129">
        <f t="shared" si="34"/>
        <v>2.1</v>
      </c>
      <c r="AB120" s="129">
        <f t="shared" si="34"/>
        <v>2.1</v>
      </c>
      <c r="AC120" s="129">
        <f t="shared" si="34"/>
        <v>2.1</v>
      </c>
      <c r="AD120" s="129">
        <f t="shared" si="34"/>
        <v>2.1</v>
      </c>
      <c r="AE120" s="129">
        <f t="shared" si="34"/>
        <v>2.1</v>
      </c>
      <c r="AF120" s="129">
        <f t="shared" si="34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2"/>
        <v>9.3000000000000007</v>
      </c>
      <c r="C121" s="130">
        <v>9.3000000000000007</v>
      </c>
      <c r="D121" s="129">
        <f t="shared" si="35"/>
        <v>9.3000000000000007</v>
      </c>
      <c r="E121" s="129">
        <f t="shared" si="35"/>
        <v>9.3000000000000007</v>
      </c>
      <c r="F121" s="129">
        <f t="shared" si="35"/>
        <v>9.3000000000000007</v>
      </c>
      <c r="G121" s="129">
        <f t="shared" si="35"/>
        <v>9.3000000000000007</v>
      </c>
      <c r="H121" s="129">
        <f t="shared" si="35"/>
        <v>9.3000000000000007</v>
      </c>
      <c r="I121" s="129">
        <f t="shared" si="35"/>
        <v>9.3000000000000007</v>
      </c>
      <c r="J121" s="129">
        <f t="shared" si="35"/>
        <v>9.3000000000000007</v>
      </c>
      <c r="K121" s="129">
        <f t="shared" si="35"/>
        <v>9.3000000000000007</v>
      </c>
      <c r="L121" s="129">
        <f t="shared" si="35"/>
        <v>9.3000000000000007</v>
      </c>
      <c r="M121" s="129">
        <f t="shared" si="35"/>
        <v>9.3000000000000007</v>
      </c>
      <c r="N121" s="129">
        <f t="shared" si="35"/>
        <v>9.3000000000000007</v>
      </c>
      <c r="O121" s="129">
        <f t="shared" si="35"/>
        <v>9.3000000000000007</v>
      </c>
      <c r="P121" s="129">
        <f t="shared" si="35"/>
        <v>9.3000000000000007</v>
      </c>
      <c r="Q121" s="129">
        <f t="shared" si="35"/>
        <v>9.3000000000000007</v>
      </c>
      <c r="R121" s="129">
        <f t="shared" si="35"/>
        <v>9.3000000000000007</v>
      </c>
      <c r="S121" s="129">
        <f t="shared" si="35"/>
        <v>9.3000000000000007</v>
      </c>
      <c r="T121" s="129">
        <f t="shared" si="34"/>
        <v>9.3000000000000007</v>
      </c>
      <c r="U121" s="129">
        <f t="shared" si="34"/>
        <v>9.3000000000000007</v>
      </c>
      <c r="V121" s="129">
        <f t="shared" si="34"/>
        <v>9.3000000000000007</v>
      </c>
      <c r="W121" s="129">
        <f t="shared" si="34"/>
        <v>9.3000000000000007</v>
      </c>
      <c r="X121" s="129">
        <f t="shared" si="34"/>
        <v>9.3000000000000007</v>
      </c>
      <c r="Y121" s="129">
        <f t="shared" si="34"/>
        <v>9.3000000000000007</v>
      </c>
      <c r="Z121" s="129">
        <f t="shared" si="34"/>
        <v>9.3000000000000007</v>
      </c>
      <c r="AA121" s="129">
        <f t="shared" si="34"/>
        <v>9.3000000000000007</v>
      </c>
      <c r="AB121" s="129">
        <f t="shared" si="34"/>
        <v>9.3000000000000007</v>
      </c>
      <c r="AC121" s="129">
        <f t="shared" si="34"/>
        <v>9.3000000000000007</v>
      </c>
      <c r="AD121" s="129">
        <f t="shared" si="34"/>
        <v>9.3000000000000007</v>
      </c>
      <c r="AE121" s="129">
        <f t="shared" si="34"/>
        <v>9.3000000000000007</v>
      </c>
      <c r="AF121" s="129">
        <f t="shared" si="34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2"/>
        <v>0</v>
      </c>
      <c r="C122" s="130">
        <v>0</v>
      </c>
      <c r="D122" s="129">
        <f t="shared" si="35"/>
        <v>0</v>
      </c>
      <c r="E122" s="129">
        <f t="shared" si="35"/>
        <v>0</v>
      </c>
      <c r="F122" s="129">
        <f t="shared" si="35"/>
        <v>0</v>
      </c>
      <c r="G122" s="129">
        <f t="shared" si="35"/>
        <v>0</v>
      </c>
      <c r="H122" s="129">
        <f t="shared" si="35"/>
        <v>0</v>
      </c>
      <c r="I122" s="129">
        <f t="shared" si="35"/>
        <v>0</v>
      </c>
      <c r="J122" s="129">
        <f t="shared" si="35"/>
        <v>0</v>
      </c>
      <c r="K122" s="129">
        <f t="shared" si="35"/>
        <v>0</v>
      </c>
      <c r="L122" s="129">
        <f t="shared" si="35"/>
        <v>0</v>
      </c>
      <c r="M122" s="129">
        <f t="shared" si="35"/>
        <v>0</v>
      </c>
      <c r="N122" s="129">
        <f t="shared" si="35"/>
        <v>0</v>
      </c>
      <c r="O122" s="129">
        <f t="shared" si="35"/>
        <v>0</v>
      </c>
      <c r="P122" s="129">
        <f t="shared" si="35"/>
        <v>0</v>
      </c>
      <c r="Q122" s="129">
        <f t="shared" si="35"/>
        <v>0</v>
      </c>
      <c r="R122" s="129">
        <f t="shared" si="35"/>
        <v>0</v>
      </c>
      <c r="S122" s="129">
        <f t="shared" si="35"/>
        <v>0</v>
      </c>
      <c r="T122" s="129">
        <f t="shared" si="34"/>
        <v>0</v>
      </c>
      <c r="U122" s="129">
        <f t="shared" si="34"/>
        <v>0</v>
      </c>
      <c r="V122" s="129">
        <f t="shared" si="34"/>
        <v>0</v>
      </c>
      <c r="W122" s="129">
        <f t="shared" si="34"/>
        <v>0</v>
      </c>
      <c r="X122" s="129">
        <f t="shared" si="34"/>
        <v>0</v>
      </c>
      <c r="Y122" s="129">
        <f t="shared" si="34"/>
        <v>0</v>
      </c>
      <c r="Z122" s="129">
        <f t="shared" si="34"/>
        <v>0</v>
      </c>
      <c r="AA122" s="129">
        <f t="shared" si="34"/>
        <v>0</v>
      </c>
      <c r="AB122" s="129">
        <f t="shared" si="34"/>
        <v>0</v>
      </c>
      <c r="AC122" s="129">
        <f t="shared" si="34"/>
        <v>0</v>
      </c>
      <c r="AD122" s="129">
        <f t="shared" si="34"/>
        <v>0</v>
      </c>
      <c r="AE122" s="129">
        <f t="shared" si="34"/>
        <v>0</v>
      </c>
      <c r="AF122" s="129">
        <f t="shared" si="34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2"/>
        <v>0</v>
      </c>
      <c r="C123" s="130">
        <v>0</v>
      </c>
      <c r="D123" s="129">
        <f t="shared" si="35"/>
        <v>0</v>
      </c>
      <c r="E123" s="129">
        <f t="shared" si="35"/>
        <v>0</v>
      </c>
      <c r="F123" s="129">
        <f t="shared" si="35"/>
        <v>0</v>
      </c>
      <c r="G123" s="129">
        <f t="shared" si="35"/>
        <v>0</v>
      </c>
      <c r="H123" s="129">
        <f t="shared" si="35"/>
        <v>0</v>
      </c>
      <c r="I123" s="129">
        <f t="shared" si="35"/>
        <v>0</v>
      </c>
      <c r="J123" s="129">
        <f t="shared" si="35"/>
        <v>0</v>
      </c>
      <c r="K123" s="129">
        <f t="shared" si="35"/>
        <v>0</v>
      </c>
      <c r="L123" s="129">
        <f t="shared" si="35"/>
        <v>0</v>
      </c>
      <c r="M123" s="129">
        <f t="shared" si="35"/>
        <v>0</v>
      </c>
      <c r="N123" s="129">
        <f t="shared" si="35"/>
        <v>0</v>
      </c>
      <c r="O123" s="129">
        <f t="shared" si="35"/>
        <v>0</v>
      </c>
      <c r="P123" s="129">
        <f t="shared" si="35"/>
        <v>0</v>
      </c>
      <c r="Q123" s="129">
        <f t="shared" si="35"/>
        <v>0</v>
      </c>
      <c r="R123" s="129">
        <f t="shared" si="35"/>
        <v>0</v>
      </c>
      <c r="S123" s="129">
        <f t="shared" si="35"/>
        <v>0</v>
      </c>
      <c r="T123" s="129">
        <f t="shared" si="34"/>
        <v>0</v>
      </c>
      <c r="U123" s="129">
        <f t="shared" si="34"/>
        <v>0</v>
      </c>
      <c r="V123" s="129">
        <f t="shared" si="34"/>
        <v>0</v>
      </c>
      <c r="W123" s="129">
        <f t="shared" si="34"/>
        <v>0</v>
      </c>
      <c r="X123" s="129">
        <f t="shared" si="34"/>
        <v>0</v>
      </c>
      <c r="Y123" s="129">
        <f t="shared" si="34"/>
        <v>0</v>
      </c>
      <c r="Z123" s="129">
        <f t="shared" si="34"/>
        <v>0</v>
      </c>
      <c r="AA123" s="129">
        <f t="shared" si="34"/>
        <v>0</v>
      </c>
      <c r="AB123" s="129">
        <f t="shared" si="34"/>
        <v>0</v>
      </c>
      <c r="AC123" s="129">
        <f t="shared" si="34"/>
        <v>0</v>
      </c>
      <c r="AD123" s="129">
        <f t="shared" si="34"/>
        <v>0</v>
      </c>
      <c r="AE123" s="129">
        <f t="shared" si="34"/>
        <v>0</v>
      </c>
      <c r="AF123" s="129">
        <f t="shared" si="34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2"/>
        <v>5</v>
      </c>
      <c r="C124" s="130">
        <v>5</v>
      </c>
      <c r="D124" s="129">
        <f t="shared" si="35"/>
        <v>5</v>
      </c>
      <c r="E124" s="129">
        <f t="shared" si="35"/>
        <v>5</v>
      </c>
      <c r="F124" s="129">
        <f t="shared" si="35"/>
        <v>5</v>
      </c>
      <c r="G124" s="129">
        <f t="shared" si="35"/>
        <v>5</v>
      </c>
      <c r="H124" s="129">
        <f t="shared" si="35"/>
        <v>5</v>
      </c>
      <c r="I124" s="129">
        <f t="shared" si="35"/>
        <v>5</v>
      </c>
      <c r="J124" s="129">
        <f t="shared" si="35"/>
        <v>5</v>
      </c>
      <c r="K124" s="129">
        <f t="shared" si="35"/>
        <v>5</v>
      </c>
      <c r="L124" s="129">
        <f t="shared" si="35"/>
        <v>5</v>
      </c>
      <c r="M124" s="129">
        <f t="shared" si="35"/>
        <v>5</v>
      </c>
      <c r="N124" s="129">
        <f t="shared" si="35"/>
        <v>5</v>
      </c>
      <c r="O124" s="129">
        <f t="shared" si="35"/>
        <v>5</v>
      </c>
      <c r="P124" s="129">
        <f t="shared" si="35"/>
        <v>5</v>
      </c>
      <c r="Q124" s="129">
        <f t="shared" si="35"/>
        <v>5</v>
      </c>
      <c r="R124" s="129">
        <f t="shared" si="35"/>
        <v>5</v>
      </c>
      <c r="S124" s="129">
        <f t="shared" si="35"/>
        <v>5</v>
      </c>
      <c r="T124" s="129">
        <f t="shared" si="34"/>
        <v>5</v>
      </c>
      <c r="U124" s="129">
        <f t="shared" si="34"/>
        <v>5</v>
      </c>
      <c r="V124" s="129">
        <f t="shared" si="34"/>
        <v>5</v>
      </c>
      <c r="W124" s="129">
        <f t="shared" si="34"/>
        <v>5</v>
      </c>
      <c r="X124" s="129">
        <f t="shared" si="34"/>
        <v>5</v>
      </c>
      <c r="Y124" s="129">
        <f t="shared" si="34"/>
        <v>5</v>
      </c>
      <c r="Z124" s="129">
        <f t="shared" si="34"/>
        <v>5</v>
      </c>
      <c r="AA124" s="129">
        <f t="shared" si="34"/>
        <v>5</v>
      </c>
      <c r="AB124" s="129">
        <f t="shared" si="34"/>
        <v>5</v>
      </c>
      <c r="AC124" s="129">
        <f t="shared" si="34"/>
        <v>5</v>
      </c>
      <c r="AD124" s="129">
        <f t="shared" si="34"/>
        <v>5</v>
      </c>
      <c r="AE124" s="129">
        <f t="shared" si="34"/>
        <v>5</v>
      </c>
      <c r="AF124" s="129">
        <f t="shared" si="34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2"/>
        <v>1</v>
      </c>
      <c r="C125" s="130">
        <v>1</v>
      </c>
      <c r="D125" s="129">
        <f t="shared" si="35"/>
        <v>1</v>
      </c>
      <c r="E125" s="129">
        <f t="shared" si="35"/>
        <v>1</v>
      </c>
      <c r="F125" s="129">
        <f t="shared" si="35"/>
        <v>1</v>
      </c>
      <c r="G125" s="129">
        <f t="shared" si="35"/>
        <v>1</v>
      </c>
      <c r="H125" s="129">
        <f t="shared" si="35"/>
        <v>1</v>
      </c>
      <c r="I125" s="129">
        <f t="shared" si="35"/>
        <v>1</v>
      </c>
      <c r="J125" s="129">
        <f t="shared" si="35"/>
        <v>1</v>
      </c>
      <c r="K125" s="129">
        <f t="shared" si="35"/>
        <v>1</v>
      </c>
      <c r="L125" s="129">
        <f t="shared" si="35"/>
        <v>1</v>
      </c>
      <c r="M125" s="129">
        <f t="shared" si="35"/>
        <v>1</v>
      </c>
      <c r="N125" s="129">
        <f t="shared" si="35"/>
        <v>1</v>
      </c>
      <c r="O125" s="129">
        <f t="shared" si="35"/>
        <v>1</v>
      </c>
      <c r="P125" s="129">
        <f t="shared" si="35"/>
        <v>1</v>
      </c>
      <c r="Q125" s="129">
        <f t="shared" si="35"/>
        <v>1</v>
      </c>
      <c r="R125" s="129">
        <f t="shared" si="35"/>
        <v>1</v>
      </c>
      <c r="S125" s="129">
        <f t="shared" si="35"/>
        <v>1</v>
      </c>
      <c r="T125" s="129">
        <f t="shared" si="34"/>
        <v>1</v>
      </c>
      <c r="U125" s="129">
        <f t="shared" si="34"/>
        <v>1</v>
      </c>
      <c r="V125" s="129">
        <f t="shared" si="34"/>
        <v>1</v>
      </c>
      <c r="W125" s="129">
        <f t="shared" si="34"/>
        <v>1</v>
      </c>
      <c r="X125" s="129">
        <f t="shared" si="34"/>
        <v>1</v>
      </c>
      <c r="Y125" s="129">
        <f t="shared" si="34"/>
        <v>1</v>
      </c>
      <c r="Z125" s="129">
        <f t="shared" si="34"/>
        <v>1</v>
      </c>
      <c r="AA125" s="129">
        <f t="shared" si="34"/>
        <v>1</v>
      </c>
      <c r="AB125" s="129">
        <f t="shared" si="34"/>
        <v>1</v>
      </c>
      <c r="AC125" s="129">
        <f t="shared" si="34"/>
        <v>1</v>
      </c>
      <c r="AD125" s="129">
        <f t="shared" si="34"/>
        <v>1</v>
      </c>
      <c r="AE125" s="129">
        <f t="shared" si="34"/>
        <v>1</v>
      </c>
      <c r="AF125" s="129">
        <f t="shared" si="34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2"/>
        <v>1.58</v>
      </c>
      <c r="C126" s="130">
        <v>1.58</v>
      </c>
      <c r="D126" s="129">
        <f t="shared" si="35"/>
        <v>1.58</v>
      </c>
      <c r="E126" s="129">
        <f t="shared" si="35"/>
        <v>1.58</v>
      </c>
      <c r="F126" s="129">
        <f t="shared" si="35"/>
        <v>1.58</v>
      </c>
      <c r="G126" s="129">
        <f t="shared" si="35"/>
        <v>1.58</v>
      </c>
      <c r="H126" s="129">
        <f t="shared" si="35"/>
        <v>1.58</v>
      </c>
      <c r="I126" s="129">
        <f t="shared" si="35"/>
        <v>1.58</v>
      </c>
      <c r="J126" s="129">
        <f t="shared" si="35"/>
        <v>1.58</v>
      </c>
      <c r="K126" s="129">
        <f t="shared" si="35"/>
        <v>1.58</v>
      </c>
      <c r="L126" s="129">
        <f t="shared" si="35"/>
        <v>1.58</v>
      </c>
      <c r="M126" s="129">
        <f t="shared" si="35"/>
        <v>1.58</v>
      </c>
      <c r="N126" s="129">
        <f t="shared" si="35"/>
        <v>1.58</v>
      </c>
      <c r="O126" s="129">
        <f t="shared" si="35"/>
        <v>1.58</v>
      </c>
      <c r="P126" s="129">
        <f t="shared" si="35"/>
        <v>1.58</v>
      </c>
      <c r="Q126" s="129">
        <f t="shared" si="35"/>
        <v>1.58</v>
      </c>
      <c r="R126" s="129">
        <f t="shared" si="35"/>
        <v>1.58</v>
      </c>
      <c r="S126" s="129">
        <f t="shared" si="35"/>
        <v>1.58</v>
      </c>
      <c r="T126" s="129">
        <f t="shared" si="34"/>
        <v>1.58</v>
      </c>
      <c r="U126" s="129">
        <f t="shared" si="34"/>
        <v>1.58</v>
      </c>
      <c r="V126" s="129">
        <f t="shared" si="34"/>
        <v>1.58</v>
      </c>
      <c r="W126" s="129">
        <f t="shared" si="34"/>
        <v>1.58</v>
      </c>
      <c r="X126" s="129">
        <f t="shared" si="34"/>
        <v>1.58</v>
      </c>
      <c r="Y126" s="129">
        <f t="shared" si="34"/>
        <v>1.58</v>
      </c>
      <c r="Z126" s="129">
        <f t="shared" si="34"/>
        <v>1.58</v>
      </c>
      <c r="AA126" s="129">
        <f t="shared" si="34"/>
        <v>1.58</v>
      </c>
      <c r="AB126" s="129">
        <f t="shared" si="34"/>
        <v>1.58</v>
      </c>
      <c r="AC126" s="129">
        <f t="shared" si="34"/>
        <v>1.58</v>
      </c>
      <c r="AD126" s="129">
        <f t="shared" si="34"/>
        <v>1.58</v>
      </c>
      <c r="AE126" s="129">
        <f t="shared" si="34"/>
        <v>1.58</v>
      </c>
      <c r="AF126" s="129">
        <f t="shared" si="34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2"/>
        <v>1.46</v>
      </c>
      <c r="C127" s="130">
        <v>1.46</v>
      </c>
      <c r="D127" s="129">
        <f t="shared" si="35"/>
        <v>1.46</v>
      </c>
      <c r="E127" s="129">
        <f t="shared" si="35"/>
        <v>1.46</v>
      </c>
      <c r="F127" s="129">
        <f t="shared" si="35"/>
        <v>1.46</v>
      </c>
      <c r="G127" s="129">
        <f t="shared" si="35"/>
        <v>1.46</v>
      </c>
      <c r="H127" s="129">
        <f t="shared" si="35"/>
        <v>1.46</v>
      </c>
      <c r="I127" s="129">
        <f t="shared" si="35"/>
        <v>1.46</v>
      </c>
      <c r="J127" s="129">
        <f t="shared" si="35"/>
        <v>1.46</v>
      </c>
      <c r="K127" s="129">
        <f t="shared" si="35"/>
        <v>1.46</v>
      </c>
      <c r="L127" s="129">
        <f t="shared" si="35"/>
        <v>1.46</v>
      </c>
      <c r="M127" s="129">
        <f t="shared" si="35"/>
        <v>1.46</v>
      </c>
      <c r="N127" s="129">
        <f t="shared" si="35"/>
        <v>1.46</v>
      </c>
      <c r="O127" s="129">
        <f t="shared" si="35"/>
        <v>1.46</v>
      </c>
      <c r="P127" s="129">
        <f t="shared" si="35"/>
        <v>1.46</v>
      </c>
      <c r="Q127" s="129">
        <f t="shared" si="35"/>
        <v>1.46</v>
      </c>
      <c r="R127" s="129">
        <f t="shared" si="35"/>
        <v>1.46</v>
      </c>
      <c r="S127" s="129">
        <f t="shared" si="35"/>
        <v>1.46</v>
      </c>
      <c r="T127" s="129">
        <f t="shared" ref="T127:AF128" si="36">S127</f>
        <v>1.46</v>
      </c>
      <c r="U127" s="129">
        <f t="shared" si="36"/>
        <v>1.46</v>
      </c>
      <c r="V127" s="129">
        <f t="shared" si="36"/>
        <v>1.46</v>
      </c>
      <c r="W127" s="129">
        <f t="shared" si="36"/>
        <v>1.46</v>
      </c>
      <c r="X127" s="129">
        <f t="shared" si="36"/>
        <v>1.46</v>
      </c>
      <c r="Y127" s="129">
        <f t="shared" si="36"/>
        <v>1.46</v>
      </c>
      <c r="Z127" s="129">
        <f t="shared" si="36"/>
        <v>1.46</v>
      </c>
      <c r="AA127" s="129">
        <f t="shared" si="36"/>
        <v>1.46</v>
      </c>
      <c r="AB127" s="129">
        <f t="shared" si="36"/>
        <v>1.46</v>
      </c>
      <c r="AC127" s="129">
        <f t="shared" si="36"/>
        <v>1.46</v>
      </c>
      <c r="AD127" s="129">
        <f t="shared" si="36"/>
        <v>1.46</v>
      </c>
      <c r="AE127" s="129">
        <f t="shared" si="36"/>
        <v>1.46</v>
      </c>
      <c r="AF127" s="129">
        <f t="shared" si="36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2"/>
        <v>1.48</v>
      </c>
      <c r="C128" s="130">
        <v>1.48</v>
      </c>
      <c r="D128" s="129">
        <f t="shared" si="35"/>
        <v>1.48</v>
      </c>
      <c r="E128" s="129">
        <f t="shared" si="35"/>
        <v>1.48</v>
      </c>
      <c r="F128" s="129">
        <f t="shared" si="35"/>
        <v>1.48</v>
      </c>
      <c r="G128" s="129">
        <f t="shared" si="35"/>
        <v>1.48</v>
      </c>
      <c r="H128" s="129">
        <f t="shared" si="35"/>
        <v>1.48</v>
      </c>
      <c r="I128" s="129">
        <f t="shared" si="35"/>
        <v>1.48</v>
      </c>
      <c r="J128" s="129">
        <f t="shared" si="35"/>
        <v>1.48</v>
      </c>
      <c r="K128" s="129">
        <f t="shared" si="35"/>
        <v>1.48</v>
      </c>
      <c r="L128" s="129">
        <f t="shared" si="35"/>
        <v>1.48</v>
      </c>
      <c r="M128" s="129">
        <f t="shared" si="35"/>
        <v>1.48</v>
      </c>
      <c r="N128" s="129">
        <f t="shared" si="35"/>
        <v>1.48</v>
      </c>
      <c r="O128" s="129">
        <f t="shared" si="35"/>
        <v>1.48</v>
      </c>
      <c r="P128" s="129">
        <f t="shared" si="35"/>
        <v>1.48</v>
      </c>
      <c r="Q128" s="129">
        <f t="shared" si="35"/>
        <v>1.48</v>
      </c>
      <c r="R128" s="129">
        <f t="shared" si="35"/>
        <v>1.48</v>
      </c>
      <c r="S128" s="129">
        <f t="shared" si="35"/>
        <v>1.48</v>
      </c>
      <c r="T128" s="129">
        <f t="shared" si="36"/>
        <v>1.48</v>
      </c>
      <c r="U128" s="129">
        <f t="shared" si="36"/>
        <v>1.48</v>
      </c>
      <c r="V128" s="129">
        <f t="shared" si="36"/>
        <v>1.48</v>
      </c>
      <c r="W128" s="129">
        <f t="shared" si="36"/>
        <v>1.48</v>
      </c>
      <c r="X128" s="129">
        <f t="shared" si="36"/>
        <v>1.48</v>
      </c>
      <c r="Y128" s="129">
        <f t="shared" si="36"/>
        <v>1.48</v>
      </c>
      <c r="Z128" s="129">
        <f t="shared" si="36"/>
        <v>1.48</v>
      </c>
      <c r="AA128" s="129">
        <f t="shared" si="36"/>
        <v>1.48</v>
      </c>
      <c r="AB128" s="129">
        <f t="shared" si="36"/>
        <v>1.48</v>
      </c>
      <c r="AC128" s="129">
        <f t="shared" si="36"/>
        <v>1.48</v>
      </c>
      <c r="AD128" s="129">
        <f t="shared" si="36"/>
        <v>1.48</v>
      </c>
      <c r="AE128" s="129">
        <f t="shared" si="36"/>
        <v>1.48</v>
      </c>
      <c r="AF128" s="129">
        <f t="shared" si="36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7">AF130</f>
        <v>2.2000000000000002</v>
      </c>
      <c r="C130" s="130">
        <v>2.2000000000000002</v>
      </c>
      <c r="D130" s="129">
        <f t="shared" ref="D130:S137" si="38">C130</f>
        <v>2.2000000000000002</v>
      </c>
      <c r="E130" s="129">
        <f t="shared" si="38"/>
        <v>2.2000000000000002</v>
      </c>
      <c r="F130" s="129">
        <f t="shared" si="38"/>
        <v>2.2000000000000002</v>
      </c>
      <c r="G130" s="129">
        <f t="shared" si="38"/>
        <v>2.2000000000000002</v>
      </c>
      <c r="H130" s="129">
        <f t="shared" si="38"/>
        <v>2.2000000000000002</v>
      </c>
      <c r="I130" s="129">
        <f t="shared" si="38"/>
        <v>2.2000000000000002</v>
      </c>
      <c r="J130" s="129">
        <f t="shared" si="38"/>
        <v>2.2000000000000002</v>
      </c>
      <c r="K130" s="129">
        <f t="shared" si="38"/>
        <v>2.2000000000000002</v>
      </c>
      <c r="L130" s="129">
        <f t="shared" si="38"/>
        <v>2.2000000000000002</v>
      </c>
      <c r="M130" s="129">
        <f t="shared" si="38"/>
        <v>2.2000000000000002</v>
      </c>
      <c r="N130" s="129">
        <f t="shared" si="38"/>
        <v>2.2000000000000002</v>
      </c>
      <c r="O130" s="129">
        <f t="shared" si="38"/>
        <v>2.2000000000000002</v>
      </c>
      <c r="P130" s="129">
        <f t="shared" si="38"/>
        <v>2.2000000000000002</v>
      </c>
      <c r="Q130" s="129">
        <f t="shared" si="38"/>
        <v>2.2000000000000002</v>
      </c>
      <c r="R130" s="129">
        <f t="shared" si="38"/>
        <v>2.2000000000000002</v>
      </c>
      <c r="S130" s="129">
        <f t="shared" si="38"/>
        <v>2.2000000000000002</v>
      </c>
      <c r="T130" s="129">
        <f t="shared" ref="T130:AF137" si="39">S130</f>
        <v>2.2000000000000002</v>
      </c>
      <c r="U130" s="129">
        <f t="shared" si="39"/>
        <v>2.2000000000000002</v>
      </c>
      <c r="V130" s="129">
        <f t="shared" si="39"/>
        <v>2.2000000000000002</v>
      </c>
      <c r="W130" s="129">
        <f t="shared" si="39"/>
        <v>2.2000000000000002</v>
      </c>
      <c r="X130" s="129">
        <f t="shared" si="39"/>
        <v>2.2000000000000002</v>
      </c>
      <c r="Y130" s="129">
        <f t="shared" si="39"/>
        <v>2.2000000000000002</v>
      </c>
      <c r="Z130" s="129">
        <f t="shared" si="39"/>
        <v>2.2000000000000002</v>
      </c>
      <c r="AA130" s="129">
        <f t="shared" si="39"/>
        <v>2.2000000000000002</v>
      </c>
      <c r="AB130" s="129">
        <f t="shared" si="39"/>
        <v>2.2000000000000002</v>
      </c>
      <c r="AC130" s="129">
        <f t="shared" si="39"/>
        <v>2.2000000000000002</v>
      </c>
      <c r="AD130" s="129">
        <f t="shared" si="39"/>
        <v>2.2000000000000002</v>
      </c>
      <c r="AE130" s="129">
        <f t="shared" si="39"/>
        <v>2.2000000000000002</v>
      </c>
      <c r="AF130" s="129">
        <f t="shared" si="39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7"/>
        <v>2</v>
      </c>
      <c r="C131" s="130">
        <v>2</v>
      </c>
      <c r="D131" s="129">
        <f t="shared" si="38"/>
        <v>2</v>
      </c>
      <c r="E131" s="129">
        <f t="shared" si="38"/>
        <v>2</v>
      </c>
      <c r="F131" s="129">
        <f t="shared" si="38"/>
        <v>2</v>
      </c>
      <c r="G131" s="129">
        <f t="shared" si="38"/>
        <v>2</v>
      </c>
      <c r="H131" s="129">
        <f t="shared" si="38"/>
        <v>2</v>
      </c>
      <c r="I131" s="129">
        <f t="shared" si="38"/>
        <v>2</v>
      </c>
      <c r="J131" s="129">
        <f t="shared" si="38"/>
        <v>2</v>
      </c>
      <c r="K131" s="129">
        <f t="shared" si="38"/>
        <v>2</v>
      </c>
      <c r="L131" s="129">
        <f t="shared" si="38"/>
        <v>2</v>
      </c>
      <c r="M131" s="129">
        <f t="shared" si="38"/>
        <v>2</v>
      </c>
      <c r="N131" s="129">
        <f t="shared" si="38"/>
        <v>2</v>
      </c>
      <c r="O131" s="129">
        <f t="shared" si="38"/>
        <v>2</v>
      </c>
      <c r="P131" s="129">
        <f t="shared" si="38"/>
        <v>2</v>
      </c>
      <c r="Q131" s="129">
        <f t="shared" si="38"/>
        <v>2</v>
      </c>
      <c r="R131" s="129">
        <f t="shared" si="38"/>
        <v>2</v>
      </c>
      <c r="S131" s="129">
        <f t="shared" si="38"/>
        <v>2</v>
      </c>
      <c r="T131" s="129">
        <f t="shared" si="39"/>
        <v>2</v>
      </c>
      <c r="U131" s="129">
        <f t="shared" si="39"/>
        <v>2</v>
      </c>
      <c r="V131" s="129">
        <f t="shared" si="39"/>
        <v>2</v>
      </c>
      <c r="W131" s="129">
        <f t="shared" si="39"/>
        <v>2</v>
      </c>
      <c r="X131" s="129">
        <f t="shared" si="39"/>
        <v>2</v>
      </c>
      <c r="Y131" s="129">
        <f t="shared" si="39"/>
        <v>2</v>
      </c>
      <c r="Z131" s="129">
        <f t="shared" si="39"/>
        <v>2</v>
      </c>
      <c r="AA131" s="129">
        <f t="shared" si="39"/>
        <v>2</v>
      </c>
      <c r="AB131" s="129">
        <f t="shared" si="39"/>
        <v>2</v>
      </c>
      <c r="AC131" s="129">
        <f t="shared" si="39"/>
        <v>2</v>
      </c>
      <c r="AD131" s="129">
        <f t="shared" si="39"/>
        <v>2</v>
      </c>
      <c r="AE131" s="129">
        <f t="shared" si="39"/>
        <v>2</v>
      </c>
      <c r="AF131" s="129">
        <f t="shared" si="39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7"/>
        <v>1.25</v>
      </c>
      <c r="C132" s="130">
        <v>1.25</v>
      </c>
      <c r="D132" s="129">
        <f t="shared" si="38"/>
        <v>1.25</v>
      </c>
      <c r="E132" s="129">
        <f t="shared" si="38"/>
        <v>1.25</v>
      </c>
      <c r="F132" s="129">
        <f t="shared" si="38"/>
        <v>1.25</v>
      </c>
      <c r="G132" s="129">
        <f t="shared" si="38"/>
        <v>1.25</v>
      </c>
      <c r="H132" s="129">
        <f t="shared" si="38"/>
        <v>1.25</v>
      </c>
      <c r="I132" s="129">
        <f t="shared" si="38"/>
        <v>1.25</v>
      </c>
      <c r="J132" s="129">
        <f t="shared" si="38"/>
        <v>1.25</v>
      </c>
      <c r="K132" s="129">
        <f t="shared" si="38"/>
        <v>1.25</v>
      </c>
      <c r="L132" s="129">
        <f t="shared" si="38"/>
        <v>1.25</v>
      </c>
      <c r="M132" s="129">
        <f t="shared" si="38"/>
        <v>1.25</v>
      </c>
      <c r="N132" s="129">
        <f t="shared" si="38"/>
        <v>1.25</v>
      </c>
      <c r="O132" s="129">
        <f t="shared" si="38"/>
        <v>1.25</v>
      </c>
      <c r="P132" s="129">
        <f t="shared" si="38"/>
        <v>1.25</v>
      </c>
      <c r="Q132" s="129">
        <f t="shared" si="38"/>
        <v>1.25</v>
      </c>
      <c r="R132" s="129">
        <f t="shared" si="38"/>
        <v>1.25</v>
      </c>
      <c r="S132" s="129">
        <f t="shared" si="38"/>
        <v>1.25</v>
      </c>
      <c r="T132" s="129">
        <f t="shared" si="39"/>
        <v>1.25</v>
      </c>
      <c r="U132" s="129">
        <f t="shared" si="39"/>
        <v>1.25</v>
      </c>
      <c r="V132" s="129">
        <f t="shared" si="39"/>
        <v>1.25</v>
      </c>
      <c r="W132" s="129">
        <f t="shared" si="39"/>
        <v>1.25</v>
      </c>
      <c r="X132" s="129">
        <f t="shared" si="39"/>
        <v>1.25</v>
      </c>
      <c r="Y132" s="129">
        <f t="shared" si="39"/>
        <v>1.25</v>
      </c>
      <c r="Z132" s="129">
        <f t="shared" si="39"/>
        <v>1.25</v>
      </c>
      <c r="AA132" s="129">
        <f t="shared" si="39"/>
        <v>1.25</v>
      </c>
      <c r="AB132" s="129">
        <f t="shared" si="39"/>
        <v>1.25</v>
      </c>
      <c r="AC132" s="129">
        <f t="shared" si="39"/>
        <v>1.25</v>
      </c>
      <c r="AD132" s="129">
        <f t="shared" si="39"/>
        <v>1.25</v>
      </c>
      <c r="AE132" s="129">
        <f t="shared" si="39"/>
        <v>1.25</v>
      </c>
      <c r="AF132" s="129">
        <f t="shared" si="39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7"/>
        <v>1.1499999999999999</v>
      </c>
      <c r="C133" s="130">
        <v>1.1499999999999999</v>
      </c>
      <c r="D133" s="129">
        <f t="shared" si="38"/>
        <v>1.1499999999999999</v>
      </c>
      <c r="E133" s="129">
        <f t="shared" si="38"/>
        <v>1.1499999999999999</v>
      </c>
      <c r="F133" s="129">
        <f t="shared" si="38"/>
        <v>1.1499999999999999</v>
      </c>
      <c r="G133" s="129">
        <f t="shared" si="38"/>
        <v>1.1499999999999999</v>
      </c>
      <c r="H133" s="129">
        <f t="shared" si="38"/>
        <v>1.1499999999999999</v>
      </c>
      <c r="I133" s="129">
        <f t="shared" si="38"/>
        <v>1.1499999999999999</v>
      </c>
      <c r="J133" s="129">
        <f t="shared" si="38"/>
        <v>1.1499999999999999</v>
      </c>
      <c r="K133" s="129">
        <f t="shared" si="38"/>
        <v>1.1499999999999999</v>
      </c>
      <c r="L133" s="129">
        <f t="shared" si="38"/>
        <v>1.1499999999999999</v>
      </c>
      <c r="M133" s="129">
        <f t="shared" si="38"/>
        <v>1.1499999999999999</v>
      </c>
      <c r="N133" s="129">
        <f t="shared" si="38"/>
        <v>1.1499999999999999</v>
      </c>
      <c r="O133" s="129">
        <f t="shared" si="38"/>
        <v>1.1499999999999999</v>
      </c>
      <c r="P133" s="129">
        <f t="shared" si="38"/>
        <v>1.1499999999999999</v>
      </c>
      <c r="Q133" s="129">
        <f t="shared" si="38"/>
        <v>1.1499999999999999</v>
      </c>
      <c r="R133" s="129">
        <f t="shared" si="38"/>
        <v>1.1499999999999999</v>
      </c>
      <c r="S133" s="129">
        <f t="shared" si="38"/>
        <v>1.1499999999999999</v>
      </c>
      <c r="T133" s="129">
        <f t="shared" si="39"/>
        <v>1.1499999999999999</v>
      </c>
      <c r="U133" s="129">
        <f t="shared" si="39"/>
        <v>1.1499999999999999</v>
      </c>
      <c r="V133" s="129">
        <f t="shared" si="39"/>
        <v>1.1499999999999999</v>
      </c>
      <c r="W133" s="129">
        <f t="shared" si="39"/>
        <v>1.1499999999999999</v>
      </c>
      <c r="X133" s="129">
        <f t="shared" si="39"/>
        <v>1.1499999999999999</v>
      </c>
      <c r="Y133" s="129">
        <f t="shared" si="39"/>
        <v>1.1499999999999999</v>
      </c>
      <c r="Z133" s="129">
        <f t="shared" si="39"/>
        <v>1.1499999999999999</v>
      </c>
      <c r="AA133" s="129">
        <f t="shared" si="39"/>
        <v>1.1499999999999999</v>
      </c>
      <c r="AB133" s="129">
        <f t="shared" si="39"/>
        <v>1.1499999999999999</v>
      </c>
      <c r="AC133" s="129">
        <f t="shared" si="39"/>
        <v>1.1499999999999999</v>
      </c>
      <c r="AD133" s="129">
        <f t="shared" si="39"/>
        <v>1.1499999999999999</v>
      </c>
      <c r="AE133" s="129">
        <f t="shared" si="39"/>
        <v>1.1499999999999999</v>
      </c>
      <c r="AF133" s="129">
        <f t="shared" si="39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7"/>
        <v>2.133</v>
      </c>
      <c r="C134" s="130">
        <v>2.133</v>
      </c>
      <c r="D134" s="129">
        <f t="shared" si="38"/>
        <v>2.133</v>
      </c>
      <c r="E134" s="129">
        <f t="shared" si="38"/>
        <v>2.133</v>
      </c>
      <c r="F134" s="129">
        <f t="shared" si="38"/>
        <v>2.133</v>
      </c>
      <c r="G134" s="129">
        <f t="shared" si="38"/>
        <v>2.133</v>
      </c>
      <c r="H134" s="129">
        <f t="shared" si="38"/>
        <v>2.133</v>
      </c>
      <c r="I134" s="129">
        <f t="shared" si="38"/>
        <v>2.133</v>
      </c>
      <c r="J134" s="129">
        <f t="shared" si="38"/>
        <v>2.133</v>
      </c>
      <c r="K134" s="129">
        <f t="shared" si="38"/>
        <v>2.133</v>
      </c>
      <c r="L134" s="129">
        <f t="shared" si="38"/>
        <v>2.133</v>
      </c>
      <c r="M134" s="129">
        <f t="shared" si="38"/>
        <v>2.133</v>
      </c>
      <c r="N134" s="129">
        <f t="shared" si="38"/>
        <v>2.133</v>
      </c>
      <c r="O134" s="129">
        <f t="shared" si="38"/>
        <v>2.133</v>
      </c>
      <c r="P134" s="129">
        <f t="shared" si="38"/>
        <v>2.133</v>
      </c>
      <c r="Q134" s="129">
        <f t="shared" si="38"/>
        <v>2.133</v>
      </c>
      <c r="R134" s="129">
        <f t="shared" si="38"/>
        <v>2.133</v>
      </c>
      <c r="S134" s="129">
        <f t="shared" si="38"/>
        <v>2.133</v>
      </c>
      <c r="T134" s="129">
        <f t="shared" si="39"/>
        <v>2.133</v>
      </c>
      <c r="U134" s="129">
        <f t="shared" si="39"/>
        <v>2.133</v>
      </c>
      <c r="V134" s="129">
        <f t="shared" si="39"/>
        <v>2.133</v>
      </c>
      <c r="W134" s="129">
        <f t="shared" si="39"/>
        <v>2.133</v>
      </c>
      <c r="X134" s="129">
        <f t="shared" si="39"/>
        <v>2.133</v>
      </c>
      <c r="Y134" s="129">
        <f t="shared" si="39"/>
        <v>2.133</v>
      </c>
      <c r="Z134" s="129">
        <f t="shared" si="39"/>
        <v>2.133</v>
      </c>
      <c r="AA134" s="129">
        <f t="shared" si="39"/>
        <v>2.133</v>
      </c>
      <c r="AB134" s="129">
        <f t="shared" si="39"/>
        <v>2.133</v>
      </c>
      <c r="AC134" s="129">
        <f t="shared" si="39"/>
        <v>2.133</v>
      </c>
      <c r="AD134" s="129">
        <f t="shared" si="39"/>
        <v>2.133</v>
      </c>
      <c r="AE134" s="129">
        <f t="shared" si="39"/>
        <v>2.133</v>
      </c>
      <c r="AF134" s="129">
        <f t="shared" si="39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7"/>
        <v>2.09</v>
      </c>
      <c r="C135" s="130">
        <v>2.09</v>
      </c>
      <c r="D135" s="129">
        <f t="shared" si="38"/>
        <v>2.09</v>
      </c>
      <c r="E135" s="129">
        <f t="shared" si="38"/>
        <v>2.09</v>
      </c>
      <c r="F135" s="129">
        <f t="shared" si="38"/>
        <v>2.09</v>
      </c>
      <c r="G135" s="129">
        <f t="shared" si="38"/>
        <v>2.09</v>
      </c>
      <c r="H135" s="129">
        <f t="shared" si="38"/>
        <v>2.09</v>
      </c>
      <c r="I135" s="129">
        <f t="shared" si="38"/>
        <v>2.09</v>
      </c>
      <c r="J135" s="129">
        <f t="shared" si="38"/>
        <v>2.09</v>
      </c>
      <c r="K135" s="129">
        <f t="shared" si="38"/>
        <v>2.09</v>
      </c>
      <c r="L135" s="129">
        <f t="shared" si="38"/>
        <v>2.09</v>
      </c>
      <c r="M135" s="129">
        <f t="shared" si="38"/>
        <v>2.09</v>
      </c>
      <c r="N135" s="129">
        <f t="shared" si="38"/>
        <v>2.09</v>
      </c>
      <c r="O135" s="129">
        <f t="shared" si="38"/>
        <v>2.09</v>
      </c>
      <c r="P135" s="129">
        <f t="shared" si="38"/>
        <v>2.09</v>
      </c>
      <c r="Q135" s="129">
        <f t="shared" si="38"/>
        <v>2.09</v>
      </c>
      <c r="R135" s="129">
        <f t="shared" si="38"/>
        <v>2.09</v>
      </c>
      <c r="S135" s="129">
        <f t="shared" si="38"/>
        <v>2.09</v>
      </c>
      <c r="T135" s="129">
        <f t="shared" si="39"/>
        <v>2.09</v>
      </c>
      <c r="U135" s="129">
        <f t="shared" si="39"/>
        <v>2.09</v>
      </c>
      <c r="V135" s="129">
        <f t="shared" si="39"/>
        <v>2.09</v>
      </c>
      <c r="W135" s="129">
        <f t="shared" si="39"/>
        <v>2.09</v>
      </c>
      <c r="X135" s="129">
        <f t="shared" si="39"/>
        <v>2.09</v>
      </c>
      <c r="Y135" s="129">
        <f t="shared" si="39"/>
        <v>2.09</v>
      </c>
      <c r="Z135" s="129">
        <f t="shared" si="39"/>
        <v>2.09</v>
      </c>
      <c r="AA135" s="129">
        <f t="shared" si="39"/>
        <v>2.09</v>
      </c>
      <c r="AB135" s="129">
        <f t="shared" si="39"/>
        <v>2.09</v>
      </c>
      <c r="AC135" s="129">
        <f t="shared" si="39"/>
        <v>2.09</v>
      </c>
      <c r="AD135" s="129">
        <f t="shared" si="39"/>
        <v>2.09</v>
      </c>
      <c r="AE135" s="129">
        <f t="shared" si="39"/>
        <v>2.09</v>
      </c>
      <c r="AF135" s="129">
        <f t="shared" si="39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7"/>
        <v>1.1399999999999999</v>
      </c>
      <c r="C136" s="130">
        <v>1.1399999999999999</v>
      </c>
      <c r="D136" s="129">
        <f t="shared" si="38"/>
        <v>1.1399999999999999</v>
      </c>
      <c r="E136" s="129">
        <f t="shared" si="38"/>
        <v>1.1399999999999999</v>
      </c>
      <c r="F136" s="129">
        <f t="shared" si="38"/>
        <v>1.1399999999999999</v>
      </c>
      <c r="G136" s="129">
        <f t="shared" si="38"/>
        <v>1.1399999999999999</v>
      </c>
      <c r="H136" s="129">
        <f t="shared" si="38"/>
        <v>1.1399999999999999</v>
      </c>
      <c r="I136" s="129">
        <f t="shared" si="38"/>
        <v>1.1399999999999999</v>
      </c>
      <c r="J136" s="129">
        <f t="shared" si="38"/>
        <v>1.1399999999999999</v>
      </c>
      <c r="K136" s="129">
        <f t="shared" si="38"/>
        <v>1.1399999999999999</v>
      </c>
      <c r="L136" s="129">
        <f t="shared" si="38"/>
        <v>1.1399999999999999</v>
      </c>
      <c r="M136" s="129">
        <f t="shared" si="38"/>
        <v>1.1399999999999999</v>
      </c>
      <c r="N136" s="129">
        <f t="shared" si="38"/>
        <v>1.1399999999999999</v>
      </c>
      <c r="O136" s="129">
        <f t="shared" si="38"/>
        <v>1.1399999999999999</v>
      </c>
      <c r="P136" s="129">
        <f t="shared" si="38"/>
        <v>1.1399999999999999</v>
      </c>
      <c r="Q136" s="129">
        <f t="shared" si="38"/>
        <v>1.1399999999999999</v>
      </c>
      <c r="R136" s="129">
        <f t="shared" si="38"/>
        <v>1.1399999999999999</v>
      </c>
      <c r="S136" s="129">
        <f t="shared" si="38"/>
        <v>1.1399999999999999</v>
      </c>
      <c r="T136" s="129">
        <f t="shared" si="39"/>
        <v>1.1399999999999999</v>
      </c>
      <c r="U136" s="129">
        <f t="shared" si="39"/>
        <v>1.1399999999999999</v>
      </c>
      <c r="V136" s="129">
        <f t="shared" si="39"/>
        <v>1.1399999999999999</v>
      </c>
      <c r="W136" s="129">
        <f t="shared" si="39"/>
        <v>1.1399999999999999</v>
      </c>
      <c r="X136" s="129">
        <f t="shared" si="39"/>
        <v>1.1399999999999999</v>
      </c>
      <c r="Y136" s="129">
        <f t="shared" si="39"/>
        <v>1.1399999999999999</v>
      </c>
      <c r="Z136" s="129">
        <f t="shared" si="39"/>
        <v>1.1399999999999999</v>
      </c>
      <c r="AA136" s="129">
        <f t="shared" si="39"/>
        <v>1.1399999999999999</v>
      </c>
      <c r="AB136" s="129">
        <f t="shared" si="39"/>
        <v>1.1399999999999999</v>
      </c>
      <c r="AC136" s="129">
        <f t="shared" si="39"/>
        <v>1.1399999999999999</v>
      </c>
      <c r="AD136" s="129">
        <f t="shared" si="39"/>
        <v>1.1399999999999999</v>
      </c>
      <c r="AE136" s="129">
        <f t="shared" si="39"/>
        <v>1.1399999999999999</v>
      </c>
      <c r="AF136" s="129">
        <f t="shared" si="39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7"/>
        <v>0.82</v>
      </c>
      <c r="C137" s="130">
        <v>0.82</v>
      </c>
      <c r="D137" s="129">
        <f t="shared" si="38"/>
        <v>0.82</v>
      </c>
      <c r="E137" s="129">
        <f t="shared" si="38"/>
        <v>0.82</v>
      </c>
      <c r="F137" s="129">
        <f t="shared" si="38"/>
        <v>0.82</v>
      </c>
      <c r="G137" s="129">
        <f t="shared" si="38"/>
        <v>0.82</v>
      </c>
      <c r="H137" s="129">
        <f t="shared" si="38"/>
        <v>0.82</v>
      </c>
      <c r="I137" s="129">
        <f t="shared" si="38"/>
        <v>0.82</v>
      </c>
      <c r="J137" s="129">
        <f t="shared" si="38"/>
        <v>0.82</v>
      </c>
      <c r="K137" s="129">
        <f t="shared" si="38"/>
        <v>0.82</v>
      </c>
      <c r="L137" s="129">
        <f t="shared" si="38"/>
        <v>0.82</v>
      </c>
      <c r="M137" s="129">
        <f t="shared" si="38"/>
        <v>0.82</v>
      </c>
      <c r="N137" s="129">
        <f t="shared" si="38"/>
        <v>0.82</v>
      </c>
      <c r="O137" s="129">
        <f t="shared" si="38"/>
        <v>0.82</v>
      </c>
      <c r="P137" s="129">
        <f t="shared" si="38"/>
        <v>0.82</v>
      </c>
      <c r="Q137" s="129">
        <f t="shared" si="38"/>
        <v>0.82</v>
      </c>
      <c r="R137" s="129">
        <f t="shared" si="38"/>
        <v>0.82</v>
      </c>
      <c r="S137" s="129">
        <f t="shared" si="38"/>
        <v>0.82</v>
      </c>
      <c r="T137" s="129">
        <f t="shared" si="39"/>
        <v>0.82</v>
      </c>
      <c r="U137" s="129">
        <f t="shared" si="39"/>
        <v>0.82</v>
      </c>
      <c r="V137" s="129">
        <f t="shared" si="39"/>
        <v>0.82</v>
      </c>
      <c r="W137" s="129">
        <f t="shared" si="39"/>
        <v>0.82</v>
      </c>
      <c r="X137" s="129">
        <f t="shared" si="39"/>
        <v>0.82</v>
      </c>
      <c r="Y137" s="129">
        <f t="shared" si="39"/>
        <v>0.82</v>
      </c>
      <c r="Z137" s="129">
        <f t="shared" si="39"/>
        <v>0.82</v>
      </c>
      <c r="AA137" s="129">
        <f t="shared" si="39"/>
        <v>0.82</v>
      </c>
      <c r="AB137" s="129">
        <f t="shared" si="39"/>
        <v>0.82</v>
      </c>
      <c r="AC137" s="129">
        <f t="shared" si="39"/>
        <v>0.82</v>
      </c>
      <c r="AD137" s="129">
        <f t="shared" si="39"/>
        <v>0.82</v>
      </c>
      <c r="AE137" s="129">
        <f t="shared" si="39"/>
        <v>0.82</v>
      </c>
      <c r="AF137" s="129">
        <f t="shared" si="39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40">AF139</f>
        <v>2</v>
      </c>
      <c r="C139" s="130">
        <v>2</v>
      </c>
      <c r="D139" s="129">
        <f t="shared" ref="D139:S145" si="41">C139</f>
        <v>2</v>
      </c>
      <c r="E139" s="129">
        <f t="shared" si="41"/>
        <v>2</v>
      </c>
      <c r="F139" s="129">
        <f t="shared" si="41"/>
        <v>2</v>
      </c>
      <c r="G139" s="129">
        <f t="shared" si="41"/>
        <v>2</v>
      </c>
      <c r="H139" s="129">
        <f t="shared" si="41"/>
        <v>2</v>
      </c>
      <c r="I139" s="129">
        <f t="shared" si="41"/>
        <v>2</v>
      </c>
      <c r="J139" s="129">
        <f t="shared" si="41"/>
        <v>2</v>
      </c>
      <c r="K139" s="129">
        <f t="shared" si="41"/>
        <v>2</v>
      </c>
      <c r="L139" s="129">
        <f t="shared" si="41"/>
        <v>2</v>
      </c>
      <c r="M139" s="129">
        <f t="shared" si="41"/>
        <v>2</v>
      </c>
      <c r="N139" s="129">
        <f t="shared" si="41"/>
        <v>2</v>
      </c>
      <c r="O139" s="129">
        <f t="shared" si="41"/>
        <v>2</v>
      </c>
      <c r="P139" s="129">
        <f t="shared" si="41"/>
        <v>2</v>
      </c>
      <c r="Q139" s="129">
        <f t="shared" si="41"/>
        <v>2</v>
      </c>
      <c r="R139" s="129">
        <f t="shared" si="41"/>
        <v>2</v>
      </c>
      <c r="S139" s="129">
        <f t="shared" si="41"/>
        <v>2</v>
      </c>
      <c r="T139" s="129">
        <f t="shared" ref="T139:AF145" si="42">S139</f>
        <v>2</v>
      </c>
      <c r="U139" s="129">
        <f t="shared" si="42"/>
        <v>2</v>
      </c>
      <c r="V139" s="129">
        <f t="shared" si="42"/>
        <v>2</v>
      </c>
      <c r="W139" s="129">
        <f t="shared" si="42"/>
        <v>2</v>
      </c>
      <c r="X139" s="129">
        <f t="shared" si="42"/>
        <v>2</v>
      </c>
      <c r="Y139" s="129">
        <f t="shared" si="42"/>
        <v>2</v>
      </c>
      <c r="Z139" s="129">
        <f t="shared" si="42"/>
        <v>2</v>
      </c>
      <c r="AA139" s="129">
        <f t="shared" si="42"/>
        <v>2</v>
      </c>
      <c r="AB139" s="129">
        <f t="shared" si="42"/>
        <v>2</v>
      </c>
      <c r="AC139" s="129">
        <f t="shared" si="42"/>
        <v>2</v>
      </c>
      <c r="AD139" s="129">
        <f t="shared" si="42"/>
        <v>2</v>
      </c>
      <c r="AE139" s="129">
        <f t="shared" si="42"/>
        <v>2</v>
      </c>
      <c r="AF139" s="129">
        <f t="shared" si="42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40"/>
        <v>5.61</v>
      </c>
      <c r="C140" s="130">
        <v>5.61</v>
      </c>
      <c r="D140" s="129">
        <f t="shared" si="41"/>
        <v>5.61</v>
      </c>
      <c r="E140" s="129">
        <f t="shared" si="41"/>
        <v>5.61</v>
      </c>
      <c r="F140" s="129">
        <f t="shared" si="41"/>
        <v>5.61</v>
      </c>
      <c r="G140" s="129">
        <f t="shared" si="41"/>
        <v>5.61</v>
      </c>
      <c r="H140" s="129">
        <f t="shared" si="41"/>
        <v>5.61</v>
      </c>
      <c r="I140" s="129">
        <f t="shared" si="41"/>
        <v>5.61</v>
      </c>
      <c r="J140" s="129">
        <f t="shared" si="41"/>
        <v>5.61</v>
      </c>
      <c r="K140" s="129">
        <f t="shared" si="41"/>
        <v>5.61</v>
      </c>
      <c r="L140" s="129">
        <f t="shared" si="41"/>
        <v>5.61</v>
      </c>
      <c r="M140" s="129">
        <f t="shared" si="41"/>
        <v>5.61</v>
      </c>
      <c r="N140" s="129">
        <f t="shared" si="41"/>
        <v>5.61</v>
      </c>
      <c r="O140" s="129">
        <f t="shared" si="41"/>
        <v>5.61</v>
      </c>
      <c r="P140" s="129">
        <f t="shared" si="41"/>
        <v>5.61</v>
      </c>
      <c r="Q140" s="129">
        <f t="shared" si="41"/>
        <v>5.61</v>
      </c>
      <c r="R140" s="129">
        <f t="shared" si="41"/>
        <v>5.61</v>
      </c>
      <c r="S140" s="129">
        <f t="shared" si="41"/>
        <v>5.61</v>
      </c>
      <c r="T140" s="129">
        <f t="shared" si="42"/>
        <v>5.61</v>
      </c>
      <c r="U140" s="129">
        <f t="shared" si="42"/>
        <v>5.61</v>
      </c>
      <c r="V140" s="129">
        <f t="shared" si="42"/>
        <v>5.61</v>
      </c>
      <c r="W140" s="129">
        <f t="shared" si="42"/>
        <v>5.61</v>
      </c>
      <c r="X140" s="129">
        <f t="shared" si="42"/>
        <v>5.61</v>
      </c>
      <c r="Y140" s="129">
        <f t="shared" si="42"/>
        <v>5.61</v>
      </c>
      <c r="Z140" s="129">
        <f t="shared" si="42"/>
        <v>5.61</v>
      </c>
      <c r="AA140" s="129">
        <f t="shared" si="42"/>
        <v>5.61</v>
      </c>
      <c r="AB140" s="129">
        <f t="shared" si="42"/>
        <v>5.61</v>
      </c>
      <c r="AC140" s="129">
        <f t="shared" si="42"/>
        <v>5.61</v>
      </c>
      <c r="AD140" s="129">
        <f t="shared" si="42"/>
        <v>5.61</v>
      </c>
      <c r="AE140" s="129">
        <f t="shared" si="42"/>
        <v>5.61</v>
      </c>
      <c r="AF140" s="129">
        <f t="shared" si="42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40"/>
        <v>1.25</v>
      </c>
      <c r="C141" s="130">
        <v>1.25</v>
      </c>
      <c r="D141" s="129">
        <f t="shared" si="41"/>
        <v>1.25</v>
      </c>
      <c r="E141" s="129">
        <f t="shared" si="41"/>
        <v>1.25</v>
      </c>
      <c r="F141" s="129">
        <f t="shared" si="41"/>
        <v>1.25</v>
      </c>
      <c r="G141" s="129">
        <f t="shared" si="41"/>
        <v>1.25</v>
      </c>
      <c r="H141" s="129">
        <f t="shared" si="41"/>
        <v>1.25</v>
      </c>
      <c r="I141" s="129">
        <f t="shared" si="41"/>
        <v>1.25</v>
      </c>
      <c r="J141" s="129">
        <f t="shared" si="41"/>
        <v>1.25</v>
      </c>
      <c r="K141" s="129">
        <f t="shared" si="41"/>
        <v>1.25</v>
      </c>
      <c r="L141" s="129">
        <f t="shared" si="41"/>
        <v>1.25</v>
      </c>
      <c r="M141" s="129">
        <f t="shared" si="41"/>
        <v>1.25</v>
      </c>
      <c r="N141" s="129">
        <f t="shared" si="41"/>
        <v>1.25</v>
      </c>
      <c r="O141" s="129">
        <f t="shared" si="41"/>
        <v>1.25</v>
      </c>
      <c r="P141" s="129">
        <f t="shared" si="41"/>
        <v>1.25</v>
      </c>
      <c r="Q141" s="129">
        <f t="shared" si="41"/>
        <v>1.25</v>
      </c>
      <c r="R141" s="129">
        <f t="shared" si="41"/>
        <v>1.25</v>
      </c>
      <c r="S141" s="129">
        <f t="shared" si="41"/>
        <v>1.25</v>
      </c>
      <c r="T141" s="129">
        <f t="shared" si="42"/>
        <v>1.25</v>
      </c>
      <c r="U141" s="129">
        <f t="shared" si="42"/>
        <v>1.25</v>
      </c>
      <c r="V141" s="129">
        <f t="shared" si="42"/>
        <v>1.25</v>
      </c>
      <c r="W141" s="129">
        <f t="shared" si="42"/>
        <v>1.25</v>
      </c>
      <c r="X141" s="129">
        <f t="shared" si="42"/>
        <v>1.25</v>
      </c>
      <c r="Y141" s="129">
        <f t="shared" si="42"/>
        <v>1.25</v>
      </c>
      <c r="Z141" s="129">
        <f t="shared" si="42"/>
        <v>1.25</v>
      </c>
      <c r="AA141" s="129">
        <f t="shared" si="42"/>
        <v>1.25</v>
      </c>
      <c r="AB141" s="129">
        <f t="shared" si="42"/>
        <v>1.25</v>
      </c>
      <c r="AC141" s="129">
        <f t="shared" si="42"/>
        <v>1.25</v>
      </c>
      <c r="AD141" s="129">
        <f t="shared" si="42"/>
        <v>1.25</v>
      </c>
      <c r="AE141" s="129">
        <f t="shared" si="42"/>
        <v>1.25</v>
      </c>
      <c r="AF141" s="129">
        <f t="shared" si="42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40"/>
        <v>1.25</v>
      </c>
      <c r="C142" s="130">
        <v>1.25</v>
      </c>
      <c r="D142" s="129">
        <f t="shared" si="41"/>
        <v>1.25</v>
      </c>
      <c r="E142" s="129">
        <f t="shared" si="41"/>
        <v>1.25</v>
      </c>
      <c r="F142" s="129">
        <f t="shared" si="41"/>
        <v>1.25</v>
      </c>
      <c r="G142" s="129">
        <f t="shared" si="41"/>
        <v>1.25</v>
      </c>
      <c r="H142" s="129">
        <f t="shared" si="41"/>
        <v>1.25</v>
      </c>
      <c r="I142" s="129">
        <f t="shared" si="41"/>
        <v>1.25</v>
      </c>
      <c r="J142" s="129">
        <f t="shared" si="41"/>
        <v>1.25</v>
      </c>
      <c r="K142" s="129">
        <f t="shared" si="41"/>
        <v>1.25</v>
      </c>
      <c r="L142" s="129">
        <f t="shared" si="41"/>
        <v>1.25</v>
      </c>
      <c r="M142" s="129">
        <f t="shared" si="41"/>
        <v>1.25</v>
      </c>
      <c r="N142" s="129">
        <f t="shared" si="41"/>
        <v>1.25</v>
      </c>
      <c r="O142" s="129">
        <f t="shared" si="41"/>
        <v>1.25</v>
      </c>
      <c r="P142" s="129">
        <f t="shared" si="41"/>
        <v>1.25</v>
      </c>
      <c r="Q142" s="129">
        <f t="shared" si="41"/>
        <v>1.25</v>
      </c>
      <c r="R142" s="129">
        <f t="shared" si="41"/>
        <v>1.25</v>
      </c>
      <c r="S142" s="129">
        <f t="shared" si="41"/>
        <v>1.25</v>
      </c>
      <c r="T142" s="129">
        <f t="shared" si="42"/>
        <v>1.25</v>
      </c>
      <c r="U142" s="129">
        <f t="shared" si="42"/>
        <v>1.25</v>
      </c>
      <c r="V142" s="129">
        <f t="shared" si="42"/>
        <v>1.25</v>
      </c>
      <c r="W142" s="129">
        <f t="shared" si="42"/>
        <v>1.25</v>
      </c>
      <c r="X142" s="129">
        <f t="shared" si="42"/>
        <v>1.25</v>
      </c>
      <c r="Y142" s="129">
        <f t="shared" si="42"/>
        <v>1.25</v>
      </c>
      <c r="Z142" s="129">
        <f t="shared" si="42"/>
        <v>1.25</v>
      </c>
      <c r="AA142" s="129">
        <f t="shared" si="42"/>
        <v>1.25</v>
      </c>
      <c r="AB142" s="129">
        <f t="shared" si="42"/>
        <v>1.25</v>
      </c>
      <c r="AC142" s="129">
        <f t="shared" si="42"/>
        <v>1.25</v>
      </c>
      <c r="AD142" s="129">
        <f t="shared" si="42"/>
        <v>1.25</v>
      </c>
      <c r="AE142" s="129">
        <f t="shared" si="42"/>
        <v>1.25</v>
      </c>
      <c r="AF142" s="129">
        <f t="shared" si="42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40"/>
        <v>1.46</v>
      </c>
      <c r="C143" s="130">
        <v>1.46</v>
      </c>
      <c r="D143" s="129">
        <f t="shared" si="41"/>
        <v>1.46</v>
      </c>
      <c r="E143" s="129">
        <f t="shared" si="41"/>
        <v>1.46</v>
      </c>
      <c r="F143" s="129">
        <f t="shared" si="41"/>
        <v>1.46</v>
      </c>
      <c r="G143" s="129">
        <f t="shared" si="41"/>
        <v>1.46</v>
      </c>
      <c r="H143" s="129">
        <f t="shared" si="41"/>
        <v>1.46</v>
      </c>
      <c r="I143" s="129">
        <f t="shared" si="41"/>
        <v>1.46</v>
      </c>
      <c r="J143" s="129">
        <f t="shared" si="41"/>
        <v>1.46</v>
      </c>
      <c r="K143" s="129">
        <f t="shared" si="41"/>
        <v>1.46</v>
      </c>
      <c r="L143" s="129">
        <f t="shared" si="41"/>
        <v>1.46</v>
      </c>
      <c r="M143" s="129">
        <f t="shared" si="41"/>
        <v>1.46</v>
      </c>
      <c r="N143" s="129">
        <f t="shared" si="41"/>
        <v>1.46</v>
      </c>
      <c r="O143" s="129">
        <f t="shared" si="41"/>
        <v>1.46</v>
      </c>
      <c r="P143" s="129">
        <f t="shared" si="41"/>
        <v>1.46</v>
      </c>
      <c r="Q143" s="129">
        <f t="shared" si="41"/>
        <v>1.46</v>
      </c>
      <c r="R143" s="129">
        <f t="shared" si="41"/>
        <v>1.46</v>
      </c>
      <c r="S143" s="129">
        <f t="shared" si="41"/>
        <v>1.46</v>
      </c>
      <c r="T143" s="129">
        <f t="shared" si="42"/>
        <v>1.46</v>
      </c>
      <c r="U143" s="129">
        <f t="shared" si="42"/>
        <v>1.46</v>
      </c>
      <c r="V143" s="129">
        <f t="shared" si="42"/>
        <v>1.46</v>
      </c>
      <c r="W143" s="129">
        <f t="shared" si="42"/>
        <v>1.46</v>
      </c>
      <c r="X143" s="129">
        <f t="shared" si="42"/>
        <v>1.46</v>
      </c>
      <c r="Y143" s="129">
        <f t="shared" si="42"/>
        <v>1.46</v>
      </c>
      <c r="Z143" s="129">
        <f t="shared" si="42"/>
        <v>1.46</v>
      </c>
      <c r="AA143" s="129">
        <f t="shared" si="42"/>
        <v>1.46</v>
      </c>
      <c r="AB143" s="129">
        <f t="shared" si="42"/>
        <v>1.46</v>
      </c>
      <c r="AC143" s="129">
        <f t="shared" si="42"/>
        <v>1.46</v>
      </c>
      <c r="AD143" s="129">
        <f t="shared" si="42"/>
        <v>1.46</v>
      </c>
      <c r="AE143" s="129">
        <f t="shared" si="42"/>
        <v>1.46</v>
      </c>
      <c r="AF143" s="129">
        <f t="shared" si="42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40"/>
        <v>3</v>
      </c>
      <c r="C144" s="130">
        <v>3</v>
      </c>
      <c r="D144" s="129">
        <f t="shared" si="41"/>
        <v>3</v>
      </c>
      <c r="E144" s="129">
        <f t="shared" si="41"/>
        <v>3</v>
      </c>
      <c r="F144" s="129">
        <f t="shared" si="41"/>
        <v>3</v>
      </c>
      <c r="G144" s="129">
        <f t="shared" si="41"/>
        <v>3</v>
      </c>
      <c r="H144" s="129">
        <f t="shared" si="41"/>
        <v>3</v>
      </c>
      <c r="I144" s="129">
        <f t="shared" si="41"/>
        <v>3</v>
      </c>
      <c r="J144" s="129">
        <f t="shared" si="41"/>
        <v>3</v>
      </c>
      <c r="K144" s="129">
        <f t="shared" si="41"/>
        <v>3</v>
      </c>
      <c r="L144" s="129">
        <f t="shared" si="41"/>
        <v>3</v>
      </c>
      <c r="M144" s="129">
        <f t="shared" si="41"/>
        <v>3</v>
      </c>
      <c r="N144" s="129">
        <f t="shared" si="41"/>
        <v>3</v>
      </c>
      <c r="O144" s="129">
        <f t="shared" si="41"/>
        <v>3</v>
      </c>
      <c r="P144" s="129">
        <f t="shared" si="41"/>
        <v>3</v>
      </c>
      <c r="Q144" s="129">
        <f t="shared" si="41"/>
        <v>3</v>
      </c>
      <c r="R144" s="129">
        <f t="shared" si="41"/>
        <v>3</v>
      </c>
      <c r="S144" s="129">
        <f t="shared" si="41"/>
        <v>3</v>
      </c>
      <c r="T144" s="129">
        <f t="shared" si="42"/>
        <v>3</v>
      </c>
      <c r="U144" s="129">
        <f t="shared" si="42"/>
        <v>3</v>
      </c>
      <c r="V144" s="129">
        <f t="shared" si="42"/>
        <v>3</v>
      </c>
      <c r="W144" s="129">
        <f t="shared" si="42"/>
        <v>3</v>
      </c>
      <c r="X144" s="129">
        <f t="shared" si="42"/>
        <v>3</v>
      </c>
      <c r="Y144" s="129">
        <f t="shared" si="42"/>
        <v>3</v>
      </c>
      <c r="Z144" s="129">
        <f t="shared" si="42"/>
        <v>3</v>
      </c>
      <c r="AA144" s="129">
        <f t="shared" si="42"/>
        <v>3</v>
      </c>
      <c r="AB144" s="129">
        <f t="shared" si="42"/>
        <v>3</v>
      </c>
      <c r="AC144" s="129">
        <f t="shared" si="42"/>
        <v>3</v>
      </c>
      <c r="AD144" s="129">
        <f t="shared" si="42"/>
        <v>3</v>
      </c>
      <c r="AE144" s="129">
        <f t="shared" si="42"/>
        <v>3</v>
      </c>
      <c r="AF144" s="129">
        <f t="shared" si="42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40"/>
        <v>3.3</v>
      </c>
      <c r="C145" s="130">
        <v>3.3</v>
      </c>
      <c r="D145" s="129">
        <f t="shared" si="41"/>
        <v>3.3</v>
      </c>
      <c r="E145" s="129">
        <f t="shared" si="41"/>
        <v>3.3</v>
      </c>
      <c r="F145" s="129">
        <f t="shared" si="41"/>
        <v>3.3</v>
      </c>
      <c r="G145" s="129">
        <f t="shared" si="41"/>
        <v>3.3</v>
      </c>
      <c r="H145" s="129">
        <f t="shared" si="41"/>
        <v>3.3</v>
      </c>
      <c r="I145" s="129">
        <f t="shared" si="41"/>
        <v>3.3</v>
      </c>
      <c r="J145" s="129">
        <f t="shared" si="41"/>
        <v>3.3</v>
      </c>
      <c r="K145" s="129">
        <f t="shared" si="41"/>
        <v>3.3</v>
      </c>
      <c r="L145" s="129">
        <f t="shared" si="41"/>
        <v>3.3</v>
      </c>
      <c r="M145" s="129">
        <f t="shared" si="41"/>
        <v>3.3</v>
      </c>
      <c r="N145" s="129">
        <f t="shared" si="41"/>
        <v>3.3</v>
      </c>
      <c r="O145" s="129">
        <f t="shared" si="41"/>
        <v>3.3</v>
      </c>
      <c r="P145" s="129">
        <f t="shared" si="41"/>
        <v>3.3</v>
      </c>
      <c r="Q145" s="129">
        <f t="shared" si="41"/>
        <v>3.3</v>
      </c>
      <c r="R145" s="129">
        <f t="shared" si="41"/>
        <v>3.3</v>
      </c>
      <c r="S145" s="129">
        <f t="shared" si="41"/>
        <v>3.3</v>
      </c>
      <c r="T145" s="129">
        <f t="shared" si="42"/>
        <v>3.3</v>
      </c>
      <c r="U145" s="129">
        <f t="shared" si="42"/>
        <v>3.3</v>
      </c>
      <c r="V145" s="129">
        <f t="shared" si="42"/>
        <v>3.3</v>
      </c>
      <c r="W145" s="129">
        <f t="shared" si="42"/>
        <v>3.3</v>
      </c>
      <c r="X145" s="129">
        <f t="shared" si="42"/>
        <v>3.3</v>
      </c>
      <c r="Y145" s="129">
        <f t="shared" si="42"/>
        <v>3.3</v>
      </c>
      <c r="Z145" s="129">
        <f t="shared" si="42"/>
        <v>3.3</v>
      </c>
      <c r="AA145" s="129">
        <f t="shared" si="42"/>
        <v>3.3</v>
      </c>
      <c r="AB145" s="129">
        <f t="shared" si="42"/>
        <v>3.3</v>
      </c>
      <c r="AC145" s="129">
        <f t="shared" si="42"/>
        <v>3.3</v>
      </c>
      <c r="AD145" s="129">
        <f t="shared" si="42"/>
        <v>3.3</v>
      </c>
      <c r="AE145" s="129">
        <f t="shared" si="42"/>
        <v>3.3</v>
      </c>
      <c r="AF145" s="129">
        <f t="shared" si="42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3">C147</f>
        <v>1.76</v>
      </c>
      <c r="E147" s="129">
        <f t="shared" si="43"/>
        <v>1.76</v>
      </c>
      <c r="F147" s="129">
        <f t="shared" si="43"/>
        <v>1.76</v>
      </c>
      <c r="G147" s="129">
        <f t="shared" si="43"/>
        <v>1.76</v>
      </c>
      <c r="H147" s="129">
        <f t="shared" si="43"/>
        <v>1.76</v>
      </c>
      <c r="I147" s="129">
        <f t="shared" si="43"/>
        <v>1.76</v>
      </c>
      <c r="J147" s="129">
        <f t="shared" si="43"/>
        <v>1.76</v>
      </c>
      <c r="K147" s="129">
        <f t="shared" si="43"/>
        <v>1.76</v>
      </c>
      <c r="L147" s="129">
        <f t="shared" si="43"/>
        <v>1.76</v>
      </c>
      <c r="M147" s="129">
        <f t="shared" si="43"/>
        <v>1.76</v>
      </c>
      <c r="N147" s="129">
        <f t="shared" si="43"/>
        <v>1.76</v>
      </c>
      <c r="O147" s="129">
        <f t="shared" si="43"/>
        <v>1.76</v>
      </c>
      <c r="P147" s="129">
        <f t="shared" si="43"/>
        <v>1.76</v>
      </c>
      <c r="Q147" s="129">
        <f t="shared" si="43"/>
        <v>1.76</v>
      </c>
      <c r="R147" s="129">
        <f t="shared" si="43"/>
        <v>1.76</v>
      </c>
      <c r="S147" s="129">
        <f t="shared" si="43"/>
        <v>1.76</v>
      </c>
      <c r="T147" s="129">
        <f t="shared" ref="T147:AF148" si="44">S147</f>
        <v>1.76</v>
      </c>
      <c r="U147" s="129">
        <f t="shared" si="44"/>
        <v>1.76</v>
      </c>
      <c r="V147" s="129">
        <f t="shared" si="44"/>
        <v>1.76</v>
      </c>
      <c r="W147" s="129">
        <f t="shared" si="44"/>
        <v>1.76</v>
      </c>
      <c r="X147" s="129">
        <f t="shared" si="44"/>
        <v>1.76</v>
      </c>
      <c r="Y147" s="129">
        <f t="shared" si="44"/>
        <v>1.76</v>
      </c>
      <c r="Z147" s="129">
        <f t="shared" si="44"/>
        <v>1.76</v>
      </c>
      <c r="AA147" s="129">
        <f t="shared" si="44"/>
        <v>1.76</v>
      </c>
      <c r="AB147" s="129">
        <f t="shared" si="44"/>
        <v>1.76</v>
      </c>
      <c r="AC147" s="129">
        <f t="shared" si="44"/>
        <v>1.76</v>
      </c>
      <c r="AD147" s="129">
        <f t="shared" si="44"/>
        <v>1.76</v>
      </c>
      <c r="AE147" s="129">
        <f t="shared" si="44"/>
        <v>1.76</v>
      </c>
      <c r="AF147" s="129">
        <f t="shared" si="44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3"/>
        <v>0</v>
      </c>
      <c r="E148" s="129">
        <f t="shared" si="43"/>
        <v>0</v>
      </c>
      <c r="F148" s="129">
        <f t="shared" si="43"/>
        <v>0</v>
      </c>
      <c r="G148" s="129">
        <f t="shared" si="43"/>
        <v>0</v>
      </c>
      <c r="H148" s="129">
        <f t="shared" si="43"/>
        <v>0</v>
      </c>
      <c r="I148" s="129">
        <f t="shared" si="43"/>
        <v>0</v>
      </c>
      <c r="J148" s="129">
        <f t="shared" si="43"/>
        <v>0</v>
      </c>
      <c r="K148" s="129">
        <f t="shared" si="43"/>
        <v>0</v>
      </c>
      <c r="L148" s="129">
        <f t="shared" si="43"/>
        <v>0</v>
      </c>
      <c r="M148" s="129">
        <f t="shared" si="43"/>
        <v>0</v>
      </c>
      <c r="N148" s="129">
        <f t="shared" si="43"/>
        <v>0</v>
      </c>
      <c r="O148" s="129">
        <f t="shared" si="43"/>
        <v>0</v>
      </c>
      <c r="P148" s="129">
        <f t="shared" si="43"/>
        <v>0</v>
      </c>
      <c r="Q148" s="129">
        <f t="shared" si="43"/>
        <v>0</v>
      </c>
      <c r="R148" s="129">
        <f t="shared" si="43"/>
        <v>0</v>
      </c>
      <c r="S148" s="129">
        <f t="shared" si="43"/>
        <v>0</v>
      </c>
      <c r="T148" s="129">
        <f t="shared" si="44"/>
        <v>0</v>
      </c>
      <c r="U148" s="129">
        <f t="shared" si="44"/>
        <v>0</v>
      </c>
      <c r="V148" s="129">
        <f t="shared" si="44"/>
        <v>0</v>
      </c>
      <c r="W148" s="129">
        <f t="shared" si="44"/>
        <v>0</v>
      </c>
      <c r="X148" s="129">
        <f t="shared" si="44"/>
        <v>0</v>
      </c>
      <c r="Y148" s="129">
        <f t="shared" si="44"/>
        <v>0</v>
      </c>
      <c r="Z148" s="129">
        <f t="shared" si="44"/>
        <v>0</v>
      </c>
      <c r="AA148" s="129">
        <f t="shared" si="44"/>
        <v>0</v>
      </c>
      <c r="AB148" s="129">
        <f t="shared" si="44"/>
        <v>0</v>
      </c>
      <c r="AC148" s="129">
        <f t="shared" si="44"/>
        <v>0</v>
      </c>
      <c r="AD148" s="129">
        <f t="shared" si="44"/>
        <v>0</v>
      </c>
      <c r="AE148" s="129">
        <f t="shared" si="44"/>
        <v>0</v>
      </c>
      <c r="AF148" s="129">
        <f t="shared" si="44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5">C150</f>
        <v>0.1</v>
      </c>
      <c r="E150" s="129">
        <f t="shared" si="45"/>
        <v>0.1</v>
      </c>
      <c r="F150" s="129">
        <f t="shared" si="45"/>
        <v>0.1</v>
      </c>
      <c r="G150" s="129">
        <f t="shared" si="45"/>
        <v>0.1</v>
      </c>
      <c r="H150" s="129">
        <f t="shared" si="45"/>
        <v>0.1</v>
      </c>
      <c r="I150" s="129">
        <f t="shared" si="45"/>
        <v>0.1</v>
      </c>
      <c r="J150" s="129">
        <f t="shared" si="45"/>
        <v>0.1</v>
      </c>
      <c r="K150" s="129">
        <f t="shared" si="45"/>
        <v>0.1</v>
      </c>
      <c r="L150" s="129">
        <f t="shared" si="45"/>
        <v>0.1</v>
      </c>
      <c r="M150" s="129">
        <f t="shared" si="45"/>
        <v>0.1</v>
      </c>
      <c r="N150" s="129">
        <f t="shared" si="45"/>
        <v>0.1</v>
      </c>
      <c r="O150" s="129">
        <f t="shared" si="45"/>
        <v>0.1</v>
      </c>
      <c r="P150" s="129">
        <f t="shared" si="45"/>
        <v>0.1</v>
      </c>
      <c r="Q150" s="129">
        <f t="shared" si="45"/>
        <v>0.1</v>
      </c>
      <c r="R150" s="129">
        <f t="shared" si="45"/>
        <v>0.1</v>
      </c>
      <c r="S150" s="129">
        <f t="shared" si="45"/>
        <v>0.1</v>
      </c>
      <c r="T150" s="129">
        <f t="shared" ref="T150:AF153" si="46">S150</f>
        <v>0.1</v>
      </c>
      <c r="U150" s="129">
        <f t="shared" si="46"/>
        <v>0.1</v>
      </c>
      <c r="V150" s="129">
        <f t="shared" si="46"/>
        <v>0.1</v>
      </c>
      <c r="W150" s="129">
        <f t="shared" si="46"/>
        <v>0.1</v>
      </c>
      <c r="X150" s="129">
        <f t="shared" si="46"/>
        <v>0.1</v>
      </c>
      <c r="Y150" s="129">
        <f t="shared" si="46"/>
        <v>0.1</v>
      </c>
      <c r="Z150" s="129">
        <f t="shared" si="46"/>
        <v>0.1</v>
      </c>
      <c r="AA150" s="129">
        <f t="shared" si="46"/>
        <v>0.1</v>
      </c>
      <c r="AB150" s="129">
        <f t="shared" si="46"/>
        <v>0.1</v>
      </c>
      <c r="AC150" s="129">
        <f t="shared" si="46"/>
        <v>0.1</v>
      </c>
      <c r="AD150" s="129">
        <f t="shared" si="46"/>
        <v>0.1</v>
      </c>
      <c r="AE150" s="129">
        <f t="shared" si="46"/>
        <v>0.1</v>
      </c>
      <c r="AF150" s="129">
        <f t="shared" si="46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5"/>
        <v>2.0499999999999998</v>
      </c>
      <c r="E151" s="129">
        <f t="shared" si="45"/>
        <v>2.0499999999999998</v>
      </c>
      <c r="F151" s="129">
        <f t="shared" si="45"/>
        <v>2.0499999999999998</v>
      </c>
      <c r="G151" s="129">
        <f t="shared" si="45"/>
        <v>2.0499999999999998</v>
      </c>
      <c r="H151" s="129">
        <f t="shared" si="45"/>
        <v>2.0499999999999998</v>
      </c>
      <c r="I151" s="129">
        <f t="shared" si="45"/>
        <v>2.0499999999999998</v>
      </c>
      <c r="J151" s="129">
        <f t="shared" si="45"/>
        <v>2.0499999999999998</v>
      </c>
      <c r="K151" s="129">
        <f t="shared" si="45"/>
        <v>2.0499999999999998</v>
      </c>
      <c r="L151" s="129">
        <f t="shared" si="45"/>
        <v>2.0499999999999998</v>
      </c>
      <c r="M151" s="129">
        <f t="shared" si="45"/>
        <v>2.0499999999999998</v>
      </c>
      <c r="N151" s="129">
        <f t="shared" si="45"/>
        <v>2.0499999999999998</v>
      </c>
      <c r="O151" s="129">
        <f t="shared" si="45"/>
        <v>2.0499999999999998</v>
      </c>
      <c r="P151" s="129">
        <f t="shared" si="45"/>
        <v>2.0499999999999998</v>
      </c>
      <c r="Q151" s="129">
        <f t="shared" si="45"/>
        <v>2.0499999999999998</v>
      </c>
      <c r="R151" s="129">
        <f t="shared" si="45"/>
        <v>2.0499999999999998</v>
      </c>
      <c r="S151" s="129">
        <f t="shared" si="45"/>
        <v>2.0499999999999998</v>
      </c>
      <c r="T151" s="129">
        <f t="shared" si="46"/>
        <v>2.0499999999999998</v>
      </c>
      <c r="U151" s="129">
        <f t="shared" si="46"/>
        <v>2.0499999999999998</v>
      </c>
      <c r="V151" s="129">
        <f t="shared" si="46"/>
        <v>2.0499999999999998</v>
      </c>
      <c r="W151" s="129">
        <f t="shared" si="46"/>
        <v>2.0499999999999998</v>
      </c>
      <c r="X151" s="129">
        <f t="shared" si="46"/>
        <v>2.0499999999999998</v>
      </c>
      <c r="Y151" s="129">
        <f t="shared" si="46"/>
        <v>2.0499999999999998</v>
      </c>
      <c r="Z151" s="129">
        <f t="shared" si="46"/>
        <v>2.0499999999999998</v>
      </c>
      <c r="AA151" s="129">
        <f t="shared" si="46"/>
        <v>2.0499999999999998</v>
      </c>
      <c r="AB151" s="129">
        <f t="shared" si="46"/>
        <v>2.0499999999999998</v>
      </c>
      <c r="AC151" s="129">
        <f t="shared" si="46"/>
        <v>2.0499999999999998</v>
      </c>
      <c r="AD151" s="129">
        <f t="shared" si="46"/>
        <v>2.0499999999999998</v>
      </c>
      <c r="AE151" s="129">
        <f t="shared" si="46"/>
        <v>2.0499999999999998</v>
      </c>
      <c r="AF151" s="129">
        <f t="shared" si="46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5"/>
        <v>2.7</v>
      </c>
      <c r="E152" s="129">
        <f t="shared" si="45"/>
        <v>2.7</v>
      </c>
      <c r="F152" s="129">
        <f t="shared" si="45"/>
        <v>2.7</v>
      </c>
      <c r="G152" s="129">
        <f t="shared" si="45"/>
        <v>2.7</v>
      </c>
      <c r="H152" s="129">
        <f t="shared" si="45"/>
        <v>2.7</v>
      </c>
      <c r="I152" s="129">
        <f t="shared" si="45"/>
        <v>2.7</v>
      </c>
      <c r="J152" s="129">
        <f t="shared" si="45"/>
        <v>2.7</v>
      </c>
      <c r="K152" s="129">
        <f t="shared" si="45"/>
        <v>2.7</v>
      </c>
      <c r="L152" s="129">
        <f t="shared" si="45"/>
        <v>2.7</v>
      </c>
      <c r="M152" s="129">
        <f t="shared" si="45"/>
        <v>2.7</v>
      </c>
      <c r="N152" s="129">
        <f t="shared" si="45"/>
        <v>2.7</v>
      </c>
      <c r="O152" s="129">
        <f t="shared" si="45"/>
        <v>2.7</v>
      </c>
      <c r="P152" s="129">
        <f t="shared" si="45"/>
        <v>2.7</v>
      </c>
      <c r="Q152" s="129">
        <f t="shared" si="45"/>
        <v>2.7</v>
      </c>
      <c r="R152" s="129">
        <f t="shared" si="45"/>
        <v>2.7</v>
      </c>
      <c r="S152" s="129">
        <f t="shared" si="45"/>
        <v>2.7</v>
      </c>
      <c r="T152" s="129">
        <f t="shared" si="46"/>
        <v>2.7</v>
      </c>
      <c r="U152" s="129">
        <f t="shared" si="46"/>
        <v>2.7</v>
      </c>
      <c r="V152" s="129">
        <f t="shared" si="46"/>
        <v>2.7</v>
      </c>
      <c r="W152" s="129">
        <f t="shared" si="46"/>
        <v>2.7</v>
      </c>
      <c r="X152" s="129">
        <f t="shared" si="46"/>
        <v>2.7</v>
      </c>
      <c r="Y152" s="129">
        <f t="shared" si="46"/>
        <v>2.7</v>
      </c>
      <c r="Z152" s="129">
        <f t="shared" si="46"/>
        <v>2.7</v>
      </c>
      <c r="AA152" s="129">
        <f t="shared" si="46"/>
        <v>2.7</v>
      </c>
      <c r="AB152" s="129">
        <f t="shared" si="46"/>
        <v>2.7</v>
      </c>
      <c r="AC152" s="129">
        <f t="shared" si="46"/>
        <v>2.7</v>
      </c>
      <c r="AD152" s="129">
        <f t="shared" si="46"/>
        <v>2.7</v>
      </c>
      <c r="AE152" s="129">
        <f t="shared" si="46"/>
        <v>2.7</v>
      </c>
      <c r="AF152" s="129">
        <f t="shared" si="46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5"/>
        <v>2.15</v>
      </c>
      <c r="E153" s="129">
        <f t="shared" si="45"/>
        <v>2.15</v>
      </c>
      <c r="F153" s="129">
        <f t="shared" si="45"/>
        <v>2.15</v>
      </c>
      <c r="G153" s="129">
        <f t="shared" si="45"/>
        <v>2.15</v>
      </c>
      <c r="H153" s="129">
        <f t="shared" si="45"/>
        <v>2.15</v>
      </c>
      <c r="I153" s="129">
        <f t="shared" si="45"/>
        <v>2.15</v>
      </c>
      <c r="J153" s="129">
        <f t="shared" si="45"/>
        <v>2.15</v>
      </c>
      <c r="K153" s="129">
        <f t="shared" si="45"/>
        <v>2.15</v>
      </c>
      <c r="L153" s="129">
        <f t="shared" si="45"/>
        <v>2.15</v>
      </c>
      <c r="M153" s="129">
        <f t="shared" si="45"/>
        <v>2.15</v>
      </c>
      <c r="N153" s="129">
        <f t="shared" si="45"/>
        <v>2.15</v>
      </c>
      <c r="O153" s="129">
        <f t="shared" si="45"/>
        <v>2.15</v>
      </c>
      <c r="P153" s="129">
        <f t="shared" si="45"/>
        <v>2.15</v>
      </c>
      <c r="Q153" s="129">
        <f t="shared" si="45"/>
        <v>2.15</v>
      </c>
      <c r="R153" s="129">
        <f t="shared" si="45"/>
        <v>2.15</v>
      </c>
      <c r="S153" s="129">
        <f t="shared" si="45"/>
        <v>2.15</v>
      </c>
      <c r="T153" s="129">
        <f t="shared" si="46"/>
        <v>2.15</v>
      </c>
      <c r="U153" s="129">
        <f t="shared" si="46"/>
        <v>2.15</v>
      </c>
      <c r="V153" s="129">
        <f t="shared" si="46"/>
        <v>2.15</v>
      </c>
      <c r="W153" s="129">
        <f t="shared" si="46"/>
        <v>2.15</v>
      </c>
      <c r="X153" s="129">
        <f t="shared" si="46"/>
        <v>2.15</v>
      </c>
      <c r="Y153" s="129">
        <f t="shared" si="46"/>
        <v>2.15</v>
      </c>
      <c r="Z153" s="129">
        <f t="shared" si="46"/>
        <v>2.15</v>
      </c>
      <c r="AA153" s="129">
        <f t="shared" si="46"/>
        <v>2.15</v>
      </c>
      <c r="AB153" s="129">
        <f t="shared" si="46"/>
        <v>2.15</v>
      </c>
      <c r="AC153" s="129">
        <f t="shared" si="46"/>
        <v>2.15</v>
      </c>
      <c r="AD153" s="129">
        <f t="shared" si="46"/>
        <v>2.15</v>
      </c>
      <c r="AE153" s="129">
        <f t="shared" si="46"/>
        <v>2.15</v>
      </c>
      <c r="AF153" s="129">
        <f t="shared" si="46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7">AF155</f>
        <v>0.9</v>
      </c>
      <c r="C155" s="130">
        <v>0.9</v>
      </c>
      <c r="D155" s="129">
        <f t="shared" ref="D155:S167" si="48">C155</f>
        <v>0.9</v>
      </c>
      <c r="E155" s="129">
        <f t="shared" si="48"/>
        <v>0.9</v>
      </c>
      <c r="F155" s="129">
        <f t="shared" si="48"/>
        <v>0.9</v>
      </c>
      <c r="G155" s="129">
        <f t="shared" si="48"/>
        <v>0.9</v>
      </c>
      <c r="H155" s="129">
        <f t="shared" si="48"/>
        <v>0.9</v>
      </c>
      <c r="I155" s="129">
        <f t="shared" si="48"/>
        <v>0.9</v>
      </c>
      <c r="J155" s="129">
        <f t="shared" si="48"/>
        <v>0.9</v>
      </c>
      <c r="K155" s="129">
        <f t="shared" si="48"/>
        <v>0.9</v>
      </c>
      <c r="L155" s="129">
        <f t="shared" si="48"/>
        <v>0.9</v>
      </c>
      <c r="M155" s="129">
        <f t="shared" si="48"/>
        <v>0.9</v>
      </c>
      <c r="N155" s="129">
        <f t="shared" si="48"/>
        <v>0.9</v>
      </c>
      <c r="O155" s="129">
        <f t="shared" si="48"/>
        <v>0.9</v>
      </c>
      <c r="P155" s="129">
        <f t="shared" si="48"/>
        <v>0.9</v>
      </c>
      <c r="Q155" s="129">
        <f t="shared" si="48"/>
        <v>0.9</v>
      </c>
      <c r="R155" s="129">
        <f t="shared" si="48"/>
        <v>0.9</v>
      </c>
      <c r="S155" s="129">
        <f t="shared" si="48"/>
        <v>0.9</v>
      </c>
      <c r="T155" s="129">
        <f t="shared" ref="S155:AF167" si="49">S155</f>
        <v>0.9</v>
      </c>
      <c r="U155" s="129">
        <f t="shared" si="49"/>
        <v>0.9</v>
      </c>
      <c r="V155" s="129">
        <f t="shared" si="49"/>
        <v>0.9</v>
      </c>
      <c r="W155" s="129">
        <f t="shared" si="49"/>
        <v>0.9</v>
      </c>
      <c r="X155" s="129">
        <f t="shared" si="49"/>
        <v>0.9</v>
      </c>
      <c r="Y155" s="129">
        <f t="shared" si="49"/>
        <v>0.9</v>
      </c>
      <c r="Z155" s="129">
        <f t="shared" si="49"/>
        <v>0.9</v>
      </c>
      <c r="AA155" s="129">
        <f t="shared" si="49"/>
        <v>0.9</v>
      </c>
      <c r="AB155" s="129">
        <f t="shared" si="49"/>
        <v>0.9</v>
      </c>
      <c r="AC155" s="129">
        <f t="shared" si="49"/>
        <v>0.9</v>
      </c>
      <c r="AD155" s="129">
        <f t="shared" si="49"/>
        <v>0.9</v>
      </c>
      <c r="AE155" s="129">
        <f t="shared" si="49"/>
        <v>0.9</v>
      </c>
      <c r="AF155" s="129">
        <f t="shared" si="49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7"/>
        <v>1.08</v>
      </c>
      <c r="C156" s="130">
        <v>1.08</v>
      </c>
      <c r="D156" s="129">
        <f t="shared" si="48"/>
        <v>1.08</v>
      </c>
      <c r="E156" s="129">
        <f t="shared" si="48"/>
        <v>1.08</v>
      </c>
      <c r="F156" s="129">
        <f t="shared" si="48"/>
        <v>1.08</v>
      </c>
      <c r="G156" s="129">
        <f t="shared" si="48"/>
        <v>1.08</v>
      </c>
      <c r="H156" s="129">
        <f t="shared" si="48"/>
        <v>1.08</v>
      </c>
      <c r="I156" s="129">
        <f t="shared" si="48"/>
        <v>1.08</v>
      </c>
      <c r="J156" s="129">
        <f t="shared" si="48"/>
        <v>1.08</v>
      </c>
      <c r="K156" s="129">
        <f t="shared" si="48"/>
        <v>1.08</v>
      </c>
      <c r="L156" s="129">
        <f t="shared" si="48"/>
        <v>1.08</v>
      </c>
      <c r="M156" s="129">
        <f t="shared" si="48"/>
        <v>1.08</v>
      </c>
      <c r="N156" s="129">
        <f t="shared" si="48"/>
        <v>1.08</v>
      </c>
      <c r="O156" s="129">
        <f t="shared" si="48"/>
        <v>1.08</v>
      </c>
      <c r="P156" s="129">
        <f t="shared" si="48"/>
        <v>1.08</v>
      </c>
      <c r="Q156" s="129">
        <f t="shared" si="48"/>
        <v>1.08</v>
      </c>
      <c r="R156" s="129">
        <f t="shared" si="48"/>
        <v>1.08</v>
      </c>
      <c r="S156" s="129">
        <f t="shared" si="48"/>
        <v>1.08</v>
      </c>
      <c r="T156" s="129">
        <f t="shared" si="49"/>
        <v>1.08</v>
      </c>
      <c r="U156" s="129">
        <f t="shared" si="49"/>
        <v>1.08</v>
      </c>
      <c r="V156" s="129">
        <f t="shared" si="49"/>
        <v>1.08</v>
      </c>
      <c r="W156" s="129">
        <f t="shared" si="49"/>
        <v>1.08</v>
      </c>
      <c r="X156" s="129">
        <f t="shared" si="49"/>
        <v>1.08</v>
      </c>
      <c r="Y156" s="129">
        <f t="shared" si="49"/>
        <v>1.08</v>
      </c>
      <c r="Z156" s="129">
        <f t="shared" si="49"/>
        <v>1.08</v>
      </c>
      <c r="AA156" s="129">
        <f t="shared" si="49"/>
        <v>1.08</v>
      </c>
      <c r="AB156" s="129">
        <f t="shared" si="49"/>
        <v>1.08</v>
      </c>
      <c r="AC156" s="129">
        <f t="shared" si="49"/>
        <v>1.08</v>
      </c>
      <c r="AD156" s="129">
        <f t="shared" si="49"/>
        <v>1.08</v>
      </c>
      <c r="AE156" s="129">
        <f t="shared" si="49"/>
        <v>1.08</v>
      </c>
      <c r="AF156" s="129">
        <f t="shared" si="49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7"/>
        <v>2.37</v>
      </c>
      <c r="C157" s="130">
        <v>2.37</v>
      </c>
      <c r="D157" s="129">
        <f t="shared" si="48"/>
        <v>2.37</v>
      </c>
      <c r="E157" s="129">
        <f t="shared" si="48"/>
        <v>2.37</v>
      </c>
      <c r="F157" s="129">
        <f t="shared" si="48"/>
        <v>2.37</v>
      </c>
      <c r="G157" s="129">
        <f t="shared" si="48"/>
        <v>2.37</v>
      </c>
      <c r="H157" s="129">
        <f t="shared" si="48"/>
        <v>2.37</v>
      </c>
      <c r="I157" s="129">
        <f t="shared" si="48"/>
        <v>2.37</v>
      </c>
      <c r="J157" s="129">
        <f t="shared" si="48"/>
        <v>2.37</v>
      </c>
      <c r="K157" s="129">
        <f t="shared" si="48"/>
        <v>2.37</v>
      </c>
      <c r="L157" s="129">
        <f t="shared" si="48"/>
        <v>2.37</v>
      </c>
      <c r="M157" s="129">
        <f t="shared" si="48"/>
        <v>2.37</v>
      </c>
      <c r="N157" s="129">
        <f t="shared" si="48"/>
        <v>2.37</v>
      </c>
      <c r="O157" s="129">
        <f t="shared" si="48"/>
        <v>2.37</v>
      </c>
      <c r="P157" s="129">
        <f t="shared" si="48"/>
        <v>2.37</v>
      </c>
      <c r="Q157" s="129">
        <f t="shared" si="48"/>
        <v>2.37</v>
      </c>
      <c r="R157" s="129">
        <f t="shared" si="48"/>
        <v>2.37</v>
      </c>
      <c r="S157" s="129">
        <f t="shared" si="48"/>
        <v>2.37</v>
      </c>
      <c r="T157" s="129">
        <f t="shared" si="49"/>
        <v>2.37</v>
      </c>
      <c r="U157" s="129">
        <f t="shared" si="49"/>
        <v>2.37</v>
      </c>
      <c r="V157" s="129">
        <f t="shared" si="49"/>
        <v>2.37</v>
      </c>
      <c r="W157" s="129">
        <f t="shared" si="49"/>
        <v>2.37</v>
      </c>
      <c r="X157" s="129">
        <f t="shared" si="49"/>
        <v>2.37</v>
      </c>
      <c r="Y157" s="129">
        <f t="shared" si="49"/>
        <v>2.37</v>
      </c>
      <c r="Z157" s="129">
        <f t="shared" si="49"/>
        <v>2.37</v>
      </c>
      <c r="AA157" s="129">
        <f t="shared" si="49"/>
        <v>2.37</v>
      </c>
      <c r="AB157" s="129">
        <f t="shared" si="49"/>
        <v>2.37</v>
      </c>
      <c r="AC157" s="129">
        <f t="shared" si="49"/>
        <v>2.37</v>
      </c>
      <c r="AD157" s="129">
        <f t="shared" si="49"/>
        <v>2.37</v>
      </c>
      <c r="AE157" s="129">
        <f t="shared" si="49"/>
        <v>2.37</v>
      </c>
      <c r="AF157" s="129">
        <f t="shared" si="49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7"/>
        <v>1.81</v>
      </c>
      <c r="C158" s="130">
        <v>1.81</v>
      </c>
      <c r="D158" s="129">
        <f t="shared" si="48"/>
        <v>1.81</v>
      </c>
      <c r="E158" s="129">
        <f t="shared" si="48"/>
        <v>1.81</v>
      </c>
      <c r="F158" s="129">
        <f t="shared" si="48"/>
        <v>1.81</v>
      </c>
      <c r="G158" s="129">
        <f t="shared" si="48"/>
        <v>1.81</v>
      </c>
      <c r="H158" s="129">
        <f t="shared" si="48"/>
        <v>1.81</v>
      </c>
      <c r="I158" s="129">
        <f t="shared" si="48"/>
        <v>1.81</v>
      </c>
      <c r="J158" s="129">
        <f t="shared" si="48"/>
        <v>1.81</v>
      </c>
      <c r="K158" s="129">
        <f t="shared" si="48"/>
        <v>1.81</v>
      </c>
      <c r="L158" s="129">
        <f t="shared" si="48"/>
        <v>1.81</v>
      </c>
      <c r="M158" s="129">
        <f t="shared" si="48"/>
        <v>1.81</v>
      </c>
      <c r="N158" s="129">
        <f t="shared" si="48"/>
        <v>1.81</v>
      </c>
      <c r="O158" s="129">
        <f t="shared" si="48"/>
        <v>1.81</v>
      </c>
      <c r="P158" s="129">
        <f t="shared" si="48"/>
        <v>1.81</v>
      </c>
      <c r="Q158" s="129">
        <f t="shared" si="48"/>
        <v>1.81</v>
      </c>
      <c r="R158" s="129">
        <f t="shared" si="48"/>
        <v>1.81</v>
      </c>
      <c r="S158" s="129">
        <f t="shared" si="48"/>
        <v>1.81</v>
      </c>
      <c r="T158" s="129">
        <f t="shared" si="49"/>
        <v>1.81</v>
      </c>
      <c r="U158" s="129">
        <f t="shared" si="49"/>
        <v>1.81</v>
      </c>
      <c r="V158" s="129">
        <f t="shared" si="49"/>
        <v>1.81</v>
      </c>
      <c r="W158" s="129">
        <f t="shared" si="49"/>
        <v>1.81</v>
      </c>
      <c r="X158" s="129">
        <f t="shared" si="49"/>
        <v>1.81</v>
      </c>
      <c r="Y158" s="129">
        <f t="shared" si="49"/>
        <v>1.81</v>
      </c>
      <c r="Z158" s="129">
        <f t="shared" si="49"/>
        <v>1.81</v>
      </c>
      <c r="AA158" s="129">
        <f t="shared" si="49"/>
        <v>1.81</v>
      </c>
      <c r="AB158" s="129">
        <f t="shared" si="49"/>
        <v>1.81</v>
      </c>
      <c r="AC158" s="129">
        <f t="shared" si="49"/>
        <v>1.81</v>
      </c>
      <c r="AD158" s="129">
        <f t="shared" si="49"/>
        <v>1.81</v>
      </c>
      <c r="AE158" s="129">
        <f t="shared" si="49"/>
        <v>1.81</v>
      </c>
      <c r="AF158" s="129">
        <f t="shared" si="49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7"/>
        <v>1.0900000000000001</v>
      </c>
      <c r="C159" s="130">
        <v>1.0900000000000001</v>
      </c>
      <c r="D159" s="129">
        <f t="shared" si="48"/>
        <v>1.0900000000000001</v>
      </c>
      <c r="E159" s="129">
        <f t="shared" si="48"/>
        <v>1.0900000000000001</v>
      </c>
      <c r="F159" s="129">
        <f t="shared" si="48"/>
        <v>1.0900000000000001</v>
      </c>
      <c r="G159" s="129">
        <f t="shared" si="48"/>
        <v>1.0900000000000001</v>
      </c>
      <c r="H159" s="129">
        <f t="shared" si="48"/>
        <v>1.0900000000000001</v>
      </c>
      <c r="I159" s="129">
        <f t="shared" si="48"/>
        <v>1.0900000000000001</v>
      </c>
      <c r="J159" s="129">
        <f t="shared" si="48"/>
        <v>1.0900000000000001</v>
      </c>
      <c r="K159" s="129">
        <f t="shared" si="48"/>
        <v>1.0900000000000001</v>
      </c>
      <c r="L159" s="129">
        <f t="shared" si="48"/>
        <v>1.0900000000000001</v>
      </c>
      <c r="M159" s="129">
        <f t="shared" si="48"/>
        <v>1.0900000000000001</v>
      </c>
      <c r="N159" s="129">
        <f t="shared" si="48"/>
        <v>1.0900000000000001</v>
      </c>
      <c r="O159" s="129">
        <f t="shared" si="48"/>
        <v>1.0900000000000001</v>
      </c>
      <c r="P159" s="129">
        <f t="shared" si="48"/>
        <v>1.0900000000000001</v>
      </c>
      <c r="Q159" s="129">
        <f t="shared" si="48"/>
        <v>1.0900000000000001</v>
      </c>
      <c r="R159" s="129">
        <f t="shared" si="48"/>
        <v>1.0900000000000001</v>
      </c>
      <c r="S159" s="129">
        <f t="shared" si="48"/>
        <v>1.0900000000000001</v>
      </c>
      <c r="T159" s="129">
        <f t="shared" si="49"/>
        <v>1.0900000000000001</v>
      </c>
      <c r="U159" s="129">
        <f t="shared" si="49"/>
        <v>1.0900000000000001</v>
      </c>
      <c r="V159" s="129">
        <f t="shared" si="49"/>
        <v>1.0900000000000001</v>
      </c>
      <c r="W159" s="129">
        <f t="shared" si="49"/>
        <v>1.0900000000000001</v>
      </c>
      <c r="X159" s="129">
        <f t="shared" si="49"/>
        <v>1.0900000000000001</v>
      </c>
      <c r="Y159" s="129">
        <f t="shared" si="49"/>
        <v>1.0900000000000001</v>
      </c>
      <c r="Z159" s="129">
        <f t="shared" si="49"/>
        <v>1.0900000000000001</v>
      </c>
      <c r="AA159" s="129">
        <f t="shared" si="49"/>
        <v>1.0900000000000001</v>
      </c>
      <c r="AB159" s="129">
        <f t="shared" si="49"/>
        <v>1.0900000000000001</v>
      </c>
      <c r="AC159" s="129">
        <f t="shared" si="49"/>
        <v>1.0900000000000001</v>
      </c>
      <c r="AD159" s="129">
        <f t="shared" si="49"/>
        <v>1.0900000000000001</v>
      </c>
      <c r="AE159" s="129">
        <f t="shared" si="49"/>
        <v>1.0900000000000001</v>
      </c>
      <c r="AF159" s="129">
        <f t="shared" si="49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7"/>
        <v>1.58</v>
      </c>
      <c r="C160" s="130">
        <v>1.58</v>
      </c>
      <c r="D160" s="129">
        <f t="shared" si="48"/>
        <v>1.58</v>
      </c>
      <c r="E160" s="129">
        <f t="shared" si="48"/>
        <v>1.58</v>
      </c>
      <c r="F160" s="129">
        <f t="shared" si="48"/>
        <v>1.58</v>
      </c>
      <c r="G160" s="129">
        <f t="shared" si="48"/>
        <v>1.58</v>
      </c>
      <c r="H160" s="129">
        <f t="shared" si="48"/>
        <v>1.58</v>
      </c>
      <c r="I160" s="129">
        <f t="shared" si="48"/>
        <v>1.58</v>
      </c>
      <c r="J160" s="129">
        <f t="shared" si="48"/>
        <v>1.58</v>
      </c>
      <c r="K160" s="129">
        <f t="shared" si="48"/>
        <v>1.58</v>
      </c>
      <c r="L160" s="129">
        <f t="shared" si="48"/>
        <v>1.58</v>
      </c>
      <c r="M160" s="129">
        <f t="shared" si="48"/>
        <v>1.58</v>
      </c>
      <c r="N160" s="129">
        <f t="shared" si="48"/>
        <v>1.58</v>
      </c>
      <c r="O160" s="129">
        <f t="shared" si="48"/>
        <v>1.58</v>
      </c>
      <c r="P160" s="129">
        <f t="shared" si="48"/>
        <v>1.58</v>
      </c>
      <c r="Q160" s="129">
        <f t="shared" si="48"/>
        <v>1.58</v>
      </c>
      <c r="R160" s="129">
        <f t="shared" si="48"/>
        <v>1.58</v>
      </c>
      <c r="S160" s="129">
        <f t="shared" si="48"/>
        <v>1.58</v>
      </c>
      <c r="T160" s="129">
        <f t="shared" si="49"/>
        <v>1.58</v>
      </c>
      <c r="U160" s="129">
        <f t="shared" si="49"/>
        <v>1.58</v>
      </c>
      <c r="V160" s="129">
        <f t="shared" si="49"/>
        <v>1.58</v>
      </c>
      <c r="W160" s="129">
        <f t="shared" si="49"/>
        <v>1.58</v>
      </c>
      <c r="X160" s="129">
        <f t="shared" si="49"/>
        <v>1.58</v>
      </c>
      <c r="Y160" s="129">
        <f t="shared" si="49"/>
        <v>1.58</v>
      </c>
      <c r="Z160" s="129">
        <f t="shared" si="49"/>
        <v>1.58</v>
      </c>
      <c r="AA160" s="129">
        <f t="shared" si="49"/>
        <v>1.58</v>
      </c>
      <c r="AB160" s="129">
        <f t="shared" si="49"/>
        <v>1.58</v>
      </c>
      <c r="AC160" s="129">
        <f t="shared" si="49"/>
        <v>1.58</v>
      </c>
      <c r="AD160" s="129">
        <f t="shared" si="49"/>
        <v>1.58</v>
      </c>
      <c r="AE160" s="129">
        <f t="shared" si="49"/>
        <v>1.58</v>
      </c>
      <c r="AF160" s="129">
        <f t="shared" si="49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7"/>
        <v>2</v>
      </c>
      <c r="C161" s="130">
        <v>2</v>
      </c>
      <c r="D161" s="129">
        <f t="shared" si="48"/>
        <v>2</v>
      </c>
      <c r="E161" s="129">
        <f t="shared" si="48"/>
        <v>2</v>
      </c>
      <c r="F161" s="129">
        <f t="shared" si="48"/>
        <v>2</v>
      </c>
      <c r="G161" s="129">
        <f t="shared" si="48"/>
        <v>2</v>
      </c>
      <c r="H161" s="129">
        <f t="shared" si="48"/>
        <v>2</v>
      </c>
      <c r="I161" s="129">
        <f t="shared" si="48"/>
        <v>2</v>
      </c>
      <c r="J161" s="129">
        <f t="shared" si="48"/>
        <v>2</v>
      </c>
      <c r="K161" s="129">
        <f t="shared" si="48"/>
        <v>2</v>
      </c>
      <c r="L161" s="129">
        <f t="shared" si="48"/>
        <v>2</v>
      </c>
      <c r="M161" s="129">
        <f t="shared" si="48"/>
        <v>2</v>
      </c>
      <c r="N161" s="129">
        <f t="shared" si="48"/>
        <v>2</v>
      </c>
      <c r="O161" s="129">
        <f t="shared" si="48"/>
        <v>2</v>
      </c>
      <c r="P161" s="129">
        <f t="shared" si="48"/>
        <v>2</v>
      </c>
      <c r="Q161" s="129">
        <f t="shared" si="48"/>
        <v>2</v>
      </c>
      <c r="R161" s="129">
        <f t="shared" si="48"/>
        <v>2</v>
      </c>
      <c r="S161" s="129">
        <f t="shared" si="48"/>
        <v>2</v>
      </c>
      <c r="T161" s="129">
        <f t="shared" si="49"/>
        <v>2</v>
      </c>
      <c r="U161" s="129">
        <f t="shared" si="49"/>
        <v>2</v>
      </c>
      <c r="V161" s="129">
        <f t="shared" si="49"/>
        <v>2</v>
      </c>
      <c r="W161" s="129">
        <f t="shared" si="49"/>
        <v>2</v>
      </c>
      <c r="X161" s="129">
        <f t="shared" si="49"/>
        <v>2</v>
      </c>
      <c r="Y161" s="129">
        <f t="shared" si="49"/>
        <v>2</v>
      </c>
      <c r="Z161" s="129">
        <f t="shared" si="49"/>
        <v>2</v>
      </c>
      <c r="AA161" s="129">
        <f t="shared" si="49"/>
        <v>2</v>
      </c>
      <c r="AB161" s="129">
        <f t="shared" si="49"/>
        <v>2</v>
      </c>
      <c r="AC161" s="129">
        <f t="shared" si="49"/>
        <v>2</v>
      </c>
      <c r="AD161" s="129">
        <f t="shared" si="49"/>
        <v>2</v>
      </c>
      <c r="AE161" s="129">
        <f t="shared" si="49"/>
        <v>2</v>
      </c>
      <c r="AF161" s="129">
        <f t="shared" si="49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7"/>
        <v>0.47</v>
      </c>
      <c r="C162" s="130">
        <v>0.47</v>
      </c>
      <c r="D162" s="129">
        <f t="shared" si="48"/>
        <v>0.47</v>
      </c>
      <c r="E162" s="129">
        <f t="shared" si="48"/>
        <v>0.47</v>
      </c>
      <c r="F162" s="129">
        <f t="shared" si="48"/>
        <v>0.47</v>
      </c>
      <c r="G162" s="129">
        <f t="shared" si="48"/>
        <v>0.47</v>
      </c>
      <c r="H162" s="129">
        <f t="shared" si="48"/>
        <v>0.47</v>
      </c>
      <c r="I162" s="129">
        <f t="shared" si="48"/>
        <v>0.47</v>
      </c>
      <c r="J162" s="129">
        <f t="shared" si="48"/>
        <v>0.47</v>
      </c>
      <c r="K162" s="129">
        <f t="shared" si="48"/>
        <v>0.47</v>
      </c>
      <c r="L162" s="129">
        <f t="shared" si="48"/>
        <v>0.47</v>
      </c>
      <c r="M162" s="129">
        <f t="shared" si="48"/>
        <v>0.47</v>
      </c>
      <c r="N162" s="129">
        <f t="shared" si="48"/>
        <v>0.47</v>
      </c>
      <c r="O162" s="129">
        <f t="shared" si="48"/>
        <v>0.47</v>
      </c>
      <c r="P162" s="129">
        <f t="shared" si="48"/>
        <v>0.47</v>
      </c>
      <c r="Q162" s="129">
        <f t="shared" si="48"/>
        <v>0.47</v>
      </c>
      <c r="R162" s="129">
        <f t="shared" si="48"/>
        <v>0.47</v>
      </c>
      <c r="S162" s="129">
        <f t="shared" si="48"/>
        <v>0.47</v>
      </c>
      <c r="T162" s="129">
        <f t="shared" si="49"/>
        <v>0.47</v>
      </c>
      <c r="U162" s="129">
        <f t="shared" si="49"/>
        <v>0.47</v>
      </c>
      <c r="V162" s="129">
        <f t="shared" si="49"/>
        <v>0.47</v>
      </c>
      <c r="W162" s="129">
        <f t="shared" si="49"/>
        <v>0.47</v>
      </c>
      <c r="X162" s="129">
        <f t="shared" si="49"/>
        <v>0.47</v>
      </c>
      <c r="Y162" s="129">
        <f t="shared" si="49"/>
        <v>0.47</v>
      </c>
      <c r="Z162" s="129">
        <f t="shared" si="49"/>
        <v>0.47</v>
      </c>
      <c r="AA162" s="129">
        <f t="shared" si="49"/>
        <v>0.47</v>
      </c>
      <c r="AB162" s="129">
        <f t="shared" si="49"/>
        <v>0.47</v>
      </c>
      <c r="AC162" s="129">
        <f t="shared" si="49"/>
        <v>0.47</v>
      </c>
      <c r="AD162" s="129">
        <f t="shared" si="49"/>
        <v>0.47</v>
      </c>
      <c r="AE162" s="129">
        <f t="shared" si="49"/>
        <v>0.47</v>
      </c>
      <c r="AF162" s="129">
        <f t="shared" si="49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7"/>
        <v>0</v>
      </c>
      <c r="C163" s="130">
        <v>0</v>
      </c>
      <c r="D163" s="129">
        <f t="shared" si="48"/>
        <v>0</v>
      </c>
      <c r="E163" s="129">
        <f t="shared" si="48"/>
        <v>0</v>
      </c>
      <c r="F163" s="129">
        <f t="shared" si="48"/>
        <v>0</v>
      </c>
      <c r="G163" s="129">
        <f t="shared" si="48"/>
        <v>0</v>
      </c>
      <c r="H163" s="129">
        <f t="shared" si="48"/>
        <v>0</v>
      </c>
      <c r="I163" s="129">
        <f t="shared" si="48"/>
        <v>0</v>
      </c>
      <c r="J163" s="129">
        <f t="shared" si="48"/>
        <v>0</v>
      </c>
      <c r="K163" s="129">
        <f t="shared" si="48"/>
        <v>0</v>
      </c>
      <c r="L163" s="129">
        <f t="shared" si="48"/>
        <v>0</v>
      </c>
      <c r="M163" s="129">
        <f t="shared" si="48"/>
        <v>0</v>
      </c>
      <c r="N163" s="129">
        <f t="shared" si="48"/>
        <v>0</v>
      </c>
      <c r="O163" s="129">
        <f t="shared" si="48"/>
        <v>0</v>
      </c>
      <c r="P163" s="129">
        <f t="shared" si="48"/>
        <v>0</v>
      </c>
      <c r="Q163" s="129">
        <f t="shared" si="48"/>
        <v>0</v>
      </c>
      <c r="R163" s="129">
        <f t="shared" si="48"/>
        <v>0</v>
      </c>
      <c r="S163" s="129">
        <f t="shared" si="48"/>
        <v>0</v>
      </c>
      <c r="T163" s="129">
        <f t="shared" si="49"/>
        <v>0</v>
      </c>
      <c r="U163" s="129">
        <f t="shared" si="49"/>
        <v>0</v>
      </c>
      <c r="V163" s="129">
        <f t="shared" si="49"/>
        <v>0</v>
      </c>
      <c r="W163" s="129">
        <f t="shared" si="49"/>
        <v>0</v>
      </c>
      <c r="X163" s="129">
        <f t="shared" si="49"/>
        <v>0</v>
      </c>
      <c r="Y163" s="129">
        <f t="shared" si="49"/>
        <v>0</v>
      </c>
      <c r="Z163" s="129">
        <f t="shared" si="49"/>
        <v>0</v>
      </c>
      <c r="AA163" s="129">
        <f t="shared" si="49"/>
        <v>0</v>
      </c>
      <c r="AB163" s="129">
        <f t="shared" si="49"/>
        <v>0</v>
      </c>
      <c r="AC163" s="129">
        <f t="shared" si="49"/>
        <v>0</v>
      </c>
      <c r="AD163" s="129">
        <f t="shared" si="49"/>
        <v>0</v>
      </c>
      <c r="AE163" s="129">
        <f t="shared" si="49"/>
        <v>0</v>
      </c>
      <c r="AF163" s="129">
        <f t="shared" si="49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7"/>
        <v>0</v>
      </c>
      <c r="C164" s="130">
        <v>0</v>
      </c>
      <c r="D164" s="129">
        <f t="shared" si="48"/>
        <v>0</v>
      </c>
      <c r="E164" s="129">
        <f t="shared" si="48"/>
        <v>0</v>
      </c>
      <c r="F164" s="129">
        <f t="shared" si="48"/>
        <v>0</v>
      </c>
      <c r="G164" s="129">
        <f t="shared" si="48"/>
        <v>0</v>
      </c>
      <c r="H164" s="129">
        <f t="shared" si="48"/>
        <v>0</v>
      </c>
      <c r="I164" s="129">
        <f t="shared" si="48"/>
        <v>0</v>
      </c>
      <c r="J164" s="129">
        <f t="shared" si="48"/>
        <v>0</v>
      </c>
      <c r="K164" s="129">
        <f t="shared" si="48"/>
        <v>0</v>
      </c>
      <c r="L164" s="129">
        <f t="shared" si="48"/>
        <v>0</v>
      </c>
      <c r="M164" s="129">
        <f t="shared" si="48"/>
        <v>0</v>
      </c>
      <c r="N164" s="129">
        <f t="shared" si="48"/>
        <v>0</v>
      </c>
      <c r="O164" s="129">
        <f t="shared" si="48"/>
        <v>0</v>
      </c>
      <c r="P164" s="129">
        <f t="shared" si="48"/>
        <v>0</v>
      </c>
      <c r="Q164" s="129">
        <f t="shared" si="48"/>
        <v>0</v>
      </c>
      <c r="R164" s="129">
        <f t="shared" si="48"/>
        <v>0</v>
      </c>
      <c r="S164" s="129">
        <f t="shared" si="49"/>
        <v>0</v>
      </c>
      <c r="T164" s="129">
        <f t="shared" si="49"/>
        <v>0</v>
      </c>
      <c r="U164" s="129">
        <f t="shared" si="49"/>
        <v>0</v>
      </c>
      <c r="V164" s="129">
        <f t="shared" si="49"/>
        <v>0</v>
      </c>
      <c r="W164" s="129">
        <f t="shared" si="49"/>
        <v>0</v>
      </c>
      <c r="X164" s="129">
        <f t="shared" si="49"/>
        <v>0</v>
      </c>
      <c r="Y164" s="129">
        <f t="shared" si="49"/>
        <v>0</v>
      </c>
      <c r="Z164" s="129">
        <f t="shared" si="49"/>
        <v>0</v>
      </c>
      <c r="AA164" s="129">
        <f t="shared" si="49"/>
        <v>0</v>
      </c>
      <c r="AB164" s="129">
        <f t="shared" si="49"/>
        <v>0</v>
      </c>
      <c r="AC164" s="129">
        <f t="shared" si="49"/>
        <v>0</v>
      </c>
      <c r="AD164" s="129">
        <f t="shared" si="49"/>
        <v>0</v>
      </c>
      <c r="AE164" s="129">
        <f t="shared" si="49"/>
        <v>0</v>
      </c>
      <c r="AF164" s="129">
        <f t="shared" si="49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7"/>
        <v>0.8</v>
      </c>
      <c r="C165" s="130">
        <v>0.8</v>
      </c>
      <c r="D165" s="129">
        <f t="shared" si="48"/>
        <v>0.8</v>
      </c>
      <c r="E165" s="129">
        <f t="shared" si="48"/>
        <v>0.8</v>
      </c>
      <c r="F165" s="129">
        <f t="shared" si="48"/>
        <v>0.8</v>
      </c>
      <c r="G165" s="129">
        <f t="shared" si="48"/>
        <v>0.8</v>
      </c>
      <c r="H165" s="129">
        <f t="shared" si="48"/>
        <v>0.8</v>
      </c>
      <c r="I165" s="129">
        <f t="shared" si="48"/>
        <v>0.8</v>
      </c>
      <c r="J165" s="129">
        <f t="shared" si="48"/>
        <v>0.8</v>
      </c>
      <c r="K165" s="129">
        <f t="shared" si="48"/>
        <v>0.8</v>
      </c>
      <c r="L165" s="129">
        <f t="shared" si="48"/>
        <v>0.8</v>
      </c>
      <c r="M165" s="129">
        <f t="shared" si="48"/>
        <v>0.8</v>
      </c>
      <c r="N165" s="129">
        <f t="shared" si="48"/>
        <v>0.8</v>
      </c>
      <c r="O165" s="129">
        <f t="shared" si="48"/>
        <v>0.8</v>
      </c>
      <c r="P165" s="129">
        <f t="shared" si="48"/>
        <v>0.8</v>
      </c>
      <c r="Q165" s="129">
        <f t="shared" si="48"/>
        <v>0.8</v>
      </c>
      <c r="R165" s="129">
        <f t="shared" si="48"/>
        <v>0.8</v>
      </c>
      <c r="S165" s="129">
        <f t="shared" si="49"/>
        <v>0.8</v>
      </c>
      <c r="T165" s="129">
        <f t="shared" si="49"/>
        <v>0.8</v>
      </c>
      <c r="U165" s="129">
        <f t="shared" si="49"/>
        <v>0.8</v>
      </c>
      <c r="V165" s="129">
        <f t="shared" si="49"/>
        <v>0.8</v>
      </c>
      <c r="W165" s="129">
        <f t="shared" si="49"/>
        <v>0.8</v>
      </c>
      <c r="X165" s="129">
        <f t="shared" si="49"/>
        <v>0.8</v>
      </c>
      <c r="Y165" s="129">
        <f t="shared" si="49"/>
        <v>0.8</v>
      </c>
      <c r="Z165" s="129">
        <f t="shared" si="49"/>
        <v>0.8</v>
      </c>
      <c r="AA165" s="129">
        <f t="shared" si="49"/>
        <v>0.8</v>
      </c>
      <c r="AB165" s="129">
        <f t="shared" si="49"/>
        <v>0.8</v>
      </c>
      <c r="AC165" s="129">
        <f t="shared" si="49"/>
        <v>0.8</v>
      </c>
      <c r="AD165" s="129">
        <f t="shared" si="49"/>
        <v>0.8</v>
      </c>
      <c r="AE165" s="129">
        <f t="shared" si="49"/>
        <v>0.8</v>
      </c>
      <c r="AF165" s="129">
        <f t="shared" si="49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7"/>
        <v>1.5</v>
      </c>
      <c r="C166" s="130">
        <v>1.5</v>
      </c>
      <c r="D166" s="129">
        <f t="shared" si="48"/>
        <v>1.5</v>
      </c>
      <c r="E166" s="129">
        <f t="shared" si="48"/>
        <v>1.5</v>
      </c>
      <c r="F166" s="129">
        <f t="shared" si="48"/>
        <v>1.5</v>
      </c>
      <c r="G166" s="129">
        <f t="shared" si="48"/>
        <v>1.5</v>
      </c>
      <c r="H166" s="129">
        <f t="shared" si="48"/>
        <v>1.5</v>
      </c>
      <c r="I166" s="129">
        <f t="shared" si="48"/>
        <v>1.5</v>
      </c>
      <c r="J166" s="129">
        <f t="shared" si="48"/>
        <v>1.5</v>
      </c>
      <c r="K166" s="129">
        <f t="shared" si="48"/>
        <v>1.5</v>
      </c>
      <c r="L166" s="129">
        <f t="shared" si="48"/>
        <v>1.5</v>
      </c>
      <c r="M166" s="129">
        <f t="shared" si="48"/>
        <v>1.5</v>
      </c>
      <c r="N166" s="129">
        <f t="shared" si="48"/>
        <v>1.5</v>
      </c>
      <c r="O166" s="129">
        <f t="shared" si="48"/>
        <v>1.5</v>
      </c>
      <c r="P166" s="129">
        <f t="shared" si="48"/>
        <v>1.5</v>
      </c>
      <c r="Q166" s="129">
        <f t="shared" si="48"/>
        <v>1.5</v>
      </c>
      <c r="R166" s="129">
        <f t="shared" si="48"/>
        <v>1.5</v>
      </c>
      <c r="S166" s="129">
        <f t="shared" si="49"/>
        <v>1.5</v>
      </c>
      <c r="T166" s="129">
        <f t="shared" si="49"/>
        <v>1.5</v>
      </c>
      <c r="U166" s="129">
        <f t="shared" si="49"/>
        <v>1.5</v>
      </c>
      <c r="V166" s="129">
        <f t="shared" si="49"/>
        <v>1.5</v>
      </c>
      <c r="W166" s="129">
        <f t="shared" si="49"/>
        <v>1.5</v>
      </c>
      <c r="X166" s="129">
        <f t="shared" si="49"/>
        <v>1.5</v>
      </c>
      <c r="Y166" s="129">
        <f t="shared" si="49"/>
        <v>1.5</v>
      </c>
      <c r="Z166" s="129">
        <f t="shared" si="49"/>
        <v>1.5</v>
      </c>
      <c r="AA166" s="129">
        <f t="shared" si="49"/>
        <v>1.5</v>
      </c>
      <c r="AB166" s="129">
        <f t="shared" si="49"/>
        <v>1.5</v>
      </c>
      <c r="AC166" s="129">
        <f t="shared" si="49"/>
        <v>1.5</v>
      </c>
      <c r="AD166" s="129">
        <f t="shared" si="49"/>
        <v>1.5</v>
      </c>
      <c r="AE166" s="129">
        <f t="shared" si="49"/>
        <v>1.5</v>
      </c>
      <c r="AF166" s="129">
        <f t="shared" si="49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7"/>
        <v>1</v>
      </c>
      <c r="C167" s="130">
        <v>1</v>
      </c>
      <c r="D167" s="129">
        <f t="shared" si="48"/>
        <v>1</v>
      </c>
      <c r="E167" s="129">
        <f t="shared" si="48"/>
        <v>1</v>
      </c>
      <c r="F167" s="129">
        <f t="shared" si="48"/>
        <v>1</v>
      </c>
      <c r="G167" s="129">
        <f t="shared" si="48"/>
        <v>1</v>
      </c>
      <c r="H167" s="129">
        <f t="shared" si="48"/>
        <v>1</v>
      </c>
      <c r="I167" s="129">
        <f t="shared" si="48"/>
        <v>1</v>
      </c>
      <c r="J167" s="129">
        <f t="shared" si="48"/>
        <v>1</v>
      </c>
      <c r="K167" s="129">
        <f t="shared" si="48"/>
        <v>1</v>
      </c>
      <c r="L167" s="129">
        <f t="shared" si="48"/>
        <v>1</v>
      </c>
      <c r="M167" s="129">
        <f t="shared" si="48"/>
        <v>1</v>
      </c>
      <c r="N167" s="129">
        <f t="shared" si="48"/>
        <v>1</v>
      </c>
      <c r="O167" s="129">
        <f t="shared" si="48"/>
        <v>1</v>
      </c>
      <c r="P167" s="129">
        <f t="shared" si="48"/>
        <v>1</v>
      </c>
      <c r="Q167" s="129">
        <f t="shared" si="48"/>
        <v>1</v>
      </c>
      <c r="R167" s="129">
        <f t="shared" si="48"/>
        <v>1</v>
      </c>
      <c r="S167" s="129">
        <f t="shared" si="49"/>
        <v>1</v>
      </c>
      <c r="T167" s="129">
        <f t="shared" si="49"/>
        <v>1</v>
      </c>
      <c r="U167" s="129">
        <f t="shared" si="49"/>
        <v>1</v>
      </c>
      <c r="V167" s="129">
        <f t="shared" si="49"/>
        <v>1</v>
      </c>
      <c r="W167" s="129">
        <f t="shared" si="49"/>
        <v>1</v>
      </c>
      <c r="X167" s="129">
        <f t="shared" si="49"/>
        <v>1</v>
      </c>
      <c r="Y167" s="129">
        <f t="shared" si="49"/>
        <v>1</v>
      </c>
      <c r="Z167" s="129">
        <f t="shared" si="49"/>
        <v>1</v>
      </c>
      <c r="AA167" s="129">
        <f t="shared" si="49"/>
        <v>1</v>
      </c>
      <c r="AB167" s="129">
        <f t="shared" si="49"/>
        <v>1</v>
      </c>
      <c r="AC167" s="129">
        <f t="shared" si="49"/>
        <v>1</v>
      </c>
      <c r="AD167" s="129">
        <f t="shared" si="49"/>
        <v>1</v>
      </c>
      <c r="AE167" s="129">
        <f t="shared" si="49"/>
        <v>1</v>
      </c>
      <c r="AF167" s="129">
        <f t="shared" si="49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50">AF169</f>
        <v>1</v>
      </c>
      <c r="C169" s="130">
        <v>1</v>
      </c>
      <c r="D169" s="129">
        <f t="shared" ref="D169:S176" si="51">C169</f>
        <v>1</v>
      </c>
      <c r="E169" s="129">
        <f t="shared" si="51"/>
        <v>1</v>
      </c>
      <c r="F169" s="129">
        <f t="shared" si="51"/>
        <v>1</v>
      </c>
      <c r="G169" s="129">
        <f t="shared" si="51"/>
        <v>1</v>
      </c>
      <c r="H169" s="129">
        <f t="shared" si="51"/>
        <v>1</v>
      </c>
      <c r="I169" s="129">
        <f t="shared" si="51"/>
        <v>1</v>
      </c>
      <c r="J169" s="129">
        <f t="shared" si="51"/>
        <v>1</v>
      </c>
      <c r="K169" s="129">
        <f t="shared" si="51"/>
        <v>1</v>
      </c>
      <c r="L169" s="129">
        <f t="shared" si="51"/>
        <v>1</v>
      </c>
      <c r="M169" s="129">
        <f t="shared" si="51"/>
        <v>1</v>
      </c>
      <c r="N169" s="129">
        <f t="shared" si="51"/>
        <v>1</v>
      </c>
      <c r="O169" s="129">
        <f t="shared" si="51"/>
        <v>1</v>
      </c>
      <c r="P169" s="129">
        <f t="shared" si="51"/>
        <v>1</v>
      </c>
      <c r="Q169" s="129">
        <f t="shared" si="51"/>
        <v>1</v>
      </c>
      <c r="R169" s="129">
        <f t="shared" si="51"/>
        <v>1</v>
      </c>
      <c r="S169" s="129">
        <f t="shared" si="51"/>
        <v>1</v>
      </c>
      <c r="T169" s="129">
        <f t="shared" ref="S169:AF176" si="52">S169</f>
        <v>1</v>
      </c>
      <c r="U169" s="129">
        <f t="shared" si="52"/>
        <v>1</v>
      </c>
      <c r="V169" s="129">
        <f t="shared" si="52"/>
        <v>1</v>
      </c>
      <c r="W169" s="129">
        <f t="shared" si="52"/>
        <v>1</v>
      </c>
      <c r="X169" s="129">
        <f t="shared" si="52"/>
        <v>1</v>
      </c>
      <c r="Y169" s="129">
        <f t="shared" si="52"/>
        <v>1</v>
      </c>
      <c r="Z169" s="129">
        <f t="shared" si="52"/>
        <v>1</v>
      </c>
      <c r="AA169" s="129">
        <f t="shared" si="52"/>
        <v>1</v>
      </c>
      <c r="AB169" s="129">
        <f t="shared" si="52"/>
        <v>1</v>
      </c>
      <c r="AC169" s="129">
        <f t="shared" si="52"/>
        <v>1</v>
      </c>
      <c r="AD169" s="129">
        <f t="shared" si="52"/>
        <v>1</v>
      </c>
      <c r="AE169" s="129">
        <f t="shared" si="52"/>
        <v>1</v>
      </c>
      <c r="AF169" s="129">
        <f t="shared" si="52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50"/>
        <v>0.42</v>
      </c>
      <c r="C170" s="130">
        <v>0.42</v>
      </c>
      <c r="D170" s="129">
        <f t="shared" si="51"/>
        <v>0.42</v>
      </c>
      <c r="E170" s="129">
        <f t="shared" si="51"/>
        <v>0.42</v>
      </c>
      <c r="F170" s="129">
        <f t="shared" si="51"/>
        <v>0.42</v>
      </c>
      <c r="G170" s="129">
        <f t="shared" si="51"/>
        <v>0.42</v>
      </c>
      <c r="H170" s="129">
        <f t="shared" si="51"/>
        <v>0.42</v>
      </c>
      <c r="I170" s="129">
        <f t="shared" si="51"/>
        <v>0.42</v>
      </c>
      <c r="J170" s="129">
        <f t="shared" si="51"/>
        <v>0.42</v>
      </c>
      <c r="K170" s="129">
        <f t="shared" si="51"/>
        <v>0.42</v>
      </c>
      <c r="L170" s="129">
        <f t="shared" si="51"/>
        <v>0.42</v>
      </c>
      <c r="M170" s="129">
        <f t="shared" si="51"/>
        <v>0.42</v>
      </c>
      <c r="N170" s="129">
        <f t="shared" si="51"/>
        <v>0.42</v>
      </c>
      <c r="O170" s="129">
        <f t="shared" si="51"/>
        <v>0.42</v>
      </c>
      <c r="P170" s="129">
        <f t="shared" si="51"/>
        <v>0.42</v>
      </c>
      <c r="Q170" s="129">
        <f t="shared" si="51"/>
        <v>0.42</v>
      </c>
      <c r="R170" s="129">
        <f t="shared" si="51"/>
        <v>0.42</v>
      </c>
      <c r="S170" s="129">
        <f t="shared" si="52"/>
        <v>0.42</v>
      </c>
      <c r="T170" s="129">
        <f t="shared" si="52"/>
        <v>0.42</v>
      </c>
      <c r="U170" s="129">
        <f t="shared" si="52"/>
        <v>0.42</v>
      </c>
      <c r="V170" s="129">
        <f t="shared" si="52"/>
        <v>0.42</v>
      </c>
      <c r="W170" s="129">
        <f t="shared" si="52"/>
        <v>0.42</v>
      </c>
      <c r="X170" s="129">
        <f t="shared" si="52"/>
        <v>0.42</v>
      </c>
      <c r="Y170" s="129">
        <f t="shared" si="52"/>
        <v>0.42</v>
      </c>
      <c r="Z170" s="129">
        <f t="shared" si="52"/>
        <v>0.42</v>
      </c>
      <c r="AA170" s="129">
        <f t="shared" si="52"/>
        <v>0.42</v>
      </c>
      <c r="AB170" s="129">
        <f t="shared" si="52"/>
        <v>0.42</v>
      </c>
      <c r="AC170" s="129">
        <f t="shared" si="52"/>
        <v>0.42</v>
      </c>
      <c r="AD170" s="129">
        <f t="shared" si="52"/>
        <v>0.42</v>
      </c>
      <c r="AE170" s="129">
        <f t="shared" si="52"/>
        <v>0.42</v>
      </c>
      <c r="AF170" s="129">
        <f t="shared" si="52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50"/>
        <v>0.46</v>
      </c>
      <c r="C171" s="130">
        <v>0.46</v>
      </c>
      <c r="D171" s="129">
        <f t="shared" si="51"/>
        <v>0.46</v>
      </c>
      <c r="E171" s="129">
        <f t="shared" si="51"/>
        <v>0.46</v>
      </c>
      <c r="F171" s="129">
        <f t="shared" si="51"/>
        <v>0.46</v>
      </c>
      <c r="G171" s="129">
        <f t="shared" si="51"/>
        <v>0.46</v>
      </c>
      <c r="H171" s="129">
        <f t="shared" si="51"/>
        <v>0.46</v>
      </c>
      <c r="I171" s="129">
        <f t="shared" si="51"/>
        <v>0.46</v>
      </c>
      <c r="J171" s="129">
        <f t="shared" si="51"/>
        <v>0.46</v>
      </c>
      <c r="K171" s="129">
        <f t="shared" si="51"/>
        <v>0.46</v>
      </c>
      <c r="L171" s="129">
        <f t="shared" si="51"/>
        <v>0.46</v>
      </c>
      <c r="M171" s="129">
        <f t="shared" si="51"/>
        <v>0.46</v>
      </c>
      <c r="N171" s="129">
        <f t="shared" si="51"/>
        <v>0.46</v>
      </c>
      <c r="O171" s="129">
        <f t="shared" si="51"/>
        <v>0.46</v>
      </c>
      <c r="P171" s="129">
        <f t="shared" si="51"/>
        <v>0.46</v>
      </c>
      <c r="Q171" s="129">
        <f t="shared" si="51"/>
        <v>0.46</v>
      </c>
      <c r="R171" s="129">
        <f t="shared" si="51"/>
        <v>0.46</v>
      </c>
      <c r="S171" s="129">
        <f t="shared" si="52"/>
        <v>0.46</v>
      </c>
      <c r="T171" s="129">
        <f t="shared" si="52"/>
        <v>0.46</v>
      </c>
      <c r="U171" s="129">
        <f t="shared" si="52"/>
        <v>0.46</v>
      </c>
      <c r="V171" s="129">
        <f t="shared" si="52"/>
        <v>0.46</v>
      </c>
      <c r="W171" s="129">
        <f t="shared" si="52"/>
        <v>0.46</v>
      </c>
      <c r="X171" s="129">
        <f t="shared" si="52"/>
        <v>0.46</v>
      </c>
      <c r="Y171" s="129">
        <f t="shared" si="52"/>
        <v>0.46</v>
      </c>
      <c r="Z171" s="129">
        <f t="shared" si="52"/>
        <v>0.46</v>
      </c>
      <c r="AA171" s="129">
        <f t="shared" si="52"/>
        <v>0.46</v>
      </c>
      <c r="AB171" s="129">
        <f t="shared" si="52"/>
        <v>0.46</v>
      </c>
      <c r="AC171" s="129">
        <f t="shared" si="52"/>
        <v>0.46</v>
      </c>
      <c r="AD171" s="129">
        <f t="shared" si="52"/>
        <v>0.46</v>
      </c>
      <c r="AE171" s="129">
        <f t="shared" si="52"/>
        <v>0.46</v>
      </c>
      <c r="AF171" s="129">
        <f t="shared" si="52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50"/>
        <v>0.85</v>
      </c>
      <c r="C172" s="130">
        <v>0.85</v>
      </c>
      <c r="D172" s="129">
        <f t="shared" si="51"/>
        <v>0.85</v>
      </c>
      <c r="E172" s="129">
        <f t="shared" si="51"/>
        <v>0.85</v>
      </c>
      <c r="F172" s="129">
        <f t="shared" si="51"/>
        <v>0.85</v>
      </c>
      <c r="G172" s="129">
        <f t="shared" si="51"/>
        <v>0.85</v>
      </c>
      <c r="H172" s="129">
        <f t="shared" si="51"/>
        <v>0.85</v>
      </c>
      <c r="I172" s="129">
        <f t="shared" si="51"/>
        <v>0.85</v>
      </c>
      <c r="J172" s="129">
        <f t="shared" si="51"/>
        <v>0.85</v>
      </c>
      <c r="K172" s="129">
        <f t="shared" si="51"/>
        <v>0.85</v>
      </c>
      <c r="L172" s="129">
        <f t="shared" si="51"/>
        <v>0.85</v>
      </c>
      <c r="M172" s="129">
        <f t="shared" si="51"/>
        <v>0.85</v>
      </c>
      <c r="N172" s="129">
        <f t="shared" si="51"/>
        <v>0.85</v>
      </c>
      <c r="O172" s="129">
        <f t="shared" si="51"/>
        <v>0.85</v>
      </c>
      <c r="P172" s="129">
        <f t="shared" si="51"/>
        <v>0.85</v>
      </c>
      <c r="Q172" s="129">
        <f t="shared" si="51"/>
        <v>0.85</v>
      </c>
      <c r="R172" s="129">
        <f t="shared" si="51"/>
        <v>0.85</v>
      </c>
      <c r="S172" s="129">
        <f t="shared" si="52"/>
        <v>0.85</v>
      </c>
      <c r="T172" s="129">
        <f t="shared" si="52"/>
        <v>0.85</v>
      </c>
      <c r="U172" s="129">
        <f t="shared" si="52"/>
        <v>0.85</v>
      </c>
      <c r="V172" s="129">
        <f t="shared" si="52"/>
        <v>0.85</v>
      </c>
      <c r="W172" s="129">
        <f t="shared" si="52"/>
        <v>0.85</v>
      </c>
      <c r="X172" s="129">
        <f t="shared" si="52"/>
        <v>0.85</v>
      </c>
      <c r="Y172" s="129">
        <f t="shared" si="52"/>
        <v>0.85</v>
      </c>
      <c r="Z172" s="129">
        <f t="shared" si="52"/>
        <v>0.85</v>
      </c>
      <c r="AA172" s="129">
        <f t="shared" si="52"/>
        <v>0.85</v>
      </c>
      <c r="AB172" s="129">
        <f t="shared" si="52"/>
        <v>0.85</v>
      </c>
      <c r="AC172" s="129">
        <f t="shared" si="52"/>
        <v>0.85</v>
      </c>
      <c r="AD172" s="129">
        <f t="shared" si="52"/>
        <v>0.85</v>
      </c>
      <c r="AE172" s="129">
        <f t="shared" si="52"/>
        <v>0.85</v>
      </c>
      <c r="AF172" s="129">
        <f t="shared" si="52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50"/>
        <v>0.9</v>
      </c>
      <c r="C173" s="130">
        <v>0.9</v>
      </c>
      <c r="D173" s="129">
        <f t="shared" si="51"/>
        <v>0.9</v>
      </c>
      <c r="E173" s="129">
        <f t="shared" si="51"/>
        <v>0.9</v>
      </c>
      <c r="F173" s="129">
        <f t="shared" si="51"/>
        <v>0.9</v>
      </c>
      <c r="G173" s="129">
        <f t="shared" si="51"/>
        <v>0.9</v>
      </c>
      <c r="H173" s="129">
        <f t="shared" si="51"/>
        <v>0.9</v>
      </c>
      <c r="I173" s="129">
        <f t="shared" si="51"/>
        <v>0.9</v>
      </c>
      <c r="J173" s="129">
        <f t="shared" si="51"/>
        <v>0.9</v>
      </c>
      <c r="K173" s="129">
        <f t="shared" si="51"/>
        <v>0.9</v>
      </c>
      <c r="L173" s="129">
        <f t="shared" si="51"/>
        <v>0.9</v>
      </c>
      <c r="M173" s="129">
        <f t="shared" si="51"/>
        <v>0.9</v>
      </c>
      <c r="N173" s="129">
        <f t="shared" si="51"/>
        <v>0.9</v>
      </c>
      <c r="O173" s="129">
        <f t="shared" si="51"/>
        <v>0.9</v>
      </c>
      <c r="P173" s="129">
        <f t="shared" si="51"/>
        <v>0.9</v>
      </c>
      <c r="Q173" s="129">
        <f t="shared" si="51"/>
        <v>0.9</v>
      </c>
      <c r="R173" s="129">
        <f t="shared" si="51"/>
        <v>0.9</v>
      </c>
      <c r="S173" s="129">
        <f t="shared" si="52"/>
        <v>0.9</v>
      </c>
      <c r="T173" s="129">
        <f t="shared" si="52"/>
        <v>0.9</v>
      </c>
      <c r="U173" s="129">
        <f t="shared" si="52"/>
        <v>0.9</v>
      </c>
      <c r="V173" s="129">
        <f t="shared" si="52"/>
        <v>0.9</v>
      </c>
      <c r="W173" s="129">
        <f t="shared" si="52"/>
        <v>0.9</v>
      </c>
      <c r="X173" s="129">
        <f t="shared" si="52"/>
        <v>0.9</v>
      </c>
      <c r="Y173" s="129">
        <f t="shared" si="52"/>
        <v>0.9</v>
      </c>
      <c r="Z173" s="129">
        <f t="shared" si="52"/>
        <v>0.9</v>
      </c>
      <c r="AA173" s="129">
        <f t="shared" si="52"/>
        <v>0.9</v>
      </c>
      <c r="AB173" s="129">
        <f t="shared" si="52"/>
        <v>0.9</v>
      </c>
      <c r="AC173" s="129">
        <f t="shared" si="52"/>
        <v>0.9</v>
      </c>
      <c r="AD173" s="129">
        <f t="shared" si="52"/>
        <v>0.9</v>
      </c>
      <c r="AE173" s="129">
        <f t="shared" si="52"/>
        <v>0.9</v>
      </c>
      <c r="AF173" s="129">
        <f t="shared" si="52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50"/>
        <v>0.44</v>
      </c>
      <c r="C174" s="130">
        <v>0.44</v>
      </c>
      <c r="D174" s="129">
        <f t="shared" si="51"/>
        <v>0.44</v>
      </c>
      <c r="E174" s="129">
        <f t="shared" si="51"/>
        <v>0.44</v>
      </c>
      <c r="F174" s="129">
        <f t="shared" si="51"/>
        <v>0.44</v>
      </c>
      <c r="G174" s="129">
        <f t="shared" si="51"/>
        <v>0.44</v>
      </c>
      <c r="H174" s="129">
        <f t="shared" si="51"/>
        <v>0.44</v>
      </c>
      <c r="I174" s="129">
        <f t="shared" si="51"/>
        <v>0.44</v>
      </c>
      <c r="J174" s="129">
        <f t="shared" si="51"/>
        <v>0.44</v>
      </c>
      <c r="K174" s="129">
        <f t="shared" si="51"/>
        <v>0.44</v>
      </c>
      <c r="L174" s="129">
        <f t="shared" si="51"/>
        <v>0.44</v>
      </c>
      <c r="M174" s="129">
        <f t="shared" si="51"/>
        <v>0.44</v>
      </c>
      <c r="N174" s="129">
        <f t="shared" si="51"/>
        <v>0.44</v>
      </c>
      <c r="O174" s="129">
        <f t="shared" si="51"/>
        <v>0.44</v>
      </c>
      <c r="P174" s="129">
        <f t="shared" si="51"/>
        <v>0.44</v>
      </c>
      <c r="Q174" s="129">
        <f t="shared" si="51"/>
        <v>0.44</v>
      </c>
      <c r="R174" s="129">
        <f t="shared" si="51"/>
        <v>0.44</v>
      </c>
      <c r="S174" s="129">
        <f t="shared" si="52"/>
        <v>0.44</v>
      </c>
      <c r="T174" s="129">
        <f t="shared" si="52"/>
        <v>0.44</v>
      </c>
      <c r="U174" s="129">
        <f t="shared" si="52"/>
        <v>0.44</v>
      </c>
      <c r="V174" s="129">
        <f t="shared" si="52"/>
        <v>0.44</v>
      </c>
      <c r="W174" s="129">
        <f t="shared" si="52"/>
        <v>0.44</v>
      </c>
      <c r="X174" s="129">
        <f t="shared" si="52"/>
        <v>0.44</v>
      </c>
      <c r="Y174" s="129">
        <f t="shared" si="52"/>
        <v>0.44</v>
      </c>
      <c r="Z174" s="129">
        <f t="shared" si="52"/>
        <v>0.44</v>
      </c>
      <c r="AA174" s="129">
        <f t="shared" si="52"/>
        <v>0.44</v>
      </c>
      <c r="AB174" s="129">
        <f t="shared" si="52"/>
        <v>0.44</v>
      </c>
      <c r="AC174" s="129">
        <f t="shared" si="52"/>
        <v>0.44</v>
      </c>
      <c r="AD174" s="129">
        <f t="shared" si="52"/>
        <v>0.44</v>
      </c>
      <c r="AE174" s="129">
        <f t="shared" si="52"/>
        <v>0.44</v>
      </c>
      <c r="AF174" s="129">
        <f t="shared" si="52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50"/>
        <v>2.1</v>
      </c>
      <c r="C175" s="130">
        <v>2.1</v>
      </c>
      <c r="D175" s="129">
        <f t="shared" si="51"/>
        <v>2.1</v>
      </c>
      <c r="E175" s="129">
        <f t="shared" si="51"/>
        <v>2.1</v>
      </c>
      <c r="F175" s="129">
        <f t="shared" si="51"/>
        <v>2.1</v>
      </c>
      <c r="G175" s="129">
        <f t="shared" si="51"/>
        <v>2.1</v>
      </c>
      <c r="H175" s="129">
        <f t="shared" si="51"/>
        <v>2.1</v>
      </c>
      <c r="I175" s="129">
        <f t="shared" si="51"/>
        <v>2.1</v>
      </c>
      <c r="J175" s="129">
        <f t="shared" si="51"/>
        <v>2.1</v>
      </c>
      <c r="K175" s="129">
        <f t="shared" si="51"/>
        <v>2.1</v>
      </c>
      <c r="L175" s="129">
        <f t="shared" si="51"/>
        <v>2.1</v>
      </c>
      <c r="M175" s="129">
        <f t="shared" si="51"/>
        <v>2.1</v>
      </c>
      <c r="N175" s="129">
        <f t="shared" si="51"/>
        <v>2.1</v>
      </c>
      <c r="O175" s="129">
        <f t="shared" si="51"/>
        <v>2.1</v>
      </c>
      <c r="P175" s="129">
        <f t="shared" si="51"/>
        <v>2.1</v>
      </c>
      <c r="Q175" s="129">
        <f t="shared" si="51"/>
        <v>2.1</v>
      </c>
      <c r="R175" s="129">
        <f t="shared" si="51"/>
        <v>2.1</v>
      </c>
      <c r="S175" s="129">
        <f t="shared" si="52"/>
        <v>2.1</v>
      </c>
      <c r="T175" s="129">
        <f t="shared" si="52"/>
        <v>2.1</v>
      </c>
      <c r="U175" s="129">
        <f t="shared" si="52"/>
        <v>2.1</v>
      </c>
      <c r="V175" s="129">
        <f t="shared" si="52"/>
        <v>2.1</v>
      </c>
      <c r="W175" s="129">
        <f t="shared" si="52"/>
        <v>2.1</v>
      </c>
      <c r="X175" s="129">
        <f t="shared" si="52"/>
        <v>2.1</v>
      </c>
      <c r="Y175" s="129">
        <f t="shared" si="52"/>
        <v>2.1</v>
      </c>
      <c r="Z175" s="129">
        <f t="shared" si="52"/>
        <v>2.1</v>
      </c>
      <c r="AA175" s="129">
        <f t="shared" si="52"/>
        <v>2.1</v>
      </c>
      <c r="AB175" s="129">
        <f t="shared" si="52"/>
        <v>2.1</v>
      </c>
      <c r="AC175" s="129">
        <f t="shared" si="52"/>
        <v>2.1</v>
      </c>
      <c r="AD175" s="129">
        <f t="shared" si="52"/>
        <v>2.1</v>
      </c>
      <c r="AE175" s="129">
        <f t="shared" si="52"/>
        <v>2.1</v>
      </c>
      <c r="AF175" s="129">
        <f t="shared" si="52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50"/>
        <v>0.9</v>
      </c>
      <c r="C176" s="130">
        <v>0.9</v>
      </c>
      <c r="D176" s="129">
        <f t="shared" si="51"/>
        <v>0.9</v>
      </c>
      <c r="E176" s="129">
        <f t="shared" si="51"/>
        <v>0.9</v>
      </c>
      <c r="F176" s="129">
        <f t="shared" si="51"/>
        <v>0.9</v>
      </c>
      <c r="G176" s="129">
        <f t="shared" si="51"/>
        <v>0.9</v>
      </c>
      <c r="H176" s="129">
        <f t="shared" si="51"/>
        <v>0.9</v>
      </c>
      <c r="I176" s="129">
        <f t="shared" si="51"/>
        <v>0.9</v>
      </c>
      <c r="J176" s="129">
        <f t="shared" si="51"/>
        <v>0.9</v>
      </c>
      <c r="K176" s="129">
        <f t="shared" si="51"/>
        <v>0.9</v>
      </c>
      <c r="L176" s="129">
        <f t="shared" si="51"/>
        <v>0.9</v>
      </c>
      <c r="M176" s="129">
        <f t="shared" si="51"/>
        <v>0.9</v>
      </c>
      <c r="N176" s="129">
        <f t="shared" si="51"/>
        <v>0.9</v>
      </c>
      <c r="O176" s="129">
        <f t="shared" si="51"/>
        <v>0.9</v>
      </c>
      <c r="P176" s="129">
        <f t="shared" si="51"/>
        <v>0.9</v>
      </c>
      <c r="Q176" s="129">
        <f t="shared" si="51"/>
        <v>0.9</v>
      </c>
      <c r="R176" s="129">
        <f t="shared" si="51"/>
        <v>0.9</v>
      </c>
      <c r="S176" s="129">
        <f t="shared" si="52"/>
        <v>0.9</v>
      </c>
      <c r="T176" s="129">
        <f t="shared" si="52"/>
        <v>0.9</v>
      </c>
      <c r="U176" s="129">
        <f t="shared" si="52"/>
        <v>0.9</v>
      </c>
      <c r="V176" s="129">
        <f t="shared" si="52"/>
        <v>0.9</v>
      </c>
      <c r="W176" s="129">
        <f t="shared" si="52"/>
        <v>0.9</v>
      </c>
      <c r="X176" s="129">
        <f t="shared" si="52"/>
        <v>0.9</v>
      </c>
      <c r="Y176" s="129">
        <f t="shared" si="52"/>
        <v>0.9</v>
      </c>
      <c r="Z176" s="129">
        <f t="shared" si="52"/>
        <v>0.9</v>
      </c>
      <c r="AA176" s="129">
        <f t="shared" si="52"/>
        <v>0.9</v>
      </c>
      <c r="AB176" s="129">
        <f t="shared" si="52"/>
        <v>0.9</v>
      </c>
      <c r="AC176" s="129">
        <f t="shared" si="52"/>
        <v>0.9</v>
      </c>
      <c r="AD176" s="129">
        <f t="shared" si="52"/>
        <v>0.9</v>
      </c>
      <c r="AE176" s="129">
        <f t="shared" si="52"/>
        <v>0.9</v>
      </c>
      <c r="AF176" s="129">
        <f t="shared" si="52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3">AF178</f>
        <v>0.57999999999999996</v>
      </c>
      <c r="C178" s="130">
        <v>0.57999999999999996</v>
      </c>
      <c r="D178" s="129">
        <f t="shared" ref="D178:S190" si="54">C178</f>
        <v>0.57999999999999996</v>
      </c>
      <c r="E178" s="129">
        <f t="shared" si="54"/>
        <v>0.57999999999999996</v>
      </c>
      <c r="F178" s="129">
        <f t="shared" si="54"/>
        <v>0.57999999999999996</v>
      </c>
      <c r="G178" s="129">
        <f t="shared" si="54"/>
        <v>0.57999999999999996</v>
      </c>
      <c r="H178" s="129">
        <f t="shared" si="54"/>
        <v>0.57999999999999996</v>
      </c>
      <c r="I178" s="129">
        <f t="shared" si="54"/>
        <v>0.57999999999999996</v>
      </c>
      <c r="J178" s="129">
        <f t="shared" si="54"/>
        <v>0.57999999999999996</v>
      </c>
      <c r="K178" s="129">
        <f t="shared" si="54"/>
        <v>0.57999999999999996</v>
      </c>
      <c r="L178" s="129">
        <f t="shared" si="54"/>
        <v>0.57999999999999996</v>
      </c>
      <c r="M178" s="129">
        <f t="shared" si="54"/>
        <v>0.57999999999999996</v>
      </c>
      <c r="N178" s="129">
        <f t="shared" si="54"/>
        <v>0.57999999999999996</v>
      </c>
      <c r="O178" s="129">
        <f t="shared" si="54"/>
        <v>0.57999999999999996</v>
      </c>
      <c r="P178" s="129">
        <f t="shared" si="54"/>
        <v>0.57999999999999996</v>
      </c>
      <c r="Q178" s="129">
        <f t="shared" si="54"/>
        <v>0.57999999999999996</v>
      </c>
      <c r="R178" s="129">
        <f t="shared" si="54"/>
        <v>0.57999999999999996</v>
      </c>
      <c r="S178" s="129">
        <f t="shared" si="54"/>
        <v>0.57999999999999996</v>
      </c>
      <c r="T178" s="129">
        <f t="shared" ref="S178:AF190" si="55">S178</f>
        <v>0.57999999999999996</v>
      </c>
      <c r="U178" s="129">
        <f t="shared" si="55"/>
        <v>0.57999999999999996</v>
      </c>
      <c r="V178" s="129">
        <f t="shared" si="55"/>
        <v>0.57999999999999996</v>
      </c>
      <c r="W178" s="129">
        <f t="shared" si="55"/>
        <v>0.57999999999999996</v>
      </c>
      <c r="X178" s="129">
        <f t="shared" si="55"/>
        <v>0.57999999999999996</v>
      </c>
      <c r="Y178" s="129">
        <f t="shared" si="55"/>
        <v>0.57999999999999996</v>
      </c>
      <c r="Z178" s="129">
        <f t="shared" si="55"/>
        <v>0.57999999999999996</v>
      </c>
      <c r="AA178" s="129">
        <f t="shared" si="55"/>
        <v>0.57999999999999996</v>
      </c>
      <c r="AB178" s="129">
        <f t="shared" si="55"/>
        <v>0.57999999999999996</v>
      </c>
      <c r="AC178" s="129">
        <f t="shared" si="55"/>
        <v>0.57999999999999996</v>
      </c>
      <c r="AD178" s="129">
        <f t="shared" si="55"/>
        <v>0.57999999999999996</v>
      </c>
      <c r="AE178" s="129">
        <f t="shared" si="55"/>
        <v>0.57999999999999996</v>
      </c>
      <c r="AF178" s="129">
        <f t="shared" si="55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3"/>
        <v>0.8</v>
      </c>
      <c r="C179" s="130">
        <v>0.8</v>
      </c>
      <c r="D179" s="129">
        <f t="shared" si="54"/>
        <v>0.8</v>
      </c>
      <c r="E179" s="129">
        <f t="shared" si="54"/>
        <v>0.8</v>
      </c>
      <c r="F179" s="129">
        <f t="shared" si="54"/>
        <v>0.8</v>
      </c>
      <c r="G179" s="129">
        <f t="shared" si="54"/>
        <v>0.8</v>
      </c>
      <c r="H179" s="129">
        <f t="shared" si="54"/>
        <v>0.8</v>
      </c>
      <c r="I179" s="129">
        <f t="shared" si="54"/>
        <v>0.8</v>
      </c>
      <c r="J179" s="129">
        <f t="shared" si="54"/>
        <v>0.8</v>
      </c>
      <c r="K179" s="129">
        <f t="shared" si="54"/>
        <v>0.8</v>
      </c>
      <c r="L179" s="129">
        <f t="shared" si="54"/>
        <v>0.8</v>
      </c>
      <c r="M179" s="129">
        <f t="shared" si="54"/>
        <v>0.8</v>
      </c>
      <c r="N179" s="129">
        <f t="shared" si="54"/>
        <v>0.8</v>
      </c>
      <c r="O179" s="129">
        <f t="shared" si="54"/>
        <v>0.8</v>
      </c>
      <c r="P179" s="129">
        <f t="shared" si="54"/>
        <v>0.8</v>
      </c>
      <c r="Q179" s="129">
        <f t="shared" si="54"/>
        <v>0.8</v>
      </c>
      <c r="R179" s="129">
        <f t="shared" si="54"/>
        <v>0.8</v>
      </c>
      <c r="S179" s="129">
        <f t="shared" si="54"/>
        <v>0.8</v>
      </c>
      <c r="T179" s="129">
        <f t="shared" si="55"/>
        <v>0.8</v>
      </c>
      <c r="U179" s="129">
        <f t="shared" si="55"/>
        <v>0.8</v>
      </c>
      <c r="V179" s="129">
        <f t="shared" si="55"/>
        <v>0.8</v>
      </c>
      <c r="W179" s="129">
        <f t="shared" si="55"/>
        <v>0.8</v>
      </c>
      <c r="X179" s="129">
        <f t="shared" si="55"/>
        <v>0.8</v>
      </c>
      <c r="Y179" s="129">
        <f t="shared" si="55"/>
        <v>0.8</v>
      </c>
      <c r="Z179" s="129">
        <f t="shared" si="55"/>
        <v>0.8</v>
      </c>
      <c r="AA179" s="129">
        <f t="shared" si="55"/>
        <v>0.8</v>
      </c>
      <c r="AB179" s="129">
        <f t="shared" si="55"/>
        <v>0.8</v>
      </c>
      <c r="AC179" s="129">
        <f t="shared" si="55"/>
        <v>0.8</v>
      </c>
      <c r="AD179" s="129">
        <f t="shared" si="55"/>
        <v>0.8</v>
      </c>
      <c r="AE179" s="129">
        <f t="shared" si="55"/>
        <v>0.8</v>
      </c>
      <c r="AF179" s="129">
        <f t="shared" si="55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3"/>
        <v>0</v>
      </c>
      <c r="C180" s="130">
        <v>0</v>
      </c>
      <c r="D180" s="129">
        <f t="shared" si="54"/>
        <v>0</v>
      </c>
      <c r="E180" s="129">
        <f t="shared" si="54"/>
        <v>0</v>
      </c>
      <c r="F180" s="129">
        <f t="shared" si="54"/>
        <v>0</v>
      </c>
      <c r="G180" s="129">
        <f t="shared" si="54"/>
        <v>0</v>
      </c>
      <c r="H180" s="129">
        <f t="shared" si="54"/>
        <v>0</v>
      </c>
      <c r="I180" s="129">
        <f t="shared" si="54"/>
        <v>0</v>
      </c>
      <c r="J180" s="129">
        <f t="shared" si="54"/>
        <v>0</v>
      </c>
      <c r="K180" s="129">
        <f t="shared" si="54"/>
        <v>0</v>
      </c>
      <c r="L180" s="129">
        <f t="shared" si="54"/>
        <v>0</v>
      </c>
      <c r="M180" s="129">
        <f t="shared" si="54"/>
        <v>0</v>
      </c>
      <c r="N180" s="129">
        <f t="shared" si="54"/>
        <v>0</v>
      </c>
      <c r="O180" s="129">
        <f t="shared" si="54"/>
        <v>0</v>
      </c>
      <c r="P180" s="129">
        <f t="shared" si="54"/>
        <v>0</v>
      </c>
      <c r="Q180" s="129">
        <f t="shared" si="54"/>
        <v>0</v>
      </c>
      <c r="R180" s="129">
        <f t="shared" si="54"/>
        <v>0</v>
      </c>
      <c r="S180" s="129">
        <f t="shared" si="54"/>
        <v>0</v>
      </c>
      <c r="T180" s="129">
        <f t="shared" si="55"/>
        <v>0</v>
      </c>
      <c r="U180" s="129">
        <f t="shared" si="55"/>
        <v>0</v>
      </c>
      <c r="V180" s="129">
        <f t="shared" si="55"/>
        <v>0</v>
      </c>
      <c r="W180" s="129">
        <f t="shared" si="55"/>
        <v>0</v>
      </c>
      <c r="X180" s="129">
        <f t="shared" si="55"/>
        <v>0</v>
      </c>
      <c r="Y180" s="129">
        <f t="shared" si="55"/>
        <v>0</v>
      </c>
      <c r="Z180" s="129">
        <f t="shared" si="55"/>
        <v>0</v>
      </c>
      <c r="AA180" s="129">
        <f t="shared" si="55"/>
        <v>0</v>
      </c>
      <c r="AB180" s="129">
        <f t="shared" si="55"/>
        <v>0</v>
      </c>
      <c r="AC180" s="129">
        <f t="shared" si="55"/>
        <v>0</v>
      </c>
      <c r="AD180" s="129">
        <f t="shared" si="55"/>
        <v>0</v>
      </c>
      <c r="AE180" s="129">
        <f t="shared" si="55"/>
        <v>0</v>
      </c>
      <c r="AF180" s="129">
        <f t="shared" si="55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3"/>
        <v>0.6</v>
      </c>
      <c r="C181" s="130">
        <v>0.6</v>
      </c>
      <c r="D181" s="129">
        <f t="shared" si="54"/>
        <v>0.6</v>
      </c>
      <c r="E181" s="129">
        <f t="shared" si="54"/>
        <v>0.6</v>
      </c>
      <c r="F181" s="129">
        <f t="shared" si="54"/>
        <v>0.6</v>
      </c>
      <c r="G181" s="129">
        <f t="shared" si="54"/>
        <v>0.6</v>
      </c>
      <c r="H181" s="129">
        <f t="shared" si="54"/>
        <v>0.6</v>
      </c>
      <c r="I181" s="129">
        <f t="shared" si="54"/>
        <v>0.6</v>
      </c>
      <c r="J181" s="129">
        <f t="shared" si="54"/>
        <v>0.6</v>
      </c>
      <c r="K181" s="129">
        <f t="shared" si="54"/>
        <v>0.6</v>
      </c>
      <c r="L181" s="129">
        <f t="shared" si="54"/>
        <v>0.6</v>
      </c>
      <c r="M181" s="129">
        <f t="shared" si="54"/>
        <v>0.6</v>
      </c>
      <c r="N181" s="129">
        <f t="shared" si="54"/>
        <v>0.6</v>
      </c>
      <c r="O181" s="129">
        <f t="shared" si="54"/>
        <v>0.6</v>
      </c>
      <c r="P181" s="129">
        <f t="shared" si="54"/>
        <v>0.6</v>
      </c>
      <c r="Q181" s="129">
        <f t="shared" si="54"/>
        <v>0.6</v>
      </c>
      <c r="R181" s="129">
        <f t="shared" si="54"/>
        <v>0.6</v>
      </c>
      <c r="S181" s="129">
        <f t="shared" si="54"/>
        <v>0.6</v>
      </c>
      <c r="T181" s="129">
        <f t="shared" si="55"/>
        <v>0.6</v>
      </c>
      <c r="U181" s="129">
        <f t="shared" si="55"/>
        <v>0.6</v>
      </c>
      <c r="V181" s="129">
        <f t="shared" si="55"/>
        <v>0.6</v>
      </c>
      <c r="W181" s="129">
        <f t="shared" si="55"/>
        <v>0.6</v>
      </c>
      <c r="X181" s="129">
        <f t="shared" si="55"/>
        <v>0.6</v>
      </c>
      <c r="Y181" s="129">
        <f t="shared" si="55"/>
        <v>0.6</v>
      </c>
      <c r="Z181" s="129">
        <f t="shared" si="55"/>
        <v>0.6</v>
      </c>
      <c r="AA181" s="129">
        <f t="shared" si="55"/>
        <v>0.6</v>
      </c>
      <c r="AB181" s="129">
        <f t="shared" si="55"/>
        <v>0.6</v>
      </c>
      <c r="AC181" s="129">
        <f t="shared" si="55"/>
        <v>0.6</v>
      </c>
      <c r="AD181" s="129">
        <f t="shared" si="55"/>
        <v>0.6</v>
      </c>
      <c r="AE181" s="129">
        <f t="shared" si="55"/>
        <v>0.6</v>
      </c>
      <c r="AF181" s="129">
        <f t="shared" si="55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3"/>
        <v>0.6</v>
      </c>
      <c r="C182" s="130">
        <v>0.6</v>
      </c>
      <c r="D182" s="129">
        <f t="shared" si="54"/>
        <v>0.6</v>
      </c>
      <c r="E182" s="129">
        <f t="shared" si="54"/>
        <v>0.6</v>
      </c>
      <c r="F182" s="129">
        <f t="shared" si="54"/>
        <v>0.6</v>
      </c>
      <c r="G182" s="129">
        <f t="shared" si="54"/>
        <v>0.6</v>
      </c>
      <c r="H182" s="129">
        <f t="shared" si="54"/>
        <v>0.6</v>
      </c>
      <c r="I182" s="129">
        <f t="shared" si="54"/>
        <v>0.6</v>
      </c>
      <c r="J182" s="129">
        <f t="shared" si="54"/>
        <v>0.6</v>
      </c>
      <c r="K182" s="129">
        <f t="shared" si="54"/>
        <v>0.6</v>
      </c>
      <c r="L182" s="129">
        <f t="shared" si="54"/>
        <v>0.6</v>
      </c>
      <c r="M182" s="129">
        <f t="shared" si="54"/>
        <v>0.6</v>
      </c>
      <c r="N182" s="129">
        <f t="shared" si="54"/>
        <v>0.6</v>
      </c>
      <c r="O182" s="129">
        <f t="shared" si="54"/>
        <v>0.6</v>
      </c>
      <c r="P182" s="129">
        <f t="shared" si="54"/>
        <v>0.6</v>
      </c>
      <c r="Q182" s="129">
        <f t="shared" si="54"/>
        <v>0.6</v>
      </c>
      <c r="R182" s="129">
        <f t="shared" si="54"/>
        <v>0.6</v>
      </c>
      <c r="S182" s="129">
        <f t="shared" si="54"/>
        <v>0.6</v>
      </c>
      <c r="T182" s="129">
        <f t="shared" si="55"/>
        <v>0.6</v>
      </c>
      <c r="U182" s="129">
        <f t="shared" si="55"/>
        <v>0.6</v>
      </c>
      <c r="V182" s="129">
        <f t="shared" si="55"/>
        <v>0.6</v>
      </c>
      <c r="W182" s="129">
        <f t="shared" si="55"/>
        <v>0.6</v>
      </c>
      <c r="X182" s="129">
        <f t="shared" si="55"/>
        <v>0.6</v>
      </c>
      <c r="Y182" s="129">
        <f t="shared" si="55"/>
        <v>0.6</v>
      </c>
      <c r="Z182" s="129">
        <f t="shared" si="55"/>
        <v>0.6</v>
      </c>
      <c r="AA182" s="129">
        <f t="shared" si="55"/>
        <v>0.6</v>
      </c>
      <c r="AB182" s="129">
        <f t="shared" si="55"/>
        <v>0.6</v>
      </c>
      <c r="AC182" s="129">
        <f t="shared" si="55"/>
        <v>0.6</v>
      </c>
      <c r="AD182" s="129">
        <f t="shared" si="55"/>
        <v>0.6</v>
      </c>
      <c r="AE182" s="129">
        <f t="shared" si="55"/>
        <v>0.6</v>
      </c>
      <c r="AF182" s="129">
        <f t="shared" si="55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3"/>
        <v>0.35</v>
      </c>
      <c r="C183" s="130">
        <v>0.35</v>
      </c>
      <c r="D183" s="129">
        <f t="shared" si="54"/>
        <v>0.35</v>
      </c>
      <c r="E183" s="129">
        <f t="shared" si="54"/>
        <v>0.35</v>
      </c>
      <c r="F183" s="129">
        <f t="shared" si="54"/>
        <v>0.35</v>
      </c>
      <c r="G183" s="129">
        <f t="shared" si="54"/>
        <v>0.35</v>
      </c>
      <c r="H183" s="129">
        <f t="shared" si="54"/>
        <v>0.35</v>
      </c>
      <c r="I183" s="129">
        <f t="shared" si="54"/>
        <v>0.35</v>
      </c>
      <c r="J183" s="129">
        <f t="shared" si="54"/>
        <v>0.35</v>
      </c>
      <c r="K183" s="129">
        <f t="shared" si="54"/>
        <v>0.35</v>
      </c>
      <c r="L183" s="129">
        <f t="shared" si="54"/>
        <v>0.35</v>
      </c>
      <c r="M183" s="129">
        <f t="shared" si="54"/>
        <v>0.35</v>
      </c>
      <c r="N183" s="129">
        <f t="shared" si="54"/>
        <v>0.35</v>
      </c>
      <c r="O183" s="129">
        <f t="shared" si="54"/>
        <v>0.35</v>
      </c>
      <c r="P183" s="129">
        <f t="shared" si="54"/>
        <v>0.35</v>
      </c>
      <c r="Q183" s="129">
        <f t="shared" si="54"/>
        <v>0.35</v>
      </c>
      <c r="R183" s="129">
        <f t="shared" si="54"/>
        <v>0.35</v>
      </c>
      <c r="S183" s="129">
        <f t="shared" si="54"/>
        <v>0.35</v>
      </c>
      <c r="T183" s="129">
        <f t="shared" si="55"/>
        <v>0.35</v>
      </c>
      <c r="U183" s="129">
        <f t="shared" si="55"/>
        <v>0.35</v>
      </c>
      <c r="V183" s="129">
        <f t="shared" si="55"/>
        <v>0.35</v>
      </c>
      <c r="W183" s="129">
        <f t="shared" si="55"/>
        <v>0.35</v>
      </c>
      <c r="X183" s="129">
        <f t="shared" si="55"/>
        <v>0.35</v>
      </c>
      <c r="Y183" s="129">
        <f t="shared" si="55"/>
        <v>0.35</v>
      </c>
      <c r="Z183" s="129">
        <f t="shared" si="55"/>
        <v>0.35</v>
      </c>
      <c r="AA183" s="129">
        <f t="shared" si="55"/>
        <v>0.35</v>
      </c>
      <c r="AB183" s="129">
        <f t="shared" si="55"/>
        <v>0.35</v>
      </c>
      <c r="AC183" s="129">
        <f t="shared" si="55"/>
        <v>0.35</v>
      </c>
      <c r="AD183" s="129">
        <f t="shared" si="55"/>
        <v>0.35</v>
      </c>
      <c r="AE183" s="129">
        <f t="shared" si="55"/>
        <v>0.35</v>
      </c>
      <c r="AF183" s="129">
        <f t="shared" si="55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3"/>
        <v>0.28999999999999998</v>
      </c>
      <c r="C184" s="130">
        <v>0.28999999999999998</v>
      </c>
      <c r="D184" s="129">
        <f t="shared" si="54"/>
        <v>0.28999999999999998</v>
      </c>
      <c r="E184" s="129">
        <f t="shared" si="54"/>
        <v>0.28999999999999998</v>
      </c>
      <c r="F184" s="129">
        <f t="shared" si="54"/>
        <v>0.28999999999999998</v>
      </c>
      <c r="G184" s="129">
        <f t="shared" si="54"/>
        <v>0.28999999999999998</v>
      </c>
      <c r="H184" s="129">
        <f t="shared" si="54"/>
        <v>0.28999999999999998</v>
      </c>
      <c r="I184" s="129">
        <f t="shared" si="54"/>
        <v>0.28999999999999998</v>
      </c>
      <c r="J184" s="129">
        <f t="shared" si="54"/>
        <v>0.28999999999999998</v>
      </c>
      <c r="K184" s="129">
        <f t="shared" si="54"/>
        <v>0.28999999999999998</v>
      </c>
      <c r="L184" s="129">
        <f t="shared" si="54"/>
        <v>0.28999999999999998</v>
      </c>
      <c r="M184" s="129">
        <f t="shared" si="54"/>
        <v>0.28999999999999998</v>
      </c>
      <c r="N184" s="129">
        <f t="shared" si="54"/>
        <v>0.28999999999999998</v>
      </c>
      <c r="O184" s="129">
        <f t="shared" si="54"/>
        <v>0.28999999999999998</v>
      </c>
      <c r="P184" s="129">
        <f t="shared" si="54"/>
        <v>0.28999999999999998</v>
      </c>
      <c r="Q184" s="129">
        <f t="shared" si="54"/>
        <v>0.28999999999999998</v>
      </c>
      <c r="R184" s="129">
        <f t="shared" si="54"/>
        <v>0.28999999999999998</v>
      </c>
      <c r="S184" s="129">
        <f t="shared" si="54"/>
        <v>0.28999999999999998</v>
      </c>
      <c r="T184" s="129">
        <f t="shared" si="55"/>
        <v>0.28999999999999998</v>
      </c>
      <c r="U184" s="129">
        <f t="shared" si="55"/>
        <v>0.28999999999999998</v>
      </c>
      <c r="V184" s="129">
        <f t="shared" si="55"/>
        <v>0.28999999999999998</v>
      </c>
      <c r="W184" s="129">
        <f t="shared" si="55"/>
        <v>0.28999999999999998</v>
      </c>
      <c r="X184" s="129">
        <f t="shared" si="55"/>
        <v>0.28999999999999998</v>
      </c>
      <c r="Y184" s="129">
        <f t="shared" si="55"/>
        <v>0.28999999999999998</v>
      </c>
      <c r="Z184" s="129">
        <f t="shared" si="55"/>
        <v>0.28999999999999998</v>
      </c>
      <c r="AA184" s="129">
        <f t="shared" si="55"/>
        <v>0.28999999999999998</v>
      </c>
      <c r="AB184" s="129">
        <f t="shared" si="55"/>
        <v>0.28999999999999998</v>
      </c>
      <c r="AC184" s="129">
        <f t="shared" si="55"/>
        <v>0.28999999999999998</v>
      </c>
      <c r="AD184" s="129">
        <f t="shared" si="55"/>
        <v>0.28999999999999998</v>
      </c>
      <c r="AE184" s="129">
        <f t="shared" si="55"/>
        <v>0.28999999999999998</v>
      </c>
      <c r="AF184" s="129">
        <f t="shared" si="55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3"/>
        <v>0.06</v>
      </c>
      <c r="C185" s="130">
        <v>0.06</v>
      </c>
      <c r="D185" s="129">
        <f t="shared" si="54"/>
        <v>0.06</v>
      </c>
      <c r="E185" s="129">
        <f t="shared" si="54"/>
        <v>0.06</v>
      </c>
      <c r="F185" s="129">
        <f t="shared" si="54"/>
        <v>0.06</v>
      </c>
      <c r="G185" s="129">
        <f t="shared" si="54"/>
        <v>0.06</v>
      </c>
      <c r="H185" s="129">
        <f t="shared" si="54"/>
        <v>0.06</v>
      </c>
      <c r="I185" s="129">
        <f t="shared" si="54"/>
        <v>0.06</v>
      </c>
      <c r="J185" s="129">
        <f t="shared" si="54"/>
        <v>0.06</v>
      </c>
      <c r="K185" s="129">
        <f t="shared" si="54"/>
        <v>0.06</v>
      </c>
      <c r="L185" s="129">
        <f t="shared" si="54"/>
        <v>0.06</v>
      </c>
      <c r="M185" s="129">
        <f t="shared" si="54"/>
        <v>0.06</v>
      </c>
      <c r="N185" s="129">
        <f t="shared" si="54"/>
        <v>0.06</v>
      </c>
      <c r="O185" s="129">
        <f t="shared" si="54"/>
        <v>0.06</v>
      </c>
      <c r="P185" s="129">
        <f t="shared" si="54"/>
        <v>0.06</v>
      </c>
      <c r="Q185" s="129">
        <f t="shared" si="54"/>
        <v>0.06</v>
      </c>
      <c r="R185" s="129">
        <f t="shared" si="54"/>
        <v>0.06</v>
      </c>
      <c r="S185" s="129">
        <f t="shared" si="54"/>
        <v>0.06</v>
      </c>
      <c r="T185" s="129">
        <f t="shared" si="55"/>
        <v>0.06</v>
      </c>
      <c r="U185" s="129">
        <f t="shared" si="55"/>
        <v>0.06</v>
      </c>
      <c r="V185" s="129">
        <f t="shared" si="55"/>
        <v>0.06</v>
      </c>
      <c r="W185" s="129">
        <f t="shared" si="55"/>
        <v>0.06</v>
      </c>
      <c r="X185" s="129">
        <f t="shared" si="55"/>
        <v>0.06</v>
      </c>
      <c r="Y185" s="129">
        <f t="shared" si="55"/>
        <v>0.06</v>
      </c>
      <c r="Z185" s="129">
        <f t="shared" si="55"/>
        <v>0.06</v>
      </c>
      <c r="AA185" s="129">
        <f t="shared" si="55"/>
        <v>0.06</v>
      </c>
      <c r="AB185" s="129">
        <f t="shared" si="55"/>
        <v>0.06</v>
      </c>
      <c r="AC185" s="129">
        <f t="shared" si="55"/>
        <v>0.06</v>
      </c>
      <c r="AD185" s="129">
        <f t="shared" si="55"/>
        <v>0.06</v>
      </c>
      <c r="AE185" s="129">
        <f t="shared" si="55"/>
        <v>0.06</v>
      </c>
      <c r="AF185" s="129">
        <f t="shared" si="55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3"/>
        <v>0.11</v>
      </c>
      <c r="C186" s="130">
        <v>0.11</v>
      </c>
      <c r="D186" s="129">
        <f t="shared" si="54"/>
        <v>0.11</v>
      </c>
      <c r="E186" s="129">
        <f t="shared" si="54"/>
        <v>0.11</v>
      </c>
      <c r="F186" s="129">
        <f t="shared" si="54"/>
        <v>0.11</v>
      </c>
      <c r="G186" s="129">
        <f t="shared" si="54"/>
        <v>0.11</v>
      </c>
      <c r="H186" s="129">
        <f t="shared" si="54"/>
        <v>0.11</v>
      </c>
      <c r="I186" s="129">
        <f t="shared" si="54"/>
        <v>0.11</v>
      </c>
      <c r="J186" s="129">
        <f t="shared" si="54"/>
        <v>0.11</v>
      </c>
      <c r="K186" s="129">
        <f t="shared" si="54"/>
        <v>0.11</v>
      </c>
      <c r="L186" s="129">
        <f t="shared" si="54"/>
        <v>0.11</v>
      </c>
      <c r="M186" s="129">
        <f t="shared" si="54"/>
        <v>0.11</v>
      </c>
      <c r="N186" s="129">
        <f t="shared" si="54"/>
        <v>0.11</v>
      </c>
      <c r="O186" s="129">
        <f t="shared" si="54"/>
        <v>0.11</v>
      </c>
      <c r="P186" s="129">
        <f t="shared" si="54"/>
        <v>0.11</v>
      </c>
      <c r="Q186" s="129">
        <f t="shared" si="54"/>
        <v>0.11</v>
      </c>
      <c r="R186" s="129">
        <f t="shared" si="54"/>
        <v>0.11</v>
      </c>
      <c r="S186" s="129">
        <f t="shared" si="54"/>
        <v>0.11</v>
      </c>
      <c r="T186" s="129">
        <f t="shared" si="55"/>
        <v>0.11</v>
      </c>
      <c r="U186" s="129">
        <f t="shared" si="55"/>
        <v>0.11</v>
      </c>
      <c r="V186" s="129">
        <f t="shared" si="55"/>
        <v>0.11</v>
      </c>
      <c r="W186" s="129">
        <f t="shared" si="55"/>
        <v>0.11</v>
      </c>
      <c r="X186" s="129">
        <f t="shared" si="55"/>
        <v>0.11</v>
      </c>
      <c r="Y186" s="129">
        <f t="shared" si="55"/>
        <v>0.11</v>
      </c>
      <c r="Z186" s="129">
        <f t="shared" si="55"/>
        <v>0.11</v>
      </c>
      <c r="AA186" s="129">
        <f t="shared" si="55"/>
        <v>0.11</v>
      </c>
      <c r="AB186" s="129">
        <f t="shared" si="55"/>
        <v>0.11</v>
      </c>
      <c r="AC186" s="129">
        <f t="shared" si="55"/>
        <v>0.11</v>
      </c>
      <c r="AD186" s="129">
        <f t="shared" si="55"/>
        <v>0.11</v>
      </c>
      <c r="AE186" s="129">
        <f t="shared" si="55"/>
        <v>0.11</v>
      </c>
      <c r="AF186" s="129">
        <f t="shared" si="55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3"/>
        <v>0.1</v>
      </c>
      <c r="C187" s="130">
        <v>0.1</v>
      </c>
      <c r="D187" s="129">
        <f t="shared" si="54"/>
        <v>0.1</v>
      </c>
      <c r="E187" s="129">
        <f t="shared" si="54"/>
        <v>0.1</v>
      </c>
      <c r="F187" s="129">
        <f t="shared" si="54"/>
        <v>0.1</v>
      </c>
      <c r="G187" s="129">
        <f t="shared" si="54"/>
        <v>0.1</v>
      </c>
      <c r="H187" s="129">
        <f t="shared" si="54"/>
        <v>0.1</v>
      </c>
      <c r="I187" s="129">
        <f t="shared" si="54"/>
        <v>0.1</v>
      </c>
      <c r="J187" s="129">
        <f t="shared" si="54"/>
        <v>0.1</v>
      </c>
      <c r="K187" s="129">
        <f t="shared" si="54"/>
        <v>0.1</v>
      </c>
      <c r="L187" s="129">
        <f t="shared" si="54"/>
        <v>0.1</v>
      </c>
      <c r="M187" s="129">
        <f t="shared" si="54"/>
        <v>0.1</v>
      </c>
      <c r="N187" s="129">
        <f t="shared" si="54"/>
        <v>0.1</v>
      </c>
      <c r="O187" s="129">
        <f t="shared" si="54"/>
        <v>0.1</v>
      </c>
      <c r="P187" s="129">
        <f t="shared" si="54"/>
        <v>0.1</v>
      </c>
      <c r="Q187" s="129">
        <f t="shared" si="54"/>
        <v>0.1</v>
      </c>
      <c r="R187" s="129">
        <f t="shared" si="54"/>
        <v>0.1</v>
      </c>
      <c r="S187" s="129">
        <f t="shared" si="55"/>
        <v>0.1</v>
      </c>
      <c r="T187" s="129">
        <f t="shared" si="55"/>
        <v>0.1</v>
      </c>
      <c r="U187" s="129">
        <f t="shared" si="55"/>
        <v>0.1</v>
      </c>
      <c r="V187" s="129">
        <f t="shared" si="55"/>
        <v>0.1</v>
      </c>
      <c r="W187" s="129">
        <f t="shared" si="55"/>
        <v>0.1</v>
      </c>
      <c r="X187" s="129">
        <f t="shared" si="55"/>
        <v>0.1</v>
      </c>
      <c r="Y187" s="129">
        <f t="shared" si="55"/>
        <v>0.1</v>
      </c>
      <c r="Z187" s="129">
        <f t="shared" si="55"/>
        <v>0.1</v>
      </c>
      <c r="AA187" s="129">
        <f t="shared" si="55"/>
        <v>0.1</v>
      </c>
      <c r="AB187" s="129">
        <f t="shared" si="55"/>
        <v>0.1</v>
      </c>
      <c r="AC187" s="129">
        <f t="shared" si="55"/>
        <v>0.1</v>
      </c>
      <c r="AD187" s="129">
        <f t="shared" si="55"/>
        <v>0.1</v>
      </c>
      <c r="AE187" s="129">
        <f t="shared" si="55"/>
        <v>0.1</v>
      </c>
      <c r="AF187" s="129">
        <f t="shared" si="55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3"/>
        <v>0.09</v>
      </c>
      <c r="C188" s="130">
        <v>0.09</v>
      </c>
      <c r="D188" s="129">
        <f t="shared" si="54"/>
        <v>0.09</v>
      </c>
      <c r="E188" s="129">
        <f t="shared" si="54"/>
        <v>0.09</v>
      </c>
      <c r="F188" s="129">
        <f t="shared" si="54"/>
        <v>0.09</v>
      </c>
      <c r="G188" s="129">
        <f t="shared" si="54"/>
        <v>0.09</v>
      </c>
      <c r="H188" s="129">
        <f t="shared" si="54"/>
        <v>0.09</v>
      </c>
      <c r="I188" s="129">
        <f t="shared" si="54"/>
        <v>0.09</v>
      </c>
      <c r="J188" s="129">
        <f t="shared" si="54"/>
        <v>0.09</v>
      </c>
      <c r="K188" s="129">
        <f t="shared" si="54"/>
        <v>0.09</v>
      </c>
      <c r="L188" s="129">
        <f t="shared" si="54"/>
        <v>0.09</v>
      </c>
      <c r="M188" s="129">
        <f t="shared" si="54"/>
        <v>0.09</v>
      </c>
      <c r="N188" s="129">
        <f t="shared" si="54"/>
        <v>0.09</v>
      </c>
      <c r="O188" s="129">
        <f t="shared" si="54"/>
        <v>0.09</v>
      </c>
      <c r="P188" s="129">
        <f t="shared" si="54"/>
        <v>0.09</v>
      </c>
      <c r="Q188" s="129">
        <f t="shared" si="54"/>
        <v>0.09</v>
      </c>
      <c r="R188" s="129">
        <f t="shared" si="54"/>
        <v>0.09</v>
      </c>
      <c r="S188" s="129">
        <f t="shared" si="55"/>
        <v>0.09</v>
      </c>
      <c r="T188" s="129">
        <f t="shared" si="55"/>
        <v>0.09</v>
      </c>
      <c r="U188" s="129">
        <f t="shared" si="55"/>
        <v>0.09</v>
      </c>
      <c r="V188" s="129">
        <f t="shared" si="55"/>
        <v>0.09</v>
      </c>
      <c r="W188" s="129">
        <f t="shared" si="55"/>
        <v>0.09</v>
      </c>
      <c r="X188" s="129">
        <f t="shared" si="55"/>
        <v>0.09</v>
      </c>
      <c r="Y188" s="129">
        <f t="shared" si="55"/>
        <v>0.09</v>
      </c>
      <c r="Z188" s="129">
        <f t="shared" si="55"/>
        <v>0.09</v>
      </c>
      <c r="AA188" s="129">
        <f t="shared" si="55"/>
        <v>0.09</v>
      </c>
      <c r="AB188" s="129">
        <f t="shared" si="55"/>
        <v>0.09</v>
      </c>
      <c r="AC188" s="129">
        <f t="shared" si="55"/>
        <v>0.09</v>
      </c>
      <c r="AD188" s="129">
        <f t="shared" si="55"/>
        <v>0.09</v>
      </c>
      <c r="AE188" s="129">
        <f t="shared" si="55"/>
        <v>0.09</v>
      </c>
      <c r="AF188" s="129">
        <f t="shared" si="55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3"/>
        <v>0.04</v>
      </c>
      <c r="C189" s="53">
        <v>0.04</v>
      </c>
      <c r="D189" s="129">
        <f t="shared" si="54"/>
        <v>0.04</v>
      </c>
      <c r="E189" s="129">
        <f t="shared" si="54"/>
        <v>0.04</v>
      </c>
      <c r="F189" s="129">
        <f t="shared" si="54"/>
        <v>0.04</v>
      </c>
      <c r="G189" s="129">
        <f t="shared" si="54"/>
        <v>0.04</v>
      </c>
      <c r="H189" s="129">
        <f t="shared" si="54"/>
        <v>0.04</v>
      </c>
      <c r="I189" s="129">
        <f t="shared" si="54"/>
        <v>0.04</v>
      </c>
      <c r="J189" s="129">
        <f t="shared" si="54"/>
        <v>0.04</v>
      </c>
      <c r="K189" s="129">
        <f t="shared" si="54"/>
        <v>0.04</v>
      </c>
      <c r="L189" s="129">
        <f t="shared" si="54"/>
        <v>0.04</v>
      </c>
      <c r="M189" s="129">
        <f t="shared" si="54"/>
        <v>0.04</v>
      </c>
      <c r="N189" s="129">
        <f t="shared" si="54"/>
        <v>0.04</v>
      </c>
      <c r="O189" s="129">
        <f t="shared" si="54"/>
        <v>0.04</v>
      </c>
      <c r="P189" s="129">
        <f t="shared" si="54"/>
        <v>0.04</v>
      </c>
      <c r="Q189" s="129">
        <f t="shared" si="54"/>
        <v>0.04</v>
      </c>
      <c r="R189" s="129">
        <f t="shared" si="54"/>
        <v>0.04</v>
      </c>
      <c r="S189" s="129">
        <f t="shared" si="55"/>
        <v>0.04</v>
      </c>
      <c r="T189" s="129">
        <f t="shared" si="55"/>
        <v>0.04</v>
      </c>
      <c r="U189" s="129">
        <f t="shared" si="55"/>
        <v>0.04</v>
      </c>
      <c r="V189" s="129">
        <f t="shared" si="55"/>
        <v>0.04</v>
      </c>
      <c r="W189" s="129">
        <f t="shared" si="55"/>
        <v>0.04</v>
      </c>
      <c r="X189" s="129">
        <f t="shared" si="55"/>
        <v>0.04</v>
      </c>
      <c r="Y189" s="129">
        <f t="shared" si="55"/>
        <v>0.04</v>
      </c>
      <c r="Z189" s="129">
        <f t="shared" si="55"/>
        <v>0.04</v>
      </c>
      <c r="AA189" s="129">
        <f t="shared" si="55"/>
        <v>0.04</v>
      </c>
      <c r="AB189" s="129">
        <f t="shared" si="55"/>
        <v>0.04</v>
      </c>
      <c r="AC189" s="129">
        <f t="shared" si="55"/>
        <v>0.04</v>
      </c>
      <c r="AD189" s="129">
        <f t="shared" si="55"/>
        <v>0.04</v>
      </c>
      <c r="AE189" s="129">
        <f t="shared" si="55"/>
        <v>0.04</v>
      </c>
      <c r="AF189" s="129">
        <f t="shared" si="55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3"/>
        <v>2.3E-2</v>
      </c>
      <c r="C190" s="53">
        <v>2.3E-2</v>
      </c>
      <c r="D190" s="129">
        <f>C190</f>
        <v>2.3E-2</v>
      </c>
      <c r="E190" s="129">
        <f t="shared" si="54"/>
        <v>2.3E-2</v>
      </c>
      <c r="F190" s="129">
        <f t="shared" si="54"/>
        <v>2.3E-2</v>
      </c>
      <c r="G190" s="129">
        <f t="shared" si="54"/>
        <v>2.3E-2</v>
      </c>
      <c r="H190" s="129">
        <f t="shared" si="54"/>
        <v>2.3E-2</v>
      </c>
      <c r="I190" s="129">
        <f t="shared" si="54"/>
        <v>2.3E-2</v>
      </c>
      <c r="J190" s="129">
        <f t="shared" si="54"/>
        <v>2.3E-2</v>
      </c>
      <c r="K190" s="129">
        <f t="shared" si="54"/>
        <v>2.3E-2</v>
      </c>
      <c r="L190" s="129">
        <f t="shared" si="54"/>
        <v>2.3E-2</v>
      </c>
      <c r="M190" s="129">
        <f t="shared" si="54"/>
        <v>2.3E-2</v>
      </c>
      <c r="N190" s="129">
        <f t="shared" si="54"/>
        <v>2.3E-2</v>
      </c>
      <c r="O190" s="129">
        <f t="shared" si="54"/>
        <v>2.3E-2</v>
      </c>
      <c r="P190" s="129">
        <f t="shared" si="54"/>
        <v>2.3E-2</v>
      </c>
      <c r="Q190" s="129">
        <f t="shared" si="54"/>
        <v>2.3E-2</v>
      </c>
      <c r="R190" s="129">
        <f t="shared" si="54"/>
        <v>2.3E-2</v>
      </c>
      <c r="S190" s="129">
        <f t="shared" si="55"/>
        <v>2.3E-2</v>
      </c>
      <c r="T190" s="129">
        <f t="shared" si="55"/>
        <v>2.3E-2</v>
      </c>
      <c r="U190" s="129">
        <f t="shared" si="55"/>
        <v>2.3E-2</v>
      </c>
      <c r="V190" s="129">
        <f t="shared" si="55"/>
        <v>2.3E-2</v>
      </c>
      <c r="W190" s="129">
        <f t="shared" si="55"/>
        <v>2.3E-2</v>
      </c>
      <c r="X190" s="129">
        <f t="shared" si="55"/>
        <v>2.3E-2</v>
      </c>
      <c r="Y190" s="129">
        <f t="shared" si="55"/>
        <v>2.3E-2</v>
      </c>
      <c r="Z190" s="129">
        <f t="shared" si="55"/>
        <v>2.3E-2</v>
      </c>
      <c r="AA190" s="129">
        <f t="shared" si="55"/>
        <v>2.3E-2</v>
      </c>
      <c r="AB190" s="129">
        <f t="shared" si="55"/>
        <v>2.3E-2</v>
      </c>
      <c r="AC190" s="129">
        <f t="shared" si="55"/>
        <v>2.3E-2</v>
      </c>
      <c r="AD190" s="129">
        <f t="shared" si="55"/>
        <v>2.3E-2</v>
      </c>
      <c r="AE190" s="129">
        <f t="shared" si="55"/>
        <v>2.3E-2</v>
      </c>
      <c r="AF190" s="129">
        <f t="shared" si="55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6">SUM(C101:C190)</f>
        <v>194.70600000000002</v>
      </c>
      <c r="D191" s="134">
        <f t="shared" si="56"/>
        <v>194.70600000000002</v>
      </c>
      <c r="E191" s="134">
        <f t="shared" si="56"/>
        <v>194.70600000000002</v>
      </c>
      <c r="F191" s="134">
        <f t="shared" si="56"/>
        <v>194.70600000000002</v>
      </c>
      <c r="G191" s="134">
        <f t="shared" si="56"/>
        <v>194.70600000000002</v>
      </c>
      <c r="H191" s="134">
        <f t="shared" si="56"/>
        <v>194.70600000000002</v>
      </c>
      <c r="I191" s="134">
        <f t="shared" si="56"/>
        <v>194.70600000000002</v>
      </c>
      <c r="J191" s="134">
        <f t="shared" si="56"/>
        <v>192.10600000000005</v>
      </c>
      <c r="K191" s="134">
        <f t="shared" si="56"/>
        <v>192.10600000000005</v>
      </c>
      <c r="L191" s="134">
        <f t="shared" si="56"/>
        <v>192.10600000000005</v>
      </c>
      <c r="M191" s="134">
        <f t="shared" si="56"/>
        <v>192.10600000000005</v>
      </c>
      <c r="N191" s="134">
        <f t="shared" si="56"/>
        <v>192.10600000000005</v>
      </c>
      <c r="O191" s="134">
        <f t="shared" si="56"/>
        <v>192.10600000000005</v>
      </c>
      <c r="P191" s="134">
        <f t="shared" si="56"/>
        <v>192.10600000000005</v>
      </c>
      <c r="Q191" s="134">
        <f t="shared" si="56"/>
        <v>192.10600000000005</v>
      </c>
      <c r="R191" s="134">
        <f t="shared" si="56"/>
        <v>192.10600000000005</v>
      </c>
      <c r="S191" s="134">
        <f t="shared" si="56"/>
        <v>192.10600000000005</v>
      </c>
      <c r="T191" s="134">
        <f t="shared" si="56"/>
        <v>192.10600000000005</v>
      </c>
      <c r="U191" s="134">
        <f t="shared" si="56"/>
        <v>192.10600000000005</v>
      </c>
      <c r="V191" s="134">
        <f t="shared" si="56"/>
        <v>192.10600000000005</v>
      </c>
      <c r="W191" s="134">
        <f t="shared" si="56"/>
        <v>192.10600000000005</v>
      </c>
      <c r="X191" s="134">
        <f t="shared" si="56"/>
        <v>192.10600000000005</v>
      </c>
      <c r="Y191" s="134">
        <f t="shared" si="56"/>
        <v>192.10600000000005</v>
      </c>
      <c r="Z191" s="134">
        <f t="shared" si="56"/>
        <v>192.10600000000005</v>
      </c>
      <c r="AA191" s="134">
        <f t="shared" si="56"/>
        <v>192.10600000000005</v>
      </c>
      <c r="AB191" s="134">
        <f t="shared" si="56"/>
        <v>192.10600000000005</v>
      </c>
      <c r="AC191" s="134">
        <f t="shared" si="56"/>
        <v>192.10600000000005</v>
      </c>
      <c r="AD191" s="134">
        <f t="shared" si="56"/>
        <v>192.10600000000005</v>
      </c>
      <c r="AE191" s="134">
        <f t="shared" si="56"/>
        <v>192.10600000000005</v>
      </c>
      <c r="AF191" s="134">
        <f t="shared" si="56"/>
        <v>192.10600000000005</v>
      </c>
      <c r="AG191" s="135">
        <f t="shared" si="56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7">AF193</f>
        <v>0.3</v>
      </c>
      <c r="C193" s="136">
        <v>0.3</v>
      </c>
      <c r="D193" s="136">
        <f t="shared" ref="D193:S198" si="58">C193</f>
        <v>0.3</v>
      </c>
      <c r="E193" s="136">
        <f t="shared" si="58"/>
        <v>0.3</v>
      </c>
      <c r="F193" s="136">
        <f t="shared" si="58"/>
        <v>0.3</v>
      </c>
      <c r="G193" s="136">
        <f t="shared" si="58"/>
        <v>0.3</v>
      </c>
      <c r="H193" s="136">
        <f t="shared" si="58"/>
        <v>0.3</v>
      </c>
      <c r="I193" s="136">
        <f t="shared" si="58"/>
        <v>0.3</v>
      </c>
      <c r="J193" s="136">
        <f t="shared" si="58"/>
        <v>0.3</v>
      </c>
      <c r="K193" s="136">
        <f t="shared" si="58"/>
        <v>0.3</v>
      </c>
      <c r="L193" s="136">
        <f t="shared" si="58"/>
        <v>0.3</v>
      </c>
      <c r="M193" s="136">
        <f t="shared" si="58"/>
        <v>0.3</v>
      </c>
      <c r="N193" s="136">
        <f t="shared" si="58"/>
        <v>0.3</v>
      </c>
      <c r="O193" s="136">
        <f t="shared" si="58"/>
        <v>0.3</v>
      </c>
      <c r="P193" s="136">
        <f t="shared" si="58"/>
        <v>0.3</v>
      </c>
      <c r="Q193" s="136">
        <f t="shared" si="58"/>
        <v>0.3</v>
      </c>
      <c r="R193" s="136">
        <f t="shared" si="58"/>
        <v>0.3</v>
      </c>
      <c r="S193" s="136">
        <f t="shared" si="58"/>
        <v>0.3</v>
      </c>
      <c r="T193" s="136">
        <f t="shared" ref="T193:AF198" si="59">S193</f>
        <v>0.3</v>
      </c>
      <c r="U193" s="136">
        <f t="shared" si="59"/>
        <v>0.3</v>
      </c>
      <c r="V193" s="136">
        <f t="shared" si="59"/>
        <v>0.3</v>
      </c>
      <c r="W193" s="136">
        <f t="shared" si="59"/>
        <v>0.3</v>
      </c>
      <c r="X193" s="136">
        <f t="shared" si="59"/>
        <v>0.3</v>
      </c>
      <c r="Y193" s="136">
        <f t="shared" si="59"/>
        <v>0.3</v>
      </c>
      <c r="Z193" s="136">
        <f t="shared" si="59"/>
        <v>0.3</v>
      </c>
      <c r="AA193" s="136">
        <f t="shared" si="59"/>
        <v>0.3</v>
      </c>
      <c r="AB193" s="136">
        <f t="shared" si="59"/>
        <v>0.3</v>
      </c>
      <c r="AC193" s="136">
        <f t="shared" si="59"/>
        <v>0.3</v>
      </c>
      <c r="AD193" s="136">
        <f t="shared" si="59"/>
        <v>0.3</v>
      </c>
      <c r="AE193" s="136">
        <f t="shared" si="59"/>
        <v>0.3</v>
      </c>
      <c r="AF193" s="136">
        <f t="shared" si="59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7"/>
        <v>0.4</v>
      </c>
      <c r="C194" s="129">
        <v>0.4</v>
      </c>
      <c r="D194" s="129">
        <f t="shared" si="58"/>
        <v>0.4</v>
      </c>
      <c r="E194" s="129">
        <f t="shared" si="58"/>
        <v>0.4</v>
      </c>
      <c r="F194" s="129">
        <f t="shared" si="58"/>
        <v>0.4</v>
      </c>
      <c r="G194" s="129">
        <f t="shared" si="58"/>
        <v>0.4</v>
      </c>
      <c r="H194" s="129">
        <f t="shared" si="58"/>
        <v>0.4</v>
      </c>
      <c r="I194" s="129">
        <f t="shared" si="58"/>
        <v>0.4</v>
      </c>
      <c r="J194" s="129">
        <f t="shared" si="58"/>
        <v>0.4</v>
      </c>
      <c r="K194" s="129">
        <f t="shared" si="58"/>
        <v>0.4</v>
      </c>
      <c r="L194" s="129">
        <f t="shared" si="58"/>
        <v>0.4</v>
      </c>
      <c r="M194" s="129">
        <f t="shared" si="58"/>
        <v>0.4</v>
      </c>
      <c r="N194" s="129">
        <f t="shared" si="58"/>
        <v>0.4</v>
      </c>
      <c r="O194" s="129">
        <f t="shared" si="58"/>
        <v>0.4</v>
      </c>
      <c r="P194" s="129">
        <f t="shared" si="58"/>
        <v>0.4</v>
      </c>
      <c r="Q194" s="129">
        <f t="shared" si="58"/>
        <v>0.4</v>
      </c>
      <c r="R194" s="129">
        <f t="shared" si="58"/>
        <v>0.4</v>
      </c>
      <c r="S194" s="129">
        <f t="shared" si="58"/>
        <v>0.4</v>
      </c>
      <c r="T194" s="129">
        <f t="shared" si="59"/>
        <v>0.4</v>
      </c>
      <c r="U194" s="129">
        <f t="shared" si="59"/>
        <v>0.4</v>
      </c>
      <c r="V194" s="129">
        <f t="shared" si="59"/>
        <v>0.4</v>
      </c>
      <c r="W194" s="129">
        <f>V194</f>
        <v>0.4</v>
      </c>
      <c r="X194" s="129">
        <f>W194</f>
        <v>0.4</v>
      </c>
      <c r="Y194" s="129">
        <f t="shared" si="59"/>
        <v>0.4</v>
      </c>
      <c r="Z194" s="129">
        <f t="shared" si="59"/>
        <v>0.4</v>
      </c>
      <c r="AA194" s="129">
        <f t="shared" si="59"/>
        <v>0.4</v>
      </c>
      <c r="AB194" s="129">
        <f t="shared" si="59"/>
        <v>0.4</v>
      </c>
      <c r="AC194" s="129">
        <f t="shared" si="59"/>
        <v>0.4</v>
      </c>
      <c r="AD194" s="129">
        <f t="shared" si="59"/>
        <v>0.4</v>
      </c>
      <c r="AE194" s="129">
        <f t="shared" si="59"/>
        <v>0.4</v>
      </c>
      <c r="AF194" s="129">
        <f t="shared" si="59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7"/>
        <v>1.5</v>
      </c>
      <c r="C195" s="129">
        <v>1.5</v>
      </c>
      <c r="D195" s="129">
        <f t="shared" si="58"/>
        <v>1.5</v>
      </c>
      <c r="E195" s="129">
        <f t="shared" si="58"/>
        <v>1.5</v>
      </c>
      <c r="F195" s="129">
        <f t="shared" si="58"/>
        <v>1.5</v>
      </c>
      <c r="G195" s="129">
        <f t="shared" si="58"/>
        <v>1.5</v>
      </c>
      <c r="H195" s="129">
        <f t="shared" si="58"/>
        <v>1.5</v>
      </c>
      <c r="I195" s="129">
        <f t="shared" si="58"/>
        <v>1.5</v>
      </c>
      <c r="J195" s="129">
        <f t="shared" si="58"/>
        <v>1.5</v>
      </c>
      <c r="K195" s="129">
        <f t="shared" si="58"/>
        <v>1.5</v>
      </c>
      <c r="L195" s="129">
        <f t="shared" si="58"/>
        <v>1.5</v>
      </c>
      <c r="M195" s="129">
        <f t="shared" si="58"/>
        <v>1.5</v>
      </c>
      <c r="N195" s="129">
        <f t="shared" si="58"/>
        <v>1.5</v>
      </c>
      <c r="O195" s="129">
        <f t="shared" si="58"/>
        <v>1.5</v>
      </c>
      <c r="P195" s="129">
        <f t="shared" si="58"/>
        <v>1.5</v>
      </c>
      <c r="Q195" s="129">
        <f t="shared" si="58"/>
        <v>1.5</v>
      </c>
      <c r="R195" s="129">
        <f t="shared" si="58"/>
        <v>1.5</v>
      </c>
      <c r="S195" s="129">
        <f t="shared" si="58"/>
        <v>1.5</v>
      </c>
      <c r="T195" s="129">
        <f t="shared" si="59"/>
        <v>1.5</v>
      </c>
      <c r="U195" s="129">
        <f t="shared" si="59"/>
        <v>1.5</v>
      </c>
      <c r="V195" s="129">
        <f t="shared" si="59"/>
        <v>1.5</v>
      </c>
      <c r="W195" s="129">
        <f t="shared" si="59"/>
        <v>1.5</v>
      </c>
      <c r="X195" s="129">
        <f t="shared" si="59"/>
        <v>1.5</v>
      </c>
      <c r="Y195" s="129">
        <f t="shared" si="59"/>
        <v>1.5</v>
      </c>
      <c r="Z195" s="129">
        <f t="shared" si="59"/>
        <v>1.5</v>
      </c>
      <c r="AA195" s="129">
        <f t="shared" si="59"/>
        <v>1.5</v>
      </c>
      <c r="AB195" s="129">
        <f t="shared" si="59"/>
        <v>1.5</v>
      </c>
      <c r="AC195" s="129">
        <f t="shared" si="59"/>
        <v>1.5</v>
      </c>
      <c r="AD195" s="129">
        <f t="shared" si="59"/>
        <v>1.5</v>
      </c>
      <c r="AE195" s="129">
        <f t="shared" si="59"/>
        <v>1.5</v>
      </c>
      <c r="AF195" s="129">
        <f t="shared" si="59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7"/>
        <v>0.3</v>
      </c>
      <c r="C196" s="129">
        <v>0.3</v>
      </c>
      <c r="D196" s="129">
        <f t="shared" si="58"/>
        <v>0.3</v>
      </c>
      <c r="E196" s="129">
        <f t="shared" si="58"/>
        <v>0.3</v>
      </c>
      <c r="F196" s="129">
        <f t="shared" si="58"/>
        <v>0.3</v>
      </c>
      <c r="G196" s="129">
        <f t="shared" si="58"/>
        <v>0.3</v>
      </c>
      <c r="H196" s="129">
        <f t="shared" si="58"/>
        <v>0.3</v>
      </c>
      <c r="I196" s="129">
        <f t="shared" si="58"/>
        <v>0.3</v>
      </c>
      <c r="J196" s="129">
        <f t="shared" si="58"/>
        <v>0.3</v>
      </c>
      <c r="K196" s="129">
        <f t="shared" si="58"/>
        <v>0.3</v>
      </c>
      <c r="L196" s="129">
        <f t="shared" si="58"/>
        <v>0.3</v>
      </c>
      <c r="M196" s="129">
        <f t="shared" si="58"/>
        <v>0.3</v>
      </c>
      <c r="N196" s="129">
        <f t="shared" si="58"/>
        <v>0.3</v>
      </c>
      <c r="O196" s="129">
        <f t="shared" si="58"/>
        <v>0.3</v>
      </c>
      <c r="P196" s="129">
        <f t="shared" si="58"/>
        <v>0.3</v>
      </c>
      <c r="Q196" s="129">
        <f t="shared" si="58"/>
        <v>0.3</v>
      </c>
      <c r="R196" s="129">
        <f t="shared" si="58"/>
        <v>0.3</v>
      </c>
      <c r="S196" s="129">
        <f t="shared" si="58"/>
        <v>0.3</v>
      </c>
      <c r="T196" s="129">
        <f t="shared" si="59"/>
        <v>0.3</v>
      </c>
      <c r="U196" s="129">
        <f t="shared" si="59"/>
        <v>0.3</v>
      </c>
      <c r="V196" s="129">
        <f t="shared" si="59"/>
        <v>0.3</v>
      </c>
      <c r="W196" s="129">
        <f t="shared" si="59"/>
        <v>0.3</v>
      </c>
      <c r="X196" s="129">
        <f t="shared" si="59"/>
        <v>0.3</v>
      </c>
      <c r="Y196" s="129">
        <f t="shared" si="59"/>
        <v>0.3</v>
      </c>
      <c r="Z196" s="129">
        <f t="shared" si="59"/>
        <v>0.3</v>
      </c>
      <c r="AA196" s="129">
        <f t="shared" si="59"/>
        <v>0.3</v>
      </c>
      <c r="AB196" s="129">
        <f t="shared" si="59"/>
        <v>0.3</v>
      </c>
      <c r="AC196" s="129">
        <f t="shared" si="59"/>
        <v>0.3</v>
      </c>
      <c r="AD196" s="129">
        <f t="shared" si="59"/>
        <v>0.3</v>
      </c>
      <c r="AE196" s="129">
        <f t="shared" si="59"/>
        <v>0.3</v>
      </c>
      <c r="AF196" s="129">
        <f t="shared" si="59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7"/>
        <v>0.4</v>
      </c>
      <c r="C197" s="129">
        <v>0.4</v>
      </c>
      <c r="D197" s="129">
        <f t="shared" si="58"/>
        <v>0.4</v>
      </c>
      <c r="E197" s="129">
        <f t="shared" si="58"/>
        <v>0.4</v>
      </c>
      <c r="F197" s="129">
        <f t="shared" si="58"/>
        <v>0.4</v>
      </c>
      <c r="G197" s="129">
        <f t="shared" si="58"/>
        <v>0.4</v>
      </c>
      <c r="H197" s="129">
        <f t="shared" si="58"/>
        <v>0.4</v>
      </c>
      <c r="I197" s="129">
        <f t="shared" si="58"/>
        <v>0.4</v>
      </c>
      <c r="J197" s="129">
        <f t="shared" si="58"/>
        <v>0.4</v>
      </c>
      <c r="K197" s="129">
        <f t="shared" si="58"/>
        <v>0.4</v>
      </c>
      <c r="L197" s="129">
        <f t="shared" si="58"/>
        <v>0.4</v>
      </c>
      <c r="M197" s="129">
        <f t="shared" si="58"/>
        <v>0.4</v>
      </c>
      <c r="N197" s="129">
        <f t="shared" si="58"/>
        <v>0.4</v>
      </c>
      <c r="O197" s="129">
        <f t="shared" si="58"/>
        <v>0.4</v>
      </c>
      <c r="P197" s="129">
        <f t="shared" si="58"/>
        <v>0.4</v>
      </c>
      <c r="Q197" s="129">
        <f t="shared" si="58"/>
        <v>0.4</v>
      </c>
      <c r="R197" s="129">
        <f t="shared" si="58"/>
        <v>0.4</v>
      </c>
      <c r="S197" s="129">
        <f t="shared" si="58"/>
        <v>0.4</v>
      </c>
      <c r="T197" s="129">
        <f t="shared" si="59"/>
        <v>0.4</v>
      </c>
      <c r="U197" s="129">
        <f t="shared" si="59"/>
        <v>0.4</v>
      </c>
      <c r="V197" s="129">
        <f t="shared" si="59"/>
        <v>0.4</v>
      </c>
      <c r="W197" s="129">
        <f t="shared" si="59"/>
        <v>0.4</v>
      </c>
      <c r="X197" s="129">
        <f t="shared" si="59"/>
        <v>0.4</v>
      </c>
      <c r="Y197" s="129">
        <f t="shared" si="59"/>
        <v>0.4</v>
      </c>
      <c r="Z197" s="129">
        <f t="shared" si="59"/>
        <v>0.4</v>
      </c>
      <c r="AA197" s="129">
        <f t="shared" si="59"/>
        <v>0.4</v>
      </c>
      <c r="AB197" s="129">
        <f t="shared" si="59"/>
        <v>0.4</v>
      </c>
      <c r="AC197" s="129">
        <f t="shared" si="59"/>
        <v>0.4</v>
      </c>
      <c r="AD197" s="129">
        <f t="shared" si="59"/>
        <v>0.4</v>
      </c>
      <c r="AE197" s="129">
        <f t="shared" si="59"/>
        <v>0.4</v>
      </c>
      <c r="AF197" s="129">
        <f t="shared" si="59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7"/>
        <v>0.64</v>
      </c>
      <c r="C198" s="139">
        <v>0.64</v>
      </c>
      <c r="D198" s="139">
        <f t="shared" si="58"/>
        <v>0.64</v>
      </c>
      <c r="E198" s="139">
        <f t="shared" si="58"/>
        <v>0.64</v>
      </c>
      <c r="F198" s="139">
        <f t="shared" si="58"/>
        <v>0.64</v>
      </c>
      <c r="G198" s="139">
        <f t="shared" si="58"/>
        <v>0.64</v>
      </c>
      <c r="H198" s="139">
        <f t="shared" si="58"/>
        <v>0.64</v>
      </c>
      <c r="I198" s="139">
        <f t="shared" si="58"/>
        <v>0.64</v>
      </c>
      <c r="J198" s="139">
        <f t="shared" si="58"/>
        <v>0.64</v>
      </c>
      <c r="K198" s="139">
        <f t="shared" si="58"/>
        <v>0.64</v>
      </c>
      <c r="L198" s="139">
        <f t="shared" si="58"/>
        <v>0.64</v>
      </c>
      <c r="M198" s="139">
        <f t="shared" si="58"/>
        <v>0.64</v>
      </c>
      <c r="N198" s="139">
        <f t="shared" si="58"/>
        <v>0.64</v>
      </c>
      <c r="O198" s="139">
        <f t="shared" si="58"/>
        <v>0.64</v>
      </c>
      <c r="P198" s="139">
        <f t="shared" si="58"/>
        <v>0.64</v>
      </c>
      <c r="Q198" s="139">
        <f t="shared" si="58"/>
        <v>0.64</v>
      </c>
      <c r="R198" s="139">
        <f t="shared" si="58"/>
        <v>0.64</v>
      </c>
      <c r="S198" s="139">
        <f t="shared" si="58"/>
        <v>0.64</v>
      </c>
      <c r="T198" s="139">
        <f t="shared" si="59"/>
        <v>0.64</v>
      </c>
      <c r="U198" s="139">
        <f t="shared" si="59"/>
        <v>0.64</v>
      </c>
      <c r="V198" s="139">
        <f t="shared" si="59"/>
        <v>0.64</v>
      </c>
      <c r="W198" s="139">
        <f t="shared" si="59"/>
        <v>0.64</v>
      </c>
      <c r="X198" s="139">
        <f t="shared" si="59"/>
        <v>0.64</v>
      </c>
      <c r="Y198" s="139">
        <f t="shared" si="59"/>
        <v>0.64</v>
      </c>
      <c r="Z198" s="139">
        <f t="shared" si="59"/>
        <v>0.64</v>
      </c>
      <c r="AA198" s="139">
        <f t="shared" si="59"/>
        <v>0.64</v>
      </c>
      <c r="AB198" s="139">
        <f t="shared" si="59"/>
        <v>0.64</v>
      </c>
      <c r="AC198" s="139">
        <f t="shared" si="59"/>
        <v>0.64</v>
      </c>
      <c r="AD198" s="139">
        <f t="shared" si="59"/>
        <v>0.64</v>
      </c>
      <c r="AE198" s="139">
        <f t="shared" si="59"/>
        <v>0.64</v>
      </c>
      <c r="AF198" s="139">
        <f t="shared" si="59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60">SUM(D193:D198)</f>
        <v>3.54</v>
      </c>
      <c r="E199" s="142">
        <f t="shared" si="60"/>
        <v>3.54</v>
      </c>
      <c r="F199" s="142">
        <f t="shared" si="60"/>
        <v>3.54</v>
      </c>
      <c r="G199" s="142">
        <f t="shared" si="60"/>
        <v>3.54</v>
      </c>
      <c r="H199" s="142">
        <f t="shared" si="60"/>
        <v>3.54</v>
      </c>
      <c r="I199" s="142">
        <f t="shared" si="60"/>
        <v>3.54</v>
      </c>
      <c r="J199" s="142">
        <f t="shared" si="60"/>
        <v>3.54</v>
      </c>
      <c r="K199" s="142">
        <f t="shared" si="60"/>
        <v>3.54</v>
      </c>
      <c r="L199" s="142">
        <f t="shared" si="60"/>
        <v>3.54</v>
      </c>
      <c r="M199" s="142">
        <f>SUM(M193:M198)</f>
        <v>3.54</v>
      </c>
      <c r="N199" s="142">
        <f t="shared" ref="N199:S199" si="61">SUM(N193:N198)</f>
        <v>3.54</v>
      </c>
      <c r="O199" s="142">
        <f t="shared" si="61"/>
        <v>3.54</v>
      </c>
      <c r="P199" s="142">
        <f t="shared" si="61"/>
        <v>3.54</v>
      </c>
      <c r="Q199" s="142">
        <f t="shared" si="61"/>
        <v>3.54</v>
      </c>
      <c r="R199" s="142">
        <f t="shared" si="61"/>
        <v>3.54</v>
      </c>
      <c r="S199" s="142">
        <f t="shared" si="61"/>
        <v>3.54</v>
      </c>
      <c r="T199" s="142">
        <f>SUM(T193:T198)</f>
        <v>3.54</v>
      </c>
      <c r="U199" s="142">
        <f t="shared" ref="U199:AG199" si="62">SUM(U193:U198)</f>
        <v>3.54</v>
      </c>
      <c r="V199" s="142">
        <f t="shared" si="62"/>
        <v>3.54</v>
      </c>
      <c r="W199" s="142">
        <f t="shared" si="62"/>
        <v>3.54</v>
      </c>
      <c r="X199" s="142">
        <f t="shared" si="62"/>
        <v>3.54</v>
      </c>
      <c r="Y199" s="142">
        <f t="shared" si="62"/>
        <v>3.54</v>
      </c>
      <c r="Z199" s="142">
        <f t="shared" si="62"/>
        <v>3.54</v>
      </c>
      <c r="AA199" s="142">
        <f t="shared" si="62"/>
        <v>3.54</v>
      </c>
      <c r="AB199" s="142">
        <f t="shared" si="62"/>
        <v>3.54</v>
      </c>
      <c r="AC199" s="142">
        <f t="shared" si="62"/>
        <v>3.54</v>
      </c>
      <c r="AD199" s="142">
        <f t="shared" si="62"/>
        <v>3.54</v>
      </c>
      <c r="AE199" s="142">
        <f t="shared" si="62"/>
        <v>3.54</v>
      </c>
      <c r="AF199" s="142">
        <f t="shared" si="62"/>
        <v>3.54</v>
      </c>
      <c r="AG199" s="143">
        <f t="shared" si="62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1545.54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2078/08/13)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2078/08/13)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3">B75</f>
        <v>959.94</v>
      </c>
      <c r="U213" s="167">
        <f t="shared" si="63"/>
        <v>916.24</v>
      </c>
      <c r="V213" s="167">
        <f t="shared" si="63"/>
        <v>915.74</v>
      </c>
      <c r="W213" s="167">
        <f t="shared" si="63"/>
        <v>891.04</v>
      </c>
      <c r="X213" s="167">
        <f t="shared" si="63"/>
        <v>939.04000000000008</v>
      </c>
      <c r="Y213" s="167">
        <f t="shared" si="63"/>
        <v>1021.84</v>
      </c>
      <c r="Z213" s="167">
        <f t="shared" si="63"/>
        <v>1093.94</v>
      </c>
      <c r="AA213" s="167">
        <f t="shared" si="63"/>
        <v>1175.1400000000001</v>
      </c>
      <c r="AB213" s="167">
        <f t="shared" si="63"/>
        <v>1272.1400000000001</v>
      </c>
      <c r="AC213" s="167">
        <f t="shared" si="63"/>
        <v>1409.8400000000001</v>
      </c>
      <c r="AD213" s="167">
        <f t="shared" si="63"/>
        <v>1537.8400000000001</v>
      </c>
      <c r="AE213" s="167">
        <f t="shared" si="63"/>
        <v>1545.54</v>
      </c>
      <c r="AF213" s="167">
        <f t="shared" si="63"/>
        <v>1454.54</v>
      </c>
      <c r="AG213" s="167">
        <f t="shared" si="63"/>
        <v>1443.94</v>
      </c>
      <c r="AH213" s="167">
        <f t="shared" si="63"/>
        <v>1362.04</v>
      </c>
      <c r="AI213" s="167">
        <f t="shared" si="63"/>
        <v>1332.24</v>
      </c>
      <c r="AJ213" s="167">
        <f t="shared" si="63"/>
        <v>1329.6399999999999</v>
      </c>
      <c r="AK213" s="167">
        <f t="shared" si="63"/>
        <v>1317.1399999999999</v>
      </c>
      <c r="AL213" s="167">
        <f t="shared" si="63"/>
        <v>1340.7399999999998</v>
      </c>
      <c r="AM213" s="167">
        <f t="shared" si="63"/>
        <v>1354.34</v>
      </c>
      <c r="AN213" s="167">
        <f t="shared" si="63"/>
        <v>1483.74</v>
      </c>
      <c r="AO213" s="167">
        <f t="shared" si="63"/>
        <v>1579.74</v>
      </c>
      <c r="AP213" s="167">
        <f t="shared" si="63"/>
        <v>1676.6399999999999</v>
      </c>
      <c r="AQ213" s="167">
        <f t="shared" si="63"/>
        <v>1605.6399999999999</v>
      </c>
      <c r="AR213" s="167">
        <f t="shared" si="63"/>
        <v>1529.54</v>
      </c>
      <c r="AS213" s="167">
        <f t="shared" si="63"/>
        <v>1485.94</v>
      </c>
      <c r="AT213" s="167">
        <f t="shared" si="63"/>
        <v>1437.64</v>
      </c>
      <c r="AU213" s="167">
        <f t="shared" si="63"/>
        <v>1350.64</v>
      </c>
      <c r="AV213" s="167">
        <f t="shared" si="63"/>
        <v>1196.02</v>
      </c>
      <c r="AW213" s="167">
        <f t="shared" si="63"/>
        <v>1076.04</v>
      </c>
      <c r="AX213" s="167">
        <f t="shared" si="63"/>
        <v>962.54000000000008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4">C198</f>
        <v>0.64</v>
      </c>
      <c r="C234" s="170">
        <f t="shared" si="64"/>
        <v>0.64</v>
      </c>
      <c r="D234" s="170">
        <f t="shared" si="64"/>
        <v>0.64</v>
      </c>
      <c r="E234" s="170">
        <f t="shared" si="64"/>
        <v>0.64</v>
      </c>
      <c r="F234" s="170">
        <f t="shared" si="64"/>
        <v>0.64</v>
      </c>
      <c r="G234" s="170">
        <f t="shared" si="64"/>
        <v>0.64</v>
      </c>
      <c r="H234" s="170">
        <f t="shared" si="64"/>
        <v>0.64</v>
      </c>
      <c r="I234" s="170">
        <f t="shared" si="64"/>
        <v>0.64</v>
      </c>
      <c r="J234" s="170">
        <f t="shared" si="64"/>
        <v>0.64</v>
      </c>
      <c r="K234" s="170">
        <f t="shared" si="64"/>
        <v>0.64</v>
      </c>
      <c r="L234" s="170">
        <f t="shared" si="64"/>
        <v>0.64</v>
      </c>
      <c r="M234" s="170">
        <f t="shared" si="64"/>
        <v>0.64</v>
      </c>
      <c r="N234" s="170">
        <f t="shared" si="64"/>
        <v>0.64</v>
      </c>
      <c r="O234" s="170">
        <f t="shared" si="64"/>
        <v>0.64</v>
      </c>
      <c r="P234" s="170">
        <f t="shared" si="64"/>
        <v>0.64</v>
      </c>
      <c r="Q234" s="170">
        <f t="shared" si="64"/>
        <v>0.64</v>
      </c>
      <c r="R234" s="170">
        <f t="shared" si="64"/>
        <v>0.64</v>
      </c>
      <c r="S234" s="170">
        <f t="shared" si="64"/>
        <v>0.64</v>
      </c>
      <c r="T234" s="170">
        <f t="shared" si="64"/>
        <v>0.64</v>
      </c>
      <c r="U234" s="170">
        <f t="shared" si="64"/>
        <v>0.64</v>
      </c>
      <c r="V234" s="170">
        <f t="shared" si="64"/>
        <v>0.64</v>
      </c>
      <c r="W234" s="170">
        <f t="shared" si="64"/>
        <v>0.64</v>
      </c>
      <c r="X234" s="170">
        <f t="shared" si="64"/>
        <v>0.64</v>
      </c>
      <c r="Y234" s="170">
        <f t="shared" si="64"/>
        <v>0.64</v>
      </c>
      <c r="Z234" s="170">
        <f t="shared" si="64"/>
        <v>0.64</v>
      </c>
      <c r="AA234" s="170">
        <f t="shared" si="64"/>
        <v>0.64</v>
      </c>
      <c r="AB234" s="170">
        <f t="shared" si="64"/>
        <v>0.64</v>
      </c>
      <c r="AC234" s="170">
        <f t="shared" si="64"/>
        <v>0.64</v>
      </c>
      <c r="AD234" s="170">
        <f t="shared" si="64"/>
        <v>0.64</v>
      </c>
      <c r="AE234" s="170">
        <f t="shared" si="64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5">IF(C202&lt;100,"",C202-520)</f>
        <v/>
      </c>
      <c r="D235" s="115" t="str">
        <f t="shared" si="65"/>
        <v/>
      </c>
      <c r="E235" s="115" t="str">
        <f t="shared" si="65"/>
        <v/>
      </c>
      <c r="F235" s="115" t="str">
        <f t="shared" si="65"/>
        <v/>
      </c>
      <c r="G235" s="115" t="str">
        <f t="shared" si="65"/>
        <v/>
      </c>
      <c r="H235" s="115" t="str">
        <f t="shared" si="65"/>
        <v/>
      </c>
      <c r="I235" s="115" t="str">
        <f t="shared" si="65"/>
        <v/>
      </c>
      <c r="J235" s="115" t="str">
        <f t="shared" si="65"/>
        <v/>
      </c>
      <c r="K235" s="115" t="str">
        <f t="shared" si="65"/>
        <v/>
      </c>
      <c r="L235" s="115" t="str">
        <f t="shared" si="65"/>
        <v/>
      </c>
      <c r="M235" s="115" t="str">
        <f t="shared" si="65"/>
        <v/>
      </c>
      <c r="N235" s="115" t="str">
        <f t="shared" si="65"/>
        <v/>
      </c>
      <c r="O235" s="115" t="str">
        <f t="shared" si="65"/>
        <v/>
      </c>
      <c r="P235" s="115" t="str">
        <f t="shared" si="65"/>
        <v/>
      </c>
      <c r="Q235" s="115" t="str">
        <f t="shared" si="65"/>
        <v/>
      </c>
      <c r="R235" s="115" t="str">
        <f t="shared" si="65"/>
        <v/>
      </c>
      <c r="S235" s="115" t="str">
        <f t="shared" si="65"/>
        <v/>
      </c>
      <c r="T235" s="115" t="str">
        <f t="shared" si="65"/>
        <v/>
      </c>
      <c r="U235" s="115" t="str">
        <f t="shared" si="65"/>
        <v/>
      </c>
      <c r="V235" s="115" t="str">
        <f t="shared" si="65"/>
        <v/>
      </c>
      <c r="W235" s="115" t="str">
        <f t="shared" si="65"/>
        <v/>
      </c>
      <c r="X235" s="115" t="str">
        <f t="shared" si="65"/>
        <v/>
      </c>
      <c r="Y235" s="115" t="str">
        <f t="shared" si="65"/>
        <v/>
      </c>
      <c r="Z235" s="115" t="str">
        <f t="shared" si="65"/>
        <v/>
      </c>
      <c r="AA235" s="115" t="str">
        <f t="shared" si="65"/>
        <v/>
      </c>
      <c r="AB235" s="115" t="str">
        <f t="shared" si="65"/>
        <v/>
      </c>
      <c r="AC235" s="115" t="str">
        <f t="shared" si="65"/>
        <v/>
      </c>
      <c r="AD235" s="115" t="str">
        <f t="shared" si="65"/>
        <v/>
      </c>
      <c r="AE235" s="115" t="str">
        <f t="shared" si="65"/>
        <v/>
      </c>
      <c r="AF235" s="115" t="str">
        <f t="shared" si="65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6">IF(B203&lt;100,"",B203-620)</f>
        <v/>
      </c>
      <c r="C236" s="115" t="str">
        <f t="shared" si="66"/>
        <v/>
      </c>
      <c r="D236" s="115" t="str">
        <f t="shared" si="66"/>
        <v/>
      </c>
      <c r="E236" s="115" t="str">
        <f t="shared" si="66"/>
        <v/>
      </c>
      <c r="F236" s="115" t="str">
        <f t="shared" si="66"/>
        <v/>
      </c>
      <c r="G236" s="115" t="str">
        <f t="shared" si="66"/>
        <v/>
      </c>
      <c r="H236" s="115" t="str">
        <f t="shared" si="66"/>
        <v/>
      </c>
      <c r="I236" s="115" t="str">
        <f t="shared" si="66"/>
        <v/>
      </c>
      <c r="J236" s="115" t="str">
        <f t="shared" si="66"/>
        <v/>
      </c>
      <c r="K236" s="115" t="str">
        <f t="shared" si="66"/>
        <v/>
      </c>
      <c r="L236" s="115" t="str">
        <f t="shared" si="66"/>
        <v/>
      </c>
      <c r="M236" s="115" t="str">
        <f t="shared" si="66"/>
        <v/>
      </c>
      <c r="N236" s="115" t="str">
        <f t="shared" si="66"/>
        <v/>
      </c>
      <c r="O236" s="115" t="str">
        <f t="shared" si="66"/>
        <v/>
      </c>
      <c r="P236" s="115" t="str">
        <f t="shared" si="66"/>
        <v/>
      </c>
      <c r="Q236" s="115" t="str">
        <f t="shared" si="66"/>
        <v/>
      </c>
      <c r="R236" s="115" t="str">
        <f t="shared" si="66"/>
        <v/>
      </c>
      <c r="S236" s="115" t="str">
        <f t="shared" si="66"/>
        <v/>
      </c>
      <c r="T236" s="115" t="str">
        <f t="shared" si="66"/>
        <v/>
      </c>
      <c r="U236" s="115" t="str">
        <f t="shared" si="66"/>
        <v/>
      </c>
      <c r="V236" s="115" t="str">
        <f t="shared" si="66"/>
        <v/>
      </c>
      <c r="W236" s="115" t="str">
        <f t="shared" si="66"/>
        <v/>
      </c>
      <c r="X236" s="115" t="str">
        <f t="shared" si="66"/>
        <v/>
      </c>
      <c r="Y236" s="115" t="str">
        <f t="shared" si="66"/>
        <v/>
      </c>
      <c r="Z236" s="115" t="str">
        <f t="shared" si="66"/>
        <v/>
      </c>
      <c r="AA236" s="115" t="str">
        <f t="shared" si="66"/>
        <v/>
      </c>
      <c r="AB236" s="115" t="str">
        <f t="shared" si="66"/>
        <v/>
      </c>
      <c r="AC236" s="115" t="str">
        <f t="shared" si="66"/>
        <v/>
      </c>
      <c r="AD236" s="115" t="str">
        <f t="shared" si="66"/>
        <v/>
      </c>
      <c r="AE236" s="115" t="str">
        <f t="shared" si="66"/>
        <v/>
      </c>
      <c r="AF236" s="115" t="str">
        <f t="shared" si="66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7">IF(B204&lt;100,"",B204-330)</f>
        <v/>
      </c>
      <c r="C237" s="115" t="str">
        <f t="shared" si="67"/>
        <v/>
      </c>
      <c r="D237" s="115" t="str">
        <f t="shared" si="67"/>
        <v/>
      </c>
      <c r="E237" s="115" t="str">
        <f t="shared" si="67"/>
        <v/>
      </c>
      <c r="F237" s="115" t="str">
        <f t="shared" si="67"/>
        <v/>
      </c>
      <c r="G237" s="115" t="str">
        <f t="shared" si="67"/>
        <v/>
      </c>
      <c r="H237" s="115" t="str">
        <f t="shared" si="67"/>
        <v/>
      </c>
      <c r="I237" s="115" t="str">
        <f t="shared" si="67"/>
        <v/>
      </c>
      <c r="J237" s="115" t="str">
        <f t="shared" si="67"/>
        <v/>
      </c>
      <c r="K237" s="115" t="str">
        <f t="shared" si="67"/>
        <v/>
      </c>
      <c r="L237" s="115" t="str">
        <f t="shared" si="67"/>
        <v/>
      </c>
      <c r="M237" s="115" t="str">
        <f t="shared" si="67"/>
        <v/>
      </c>
      <c r="N237" s="115" t="str">
        <f t="shared" si="67"/>
        <v/>
      </c>
      <c r="O237" s="115" t="str">
        <f t="shared" si="67"/>
        <v/>
      </c>
      <c r="P237" s="115" t="str">
        <f t="shared" si="67"/>
        <v/>
      </c>
      <c r="Q237" s="115" t="str">
        <f t="shared" si="67"/>
        <v/>
      </c>
      <c r="R237" s="115" t="str">
        <f t="shared" si="67"/>
        <v/>
      </c>
      <c r="S237" s="115" t="str">
        <f t="shared" si="67"/>
        <v/>
      </c>
      <c r="T237" s="115" t="str">
        <f t="shared" si="67"/>
        <v/>
      </c>
      <c r="U237" s="115" t="str">
        <f t="shared" si="67"/>
        <v/>
      </c>
      <c r="V237" s="115" t="str">
        <f t="shared" si="67"/>
        <v/>
      </c>
      <c r="W237" s="115" t="str">
        <f t="shared" si="67"/>
        <v/>
      </c>
      <c r="X237" s="115" t="str">
        <f t="shared" si="67"/>
        <v/>
      </c>
      <c r="Y237" s="115" t="str">
        <f t="shared" si="67"/>
        <v/>
      </c>
      <c r="Z237" s="115" t="str">
        <f t="shared" si="67"/>
        <v/>
      </c>
      <c r="AA237" s="115" t="str">
        <f t="shared" si="67"/>
        <v/>
      </c>
      <c r="AB237" s="115" t="str">
        <f t="shared" si="67"/>
        <v/>
      </c>
      <c r="AC237" s="115" t="str">
        <f t="shared" si="67"/>
        <v/>
      </c>
      <c r="AD237" s="115" t="str">
        <f t="shared" si="67"/>
        <v/>
      </c>
      <c r="AE237" s="115" t="str">
        <f t="shared" si="67"/>
        <v/>
      </c>
      <c r="AF237" s="115" t="str">
        <f t="shared" si="67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8">IF(C205&lt;100,"",C205-1500)</f>
        <v/>
      </c>
      <c r="D238" s="115" t="str">
        <f t="shared" si="68"/>
        <v/>
      </c>
      <c r="E238" s="115" t="str">
        <f t="shared" si="68"/>
        <v/>
      </c>
      <c r="F238" s="115" t="str">
        <f t="shared" si="68"/>
        <v/>
      </c>
      <c r="G238" s="115" t="str">
        <f t="shared" si="68"/>
        <v/>
      </c>
      <c r="H238" s="115" t="str">
        <f t="shared" si="68"/>
        <v/>
      </c>
      <c r="I238" s="115" t="str">
        <f t="shared" si="68"/>
        <v/>
      </c>
      <c r="J238" s="115" t="str">
        <f t="shared" si="68"/>
        <v/>
      </c>
      <c r="K238" s="115" t="str">
        <f t="shared" si="68"/>
        <v/>
      </c>
      <c r="L238" s="115" t="str">
        <f t="shared" si="68"/>
        <v/>
      </c>
      <c r="M238" s="115" t="str">
        <f t="shared" si="68"/>
        <v/>
      </c>
      <c r="N238" s="115" t="str">
        <f t="shared" si="68"/>
        <v/>
      </c>
      <c r="O238" s="115" t="str">
        <f t="shared" si="68"/>
        <v/>
      </c>
      <c r="P238" s="115" t="str">
        <f t="shared" si="68"/>
        <v/>
      </c>
      <c r="Q238" s="115" t="str">
        <f t="shared" si="68"/>
        <v/>
      </c>
      <c r="R238" s="115" t="str">
        <f t="shared" si="68"/>
        <v/>
      </c>
      <c r="S238" s="115" t="str">
        <f t="shared" si="68"/>
        <v/>
      </c>
      <c r="T238" s="115" t="str">
        <f t="shared" si="68"/>
        <v/>
      </c>
      <c r="U238" s="115" t="str">
        <f t="shared" si="68"/>
        <v/>
      </c>
      <c r="V238" s="115" t="str">
        <f t="shared" si="68"/>
        <v/>
      </c>
      <c r="W238" s="115" t="str">
        <f t="shared" si="68"/>
        <v/>
      </c>
      <c r="X238" s="115" t="str">
        <f t="shared" si="68"/>
        <v/>
      </c>
      <c r="Y238" s="115" t="str">
        <f t="shared" si="68"/>
        <v/>
      </c>
      <c r="Z238" s="115" t="str">
        <f t="shared" si="68"/>
        <v/>
      </c>
      <c r="AA238" s="115" t="str">
        <f t="shared" si="68"/>
        <v/>
      </c>
      <c r="AB238" s="115" t="str">
        <f t="shared" si="68"/>
        <v/>
      </c>
      <c r="AC238" s="115" t="str">
        <f t="shared" si="68"/>
        <v/>
      </c>
      <c r="AD238" s="115" t="str">
        <f t="shared" si="68"/>
        <v/>
      </c>
      <c r="AE238" s="115" t="str">
        <f t="shared" si="68"/>
        <v/>
      </c>
      <c r="AF238" s="115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C57:L59 N62:N67 P39:R39 O61:O67 P60:R67 R40:T41 M58:R59 AB81:AF81 B81:R81 C56:AF56 B82:AF83 D193:AF199 B193:B199 B84:B91 B9:AF10 B191:AF191 B53:B56 AG73 B94:B99 U212:AF212 B68:AF80 J60:O60 J61:N61 D60:I61 D63:L67 M65:M67 N39:Q42 R42:S42 S58:T67 M37:W37 O16:W16 O12:W14 N45:W48 U58:W59 U62:W67 T40:Z42 M53:AF55 X85:AA91 AC94:AF99 N11:AF11 X18:AF30 X36:AF36 Z40:AF43 AB84:AF91">
    <cfRule type="expression" dxfId="5819" priority="318">
      <formula>B$9&gt;=20/24</formula>
    </cfRule>
    <cfRule type="expression" dxfId="5818" priority="319">
      <formula>AND(B$9&gt;=14/24,B$9&lt;20/24)</formula>
    </cfRule>
    <cfRule type="expression" dxfId="5817" priority="320">
      <formula>AND(B$9&gt;=8/24,B$9&lt;14/24)</formula>
    </cfRule>
    <cfRule type="expression" dxfId="5816" priority="321">
      <formula>B$9&lt;8/24</formula>
    </cfRule>
  </conditionalFormatting>
  <conditionalFormatting sqref="AL4:AL6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S68 M57:T57">
    <cfRule type="expression" dxfId="5815" priority="313">
      <formula>M$9&gt;=20/24</formula>
    </cfRule>
    <cfRule type="expression" dxfId="5814" priority="314">
      <formula>AND(M$9&gt;=14/24,M$9&lt;20/24)</formula>
    </cfRule>
    <cfRule type="expression" dxfId="5813" priority="315">
      <formula>AND(M$9&gt;=8/24,M$9&lt;14/24)</formula>
    </cfRule>
    <cfRule type="expression" dxfId="5812" priority="316">
      <formula>M$9&lt;8/24</formula>
    </cfRule>
  </conditionalFormatting>
  <conditionalFormatting sqref="N43:V43">
    <cfRule type="expression" dxfId="5811" priority="309">
      <formula>N$9&gt;=20/24</formula>
    </cfRule>
    <cfRule type="expression" dxfId="5810" priority="310">
      <formula>AND(N$9&gt;=14/24,N$9&lt;20/24)</formula>
    </cfRule>
    <cfRule type="expression" dxfId="5809" priority="311">
      <formula>AND(N$9&gt;=8/24,N$9&lt;14/24)</formula>
    </cfRule>
    <cfRule type="expression" dxfId="5808" priority="312">
      <formula>N$9&lt;8/24</formula>
    </cfRule>
  </conditionalFormatting>
  <conditionalFormatting sqref="S39:AE39">
    <cfRule type="expression" dxfId="5807" priority="301">
      <formula>S$9&gt;=20/24</formula>
    </cfRule>
    <cfRule type="expression" dxfId="5806" priority="302">
      <formula>AND(S$9&gt;=14/24,S$9&lt;20/24)</formula>
    </cfRule>
    <cfRule type="expression" dxfId="5805" priority="303">
      <formula>AND(S$9&gt;=8/24,S$9&lt;14/24)</formula>
    </cfRule>
    <cfRule type="expression" dxfId="5804" priority="304">
      <formula>S$9&lt;8/24</formula>
    </cfRule>
  </conditionalFormatting>
  <conditionalFormatting sqref="U57:AF57">
    <cfRule type="expression" dxfId="5803" priority="297">
      <formula>U$9&gt;=20/24</formula>
    </cfRule>
    <cfRule type="expression" dxfId="5802" priority="298">
      <formula>AND(U$9&gt;=14/24,U$9&lt;20/24)</formula>
    </cfRule>
    <cfRule type="expression" dxfId="5801" priority="299">
      <formula>AND(U$9&gt;=8/24,U$9&lt;14/24)</formula>
    </cfRule>
    <cfRule type="expression" dxfId="5800" priority="300">
      <formula>U$9&lt;8/24</formula>
    </cfRule>
  </conditionalFormatting>
  <conditionalFormatting sqref="S81:AA81">
    <cfRule type="expression" dxfId="5799" priority="293">
      <formula>S$9&gt;=20/24</formula>
    </cfRule>
    <cfRule type="expression" dxfId="5798" priority="294">
      <formula>AND(S$9&gt;=14/24,S$9&lt;20/24)</formula>
    </cfRule>
    <cfRule type="expression" dxfId="5797" priority="295">
      <formula>AND(S$9&gt;=8/24,S$9&lt;14/24)</formula>
    </cfRule>
    <cfRule type="expression" dxfId="5796" priority="296">
      <formula>S$9&lt;8/24</formula>
    </cfRule>
  </conditionalFormatting>
  <conditionalFormatting sqref="U84:AA84">
    <cfRule type="expression" dxfId="5795" priority="289">
      <formula>U$9&gt;=20/24</formula>
    </cfRule>
    <cfRule type="expression" dxfId="5794" priority="290">
      <formula>AND(U$9&gt;=14/24,U$9&lt;20/24)</formula>
    </cfRule>
    <cfRule type="expression" dxfId="5793" priority="291">
      <formula>AND(U$9&gt;=8/24,U$9&lt;14/24)</formula>
    </cfRule>
    <cfRule type="expression" dxfId="5792" priority="292">
      <formula>U$9&lt;8/24</formula>
    </cfRule>
  </conditionalFormatting>
  <conditionalFormatting sqref="N49:W49">
    <cfRule type="expression" dxfId="5791" priority="281">
      <formula>N$9&gt;=20/24</formula>
    </cfRule>
    <cfRule type="expression" dxfId="5790" priority="282">
      <formula>AND(N$9&gt;=14/24,N$9&lt;20/24)</formula>
    </cfRule>
    <cfRule type="expression" dxfId="5789" priority="283">
      <formula>AND(N$9&gt;=8/24,N$9&lt;14/24)</formula>
    </cfRule>
    <cfRule type="expression" dxfId="5788" priority="284">
      <formula>N$9&lt;8/24</formula>
    </cfRule>
  </conditionalFormatting>
  <conditionalFormatting sqref="N50:W50">
    <cfRule type="expression" dxfId="5787" priority="277">
      <formula>N$9&gt;=20/24</formula>
    </cfRule>
    <cfRule type="expression" dxfId="5786" priority="278">
      <formula>AND(N$9&gt;=14/24,N$9&lt;20/24)</formula>
    </cfRule>
    <cfRule type="expression" dxfId="5785" priority="279">
      <formula>AND(N$9&gt;=8/24,N$9&lt;14/24)</formula>
    </cfRule>
    <cfRule type="expression" dxfId="5784" priority="280">
      <formula>N$9&lt;8/24</formula>
    </cfRule>
  </conditionalFormatting>
  <conditionalFormatting sqref="N45:W48">
    <cfRule type="expression" dxfId="5783" priority="273">
      <formula>N$9&gt;=20/24</formula>
    </cfRule>
    <cfRule type="expression" dxfId="5782" priority="274">
      <formula>AND(N$9&gt;=14/24,N$9&lt;20/24)</formula>
    </cfRule>
    <cfRule type="expression" dxfId="5781" priority="275">
      <formula>AND(N$9&gt;=8/24,N$9&lt;14/24)</formula>
    </cfRule>
    <cfRule type="expression" dxfId="5780" priority="276">
      <formula>N$9&lt;8/24</formula>
    </cfRule>
  </conditionalFormatting>
  <conditionalFormatting sqref="X37:AF37">
    <cfRule type="expression" dxfId="5779" priority="269">
      <formula>X$9&gt;=20/24</formula>
    </cfRule>
    <cfRule type="expression" dxfId="5778" priority="270">
      <formula>AND(X$9&gt;=14/24,X$9&lt;20/24)</formula>
    </cfRule>
    <cfRule type="expression" dxfId="5777" priority="271">
      <formula>AND(X$9&gt;=8/24,X$9&lt;14/24)</formula>
    </cfRule>
    <cfRule type="expression" dxfId="5776" priority="272">
      <formula>X$9&lt;8/24</formula>
    </cfRule>
  </conditionalFormatting>
  <conditionalFormatting sqref="X31:AF32 X35:AF35">
    <cfRule type="expression" dxfId="5775" priority="265">
      <formula>X$9&gt;=20/24</formula>
    </cfRule>
    <cfRule type="expression" dxfId="5774" priority="266">
      <formula>AND(X$9&gt;=14/24,X$9&lt;20/24)</formula>
    </cfRule>
    <cfRule type="expression" dxfId="5773" priority="267">
      <formula>AND(X$9&gt;=8/24,X$9&lt;14/24)</formula>
    </cfRule>
    <cfRule type="expression" dxfId="5772" priority="268">
      <formula>X$9&lt;8/24</formula>
    </cfRule>
  </conditionalFormatting>
  <conditionalFormatting sqref="S42:V43 U43:AF43 S45:AF48">
    <cfRule type="expression" dxfId="5771" priority="261">
      <formula>S$9&gt;=20/24</formula>
    </cfRule>
    <cfRule type="expression" dxfId="5770" priority="262">
      <formula>AND(S$9&gt;=14/24,S$9&lt;20/24)</formula>
    </cfRule>
    <cfRule type="expression" dxfId="5769" priority="263">
      <formula>AND(S$9&gt;=8/24,S$9&lt;14/24)</formula>
    </cfRule>
    <cfRule type="expression" dxfId="5768" priority="264">
      <formula>S$9&lt;8/24</formula>
    </cfRule>
  </conditionalFormatting>
  <conditionalFormatting sqref="S49:AF49">
    <cfRule type="expression" dxfId="5767" priority="257">
      <formula>S$9&gt;=20/24</formula>
    </cfRule>
    <cfRule type="expression" dxfId="5766" priority="258">
      <formula>AND(S$9&gt;=14/24,S$9&lt;20/24)</formula>
    </cfRule>
    <cfRule type="expression" dxfId="5765" priority="259">
      <formula>AND(S$9&gt;=8/24,S$9&lt;14/24)</formula>
    </cfRule>
    <cfRule type="expression" dxfId="5764" priority="260">
      <formula>S$9&lt;8/24</formula>
    </cfRule>
  </conditionalFormatting>
  <conditionalFormatting sqref="S50:AF50">
    <cfRule type="expression" dxfId="5763" priority="253">
      <formula>S$9&gt;=20/24</formula>
    </cfRule>
    <cfRule type="expression" dxfId="5762" priority="254">
      <formula>AND(S$9&gt;=14/24,S$9&lt;20/24)</formula>
    </cfRule>
    <cfRule type="expression" dxfId="5761" priority="255">
      <formula>AND(S$9&gt;=8/24,S$9&lt;14/24)</formula>
    </cfRule>
    <cfRule type="expression" dxfId="5760" priority="256">
      <formula>S$9&lt;8/24</formula>
    </cfRule>
  </conditionalFormatting>
  <conditionalFormatting sqref="X60:AF67">
    <cfRule type="expression" dxfId="5759" priority="249">
      <formula>X$9&gt;=20/24</formula>
    </cfRule>
    <cfRule type="expression" dxfId="5758" priority="250">
      <formula>AND(X$9&gt;=14/24,X$9&lt;20/24)</formula>
    </cfRule>
    <cfRule type="expression" dxfId="5757" priority="251">
      <formula>AND(X$9&gt;=8/24,X$9&lt;14/24)</formula>
    </cfRule>
    <cfRule type="expression" dxfId="5756" priority="252">
      <formula>X$9&lt;8/24</formula>
    </cfRule>
  </conditionalFormatting>
  <conditionalFormatting sqref="D62:L62">
    <cfRule type="expression" dxfId="5755" priority="245">
      <formula>D$9&gt;=20/24</formula>
    </cfRule>
    <cfRule type="expression" dxfId="5754" priority="246">
      <formula>AND(D$9&gt;=14/24,D$9&lt;20/24)</formula>
    </cfRule>
    <cfRule type="expression" dxfId="5753" priority="247">
      <formula>AND(D$9&gt;=8/24,D$9&lt;14/24)</formula>
    </cfRule>
    <cfRule type="expression" dxfId="5752" priority="248">
      <formula>D$9&lt;8/24</formula>
    </cfRule>
  </conditionalFormatting>
  <conditionalFormatting sqref="U94:AB97">
    <cfRule type="expression" dxfId="5751" priority="241">
      <formula>U$9&gt;=20/24</formula>
    </cfRule>
    <cfRule type="expression" dxfId="5750" priority="242">
      <formula>AND(U$9&gt;=14/24,U$9&lt;20/24)</formula>
    </cfRule>
    <cfRule type="expression" dxfId="5749" priority="243">
      <formula>AND(U$9&gt;=8/24,U$9&lt;14/24)</formula>
    </cfRule>
    <cfRule type="expression" dxfId="5748" priority="244">
      <formula>U$9&lt;8/24</formula>
    </cfRule>
  </conditionalFormatting>
  <conditionalFormatting sqref="B38:AF38 C51:AG51 C39:M44 C37:W37 O16:W16 O12:W14 B52:AF56 C11:AF11 X18:AF32 X34:AF37 N39:AF50">
    <cfRule type="expression" dxfId="5747" priority="240">
      <formula>B11&gt;$AG11</formula>
    </cfRule>
  </conditionalFormatting>
  <conditionalFormatting sqref="A100:A156 A84:A97 A11:A14 A16:A32 A45:A72 A80:A82 A74:A78 A35:A43 A169:A199">
    <cfRule type="expression" dxfId="5746" priority="239">
      <formula>$AH11=0</formula>
    </cfRule>
  </conditionalFormatting>
  <conditionalFormatting sqref="U98:AB98">
    <cfRule type="expression" dxfId="5745" priority="235">
      <formula>U$9&gt;=20/24</formula>
    </cfRule>
    <cfRule type="expression" dxfId="5744" priority="236">
      <formula>AND(U$9&gt;=14/24,U$9&lt;20/24)</formula>
    </cfRule>
    <cfRule type="expression" dxfId="5743" priority="237">
      <formula>AND(U$9&gt;=8/24,U$9&lt;14/24)</formula>
    </cfRule>
    <cfRule type="expression" dxfId="5742" priority="238">
      <formula>U$9&lt;8/24</formula>
    </cfRule>
  </conditionalFormatting>
  <conditionalFormatting sqref="A98">
    <cfRule type="expression" dxfId="5741" priority="234">
      <formula>$AH98=0</formula>
    </cfRule>
  </conditionalFormatting>
  <conditionalFormatting sqref="M62:M64">
    <cfRule type="expression" dxfId="5740" priority="222">
      <formula>M$9&gt;=20/24</formula>
    </cfRule>
    <cfRule type="expression" dxfId="5739" priority="223">
      <formula>AND(M$9&gt;=14/24,M$9&lt;20/24)</formula>
    </cfRule>
    <cfRule type="expression" dxfId="5738" priority="224">
      <formula>AND(M$9&gt;=8/24,M$9&lt;14/24)</formula>
    </cfRule>
    <cfRule type="expression" dxfId="5737" priority="225">
      <formula>M$9&lt;8/24</formula>
    </cfRule>
  </conditionalFormatting>
  <conditionalFormatting sqref="AL32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X34:AF34">
    <cfRule type="expression" dxfId="5736" priority="209">
      <formula>X$9&gt;=20/24</formula>
    </cfRule>
    <cfRule type="expression" dxfId="5735" priority="210">
      <formula>AND(X$9&gt;=14/24,X$9&lt;20/24)</formula>
    </cfRule>
    <cfRule type="expression" dxfId="5734" priority="211">
      <formula>AND(X$9&gt;=8/24,X$9&lt;14/24)</formula>
    </cfRule>
    <cfRule type="expression" dxfId="5733" priority="212">
      <formula>X$9&lt;8/24</formula>
    </cfRule>
  </conditionalFormatting>
  <conditionalFormatting sqref="A34">
    <cfRule type="expression" dxfId="5732" priority="208">
      <formula>$AH34=0</formula>
    </cfRule>
  </conditionalFormatting>
  <conditionalFormatting sqref="A83">
    <cfRule type="expression" dxfId="5731" priority="207">
      <formula>$AH83=0</formula>
    </cfRule>
  </conditionalFormatting>
  <conditionalFormatting sqref="O15:W15">
    <cfRule type="expression" dxfId="5730" priority="199">
      <formula>O$9&gt;=20/24</formula>
    </cfRule>
    <cfRule type="expression" dxfId="5729" priority="200">
      <formula>AND(O$9&gt;=14/24,O$9&lt;20/24)</formula>
    </cfRule>
    <cfRule type="expression" dxfId="5728" priority="201">
      <formula>AND(O$9&gt;=8/24,O$9&lt;14/24)</formula>
    </cfRule>
    <cfRule type="expression" dxfId="5727" priority="202">
      <formula>O$9&lt;8/24</formula>
    </cfRule>
  </conditionalFormatting>
  <conditionalFormatting sqref="O15:W15">
    <cfRule type="expression" dxfId="5726" priority="198">
      <formula>O15&gt;$AG15</formula>
    </cfRule>
  </conditionalFormatting>
  <conditionalFormatting sqref="A15">
    <cfRule type="expression" dxfId="5725" priority="197">
      <formula>$AH15=0</formula>
    </cfRule>
  </conditionalFormatting>
  <conditionalFormatting sqref="A163:A168">
    <cfRule type="expression" dxfId="5724" priority="196">
      <formula>$AH163=0</formula>
    </cfRule>
  </conditionalFormatting>
  <conditionalFormatting sqref="A157:A162">
    <cfRule type="expression" dxfId="5723" priority="195">
      <formula>$AH157=0</formula>
    </cfRule>
  </conditionalFormatting>
  <conditionalFormatting sqref="Z44:AF44">
    <cfRule type="expression" dxfId="5722" priority="191">
      <formula>Z$9&gt;=20/24</formula>
    </cfRule>
    <cfRule type="expression" dxfId="5721" priority="192">
      <formula>AND(Z$9&gt;=14/24,Z$9&lt;20/24)</formula>
    </cfRule>
    <cfRule type="expression" dxfId="5720" priority="193">
      <formula>AND(Z$9&gt;=8/24,Z$9&lt;14/24)</formula>
    </cfRule>
    <cfRule type="expression" dxfId="5719" priority="194">
      <formula>Z$9&lt;8/24</formula>
    </cfRule>
  </conditionalFormatting>
  <conditionalFormatting sqref="N44:W44">
    <cfRule type="expression" dxfId="5718" priority="187">
      <formula>N$9&gt;=20/24</formula>
    </cfRule>
    <cfRule type="expression" dxfId="5717" priority="188">
      <formula>AND(N$9&gt;=14/24,N$9&lt;20/24)</formula>
    </cfRule>
    <cfRule type="expression" dxfId="5716" priority="189">
      <formula>AND(N$9&gt;=8/24,N$9&lt;14/24)</formula>
    </cfRule>
    <cfRule type="expression" dxfId="5715" priority="190">
      <formula>N$9&lt;8/24</formula>
    </cfRule>
  </conditionalFormatting>
  <conditionalFormatting sqref="S44:AF44">
    <cfRule type="expression" dxfId="5714" priority="183">
      <formula>S$9&gt;=20/24</formula>
    </cfRule>
    <cfRule type="expression" dxfId="5713" priority="184">
      <formula>AND(S$9&gt;=14/24,S$9&lt;20/24)</formula>
    </cfRule>
    <cfRule type="expression" dxfId="5712" priority="185">
      <formula>AND(S$9&gt;=8/24,S$9&lt;14/24)</formula>
    </cfRule>
    <cfRule type="expression" dxfId="5711" priority="186">
      <formula>S$9&lt;8/24</formula>
    </cfRule>
  </conditionalFormatting>
  <conditionalFormatting sqref="A44">
    <cfRule type="expression" dxfId="5710" priority="182">
      <formula>$AH44=0</formula>
    </cfRule>
  </conditionalFormatting>
  <conditionalFormatting sqref="A79">
    <cfRule type="expression" dxfId="5709" priority="181">
      <formula>$AH79=0</formula>
    </cfRule>
  </conditionalFormatting>
  <conditionalFormatting sqref="A73">
    <cfRule type="expression" dxfId="5708" priority="180">
      <formula>$AH73=0</formula>
    </cfRule>
  </conditionalFormatting>
  <conditionalFormatting sqref="AL34:AL35 AL7:AL31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5707" priority="176">
      <formula>U$9&gt;=20/24</formula>
    </cfRule>
    <cfRule type="expression" dxfId="5706" priority="177">
      <formula>AND(U$9&gt;=14/24,U$9&lt;20/24)</formula>
    </cfRule>
    <cfRule type="expression" dxfId="5705" priority="178">
      <formula>AND(U$9&gt;=8/24,U$9&lt;14/24)</formula>
    </cfRule>
    <cfRule type="expression" dxfId="5704" priority="179">
      <formula>U$9&lt;8/24</formula>
    </cfRule>
  </conditionalFormatting>
  <conditionalFormatting sqref="U85:W91">
    <cfRule type="expression" dxfId="5703" priority="172">
      <formula>U$9&gt;=20/24</formula>
    </cfRule>
    <cfRule type="expression" dxfId="5702" priority="173">
      <formula>AND(U$9&gt;=14/24,U$9&lt;20/24)</formula>
    </cfRule>
    <cfRule type="expression" dxfId="5701" priority="174">
      <formula>AND(U$9&gt;=8/24,U$9&lt;14/24)</formula>
    </cfRule>
    <cfRule type="expression" dxfId="5700" priority="175">
      <formula>U$9&lt;8/24</formula>
    </cfRule>
  </conditionalFormatting>
  <conditionalFormatting sqref="S85:T91 C84:R91">
    <cfRule type="expression" dxfId="5699" priority="168">
      <formula>C$9&gt;=20/24</formula>
    </cfRule>
    <cfRule type="expression" dxfId="5698" priority="169">
      <formula>AND(C$9&gt;=14/24,C$9&lt;20/24)</formula>
    </cfRule>
    <cfRule type="expression" dxfId="5697" priority="170">
      <formula>AND(C$9&gt;=8/24,C$9&lt;14/24)</formula>
    </cfRule>
    <cfRule type="expression" dxfId="5696" priority="171">
      <formula>C$9&lt;8/24</formula>
    </cfRule>
  </conditionalFormatting>
  <conditionalFormatting sqref="S84:T84">
    <cfRule type="expression" dxfId="5695" priority="164">
      <formula>S$9&gt;=20/24</formula>
    </cfRule>
    <cfRule type="expression" dxfId="5694" priority="165">
      <formula>AND(S$9&gt;=14/24,S$9&lt;20/24)</formula>
    </cfRule>
    <cfRule type="expression" dxfId="5693" priority="166">
      <formula>AND(S$9&gt;=8/24,S$9&lt;14/24)</formula>
    </cfRule>
    <cfRule type="expression" dxfId="5692" priority="167">
      <formula>S$9&lt;8/24</formula>
    </cfRule>
  </conditionalFormatting>
  <conditionalFormatting sqref="C94:F94 C95:P97">
    <cfRule type="expression" dxfId="5691" priority="160">
      <formula>C$9&gt;=20/24</formula>
    </cfRule>
    <cfRule type="expression" dxfId="5690" priority="161">
      <formula>AND(C$9&gt;=14/24,C$9&lt;20/24)</formula>
    </cfRule>
    <cfRule type="expression" dxfId="5689" priority="162">
      <formula>AND(C$9&gt;=8/24,C$9&lt;14/24)</formula>
    </cfRule>
    <cfRule type="expression" dxfId="5688" priority="163">
      <formula>C$9&lt;8/24</formula>
    </cfRule>
  </conditionalFormatting>
  <conditionalFormatting sqref="Q94:R97">
    <cfRule type="expression" dxfId="5687" priority="156">
      <formula>Q$9&gt;=20/24</formula>
    </cfRule>
    <cfRule type="expression" dxfId="5686" priority="157">
      <formula>AND(Q$9&gt;=14/24,Q$9&lt;20/24)</formula>
    </cfRule>
    <cfRule type="expression" dxfId="5685" priority="158">
      <formula>AND(Q$9&gt;=8/24,Q$9&lt;14/24)</formula>
    </cfRule>
    <cfRule type="expression" dxfId="5684" priority="159">
      <formula>Q$9&lt;8/24</formula>
    </cfRule>
  </conditionalFormatting>
  <conditionalFormatting sqref="S94:T97">
    <cfRule type="expression" dxfId="5683" priority="152">
      <formula>S$9&gt;=20/24</formula>
    </cfRule>
    <cfRule type="expression" dxfId="5682" priority="153">
      <formula>AND(S$9&gt;=14/24,S$9&lt;20/24)</formula>
    </cfRule>
    <cfRule type="expression" dxfId="5681" priority="154">
      <formula>AND(S$9&gt;=8/24,S$9&lt;14/24)</formula>
    </cfRule>
    <cfRule type="expression" dxfId="5680" priority="155">
      <formula>S$9&lt;8/24</formula>
    </cfRule>
  </conditionalFormatting>
  <conditionalFormatting sqref="C98:P98">
    <cfRule type="expression" dxfId="5679" priority="148">
      <formula>C$9&gt;=20/24</formula>
    </cfRule>
    <cfRule type="expression" dxfId="5678" priority="149">
      <formula>AND(C$9&gt;=14/24,C$9&lt;20/24)</formula>
    </cfRule>
    <cfRule type="expression" dxfId="5677" priority="150">
      <formula>AND(C$9&gt;=8/24,C$9&lt;14/24)</formula>
    </cfRule>
    <cfRule type="expression" dxfId="5676" priority="151">
      <formula>C$9&lt;8/24</formula>
    </cfRule>
  </conditionalFormatting>
  <conditionalFormatting sqref="Q98:R98">
    <cfRule type="expression" dxfId="5675" priority="144">
      <formula>Q$9&gt;=20/24</formula>
    </cfRule>
    <cfRule type="expression" dxfId="5674" priority="145">
      <formula>AND(Q$9&gt;=14/24,Q$9&lt;20/24)</formula>
    </cfRule>
    <cfRule type="expression" dxfId="5673" priority="146">
      <formula>AND(Q$9&gt;=8/24,Q$9&lt;14/24)</formula>
    </cfRule>
    <cfRule type="expression" dxfId="5672" priority="147">
      <formula>Q$9&lt;8/24</formula>
    </cfRule>
  </conditionalFormatting>
  <conditionalFormatting sqref="S98:T98">
    <cfRule type="expression" dxfId="5671" priority="140">
      <formula>S$9&gt;=20/24</formula>
    </cfRule>
    <cfRule type="expression" dxfId="5670" priority="141">
      <formula>AND(S$9&gt;=14/24,S$9&lt;20/24)</formula>
    </cfRule>
    <cfRule type="expression" dxfId="5669" priority="142">
      <formula>AND(S$9&gt;=8/24,S$9&lt;14/24)</formula>
    </cfRule>
    <cfRule type="expression" dxfId="5668" priority="143">
      <formula>S$9&lt;8/24</formula>
    </cfRule>
  </conditionalFormatting>
  <conditionalFormatting sqref="M94:P94">
    <cfRule type="expression" dxfId="5667" priority="136">
      <formula>M$9&gt;=20/24</formula>
    </cfRule>
    <cfRule type="expression" dxfId="5666" priority="137">
      <formula>AND(M$9&gt;=14/24,M$9&lt;20/24)</formula>
    </cfRule>
    <cfRule type="expression" dxfId="5665" priority="138">
      <formula>AND(M$9&gt;=8/24,M$9&lt;14/24)</formula>
    </cfRule>
    <cfRule type="expression" dxfId="5664" priority="139">
      <formula>M$9&lt;8/24</formula>
    </cfRule>
  </conditionalFormatting>
  <conditionalFormatting sqref="G94:L94">
    <cfRule type="expression" dxfId="5663" priority="132">
      <formula>G$9&gt;=20/24</formula>
    </cfRule>
    <cfRule type="expression" dxfId="5662" priority="133">
      <formula>AND(G$9&gt;=14/24,G$9&lt;20/24)</formula>
    </cfRule>
    <cfRule type="expression" dxfId="5661" priority="134">
      <formula>AND(G$9&gt;=8/24,G$9&lt;14/24)</formula>
    </cfRule>
    <cfRule type="expression" dxfId="5660" priority="135">
      <formula>G$9&lt;8/24</formula>
    </cfRule>
  </conditionalFormatting>
  <conditionalFormatting sqref="U94:W94">
    <cfRule type="expression" dxfId="5659" priority="128">
      <formula>U$9&gt;=20/24</formula>
    </cfRule>
    <cfRule type="expression" dxfId="5658" priority="129">
      <formula>AND(U$9&gt;=14/24,U$9&lt;20/24)</formula>
    </cfRule>
    <cfRule type="expression" dxfId="5657" priority="130">
      <formula>AND(U$9&gt;=8/24,U$9&lt;14/24)</formula>
    </cfRule>
    <cfRule type="expression" dxfId="5656" priority="131">
      <formula>U$9&lt;8/24</formula>
    </cfRule>
  </conditionalFormatting>
  <conditionalFormatting sqref="Q94:T94">
    <cfRule type="expression" dxfId="5655" priority="124">
      <formula>Q$9&gt;=20/24</formula>
    </cfRule>
    <cfRule type="expression" dxfId="5654" priority="125">
      <formula>AND(Q$9&gt;=14/24,Q$9&lt;20/24)</formula>
    </cfRule>
    <cfRule type="expression" dxfId="5653" priority="126">
      <formula>AND(Q$9&gt;=8/24,Q$9&lt;14/24)</formula>
    </cfRule>
    <cfRule type="expression" dxfId="5652" priority="127">
      <formula>Q$9&lt;8/24</formula>
    </cfRule>
  </conditionalFormatting>
  <conditionalFormatting sqref="U99:AB99">
    <cfRule type="expression" dxfId="5651" priority="120">
      <formula>U$9&gt;=20/24</formula>
    </cfRule>
    <cfRule type="expression" dxfId="5650" priority="121">
      <formula>AND(U$9&gt;=14/24,U$9&lt;20/24)</formula>
    </cfRule>
    <cfRule type="expression" dxfId="5649" priority="122">
      <formula>AND(U$9&gt;=8/24,U$9&lt;14/24)</formula>
    </cfRule>
    <cfRule type="expression" dxfId="5648" priority="123">
      <formula>U$9&lt;8/24</formula>
    </cfRule>
  </conditionalFormatting>
  <conditionalFormatting sqref="C99:P99">
    <cfRule type="expression" dxfId="5647" priority="116">
      <formula>C$9&gt;=20/24</formula>
    </cfRule>
    <cfRule type="expression" dxfId="5646" priority="117">
      <formula>AND(C$9&gt;=14/24,C$9&lt;20/24)</formula>
    </cfRule>
    <cfRule type="expression" dxfId="5645" priority="118">
      <formula>AND(C$9&gt;=8/24,C$9&lt;14/24)</formula>
    </cfRule>
    <cfRule type="expression" dxfId="5644" priority="119">
      <formula>C$9&lt;8/24</formula>
    </cfRule>
  </conditionalFormatting>
  <conditionalFormatting sqref="Q99:R99">
    <cfRule type="expression" dxfId="5643" priority="112">
      <formula>Q$9&gt;=20/24</formula>
    </cfRule>
    <cfRule type="expression" dxfId="5642" priority="113">
      <formula>AND(Q$9&gt;=14/24,Q$9&lt;20/24)</formula>
    </cfRule>
    <cfRule type="expression" dxfId="5641" priority="114">
      <formula>AND(Q$9&gt;=8/24,Q$9&lt;14/24)</formula>
    </cfRule>
    <cfRule type="expression" dxfId="5640" priority="115">
      <formula>Q$9&lt;8/24</formula>
    </cfRule>
  </conditionalFormatting>
  <conditionalFormatting sqref="S99:T99">
    <cfRule type="expression" dxfId="5639" priority="108">
      <formula>S$9&gt;=20/24</formula>
    </cfRule>
    <cfRule type="expression" dxfId="5638" priority="109">
      <formula>AND(S$9&gt;=14/24,S$9&lt;20/24)</formula>
    </cfRule>
    <cfRule type="expression" dxfId="5637" priority="110">
      <formula>AND(S$9&gt;=8/24,S$9&lt;14/24)</formula>
    </cfRule>
    <cfRule type="expression" dxfId="5636" priority="111">
      <formula>S$9&lt;8/24</formula>
    </cfRule>
  </conditionalFormatting>
  <conditionalFormatting sqref="X12:AF16">
    <cfRule type="expression" dxfId="5635" priority="104">
      <formula>X$9&gt;=20/24</formula>
    </cfRule>
    <cfRule type="expression" dxfId="5634" priority="105">
      <formula>AND(X$9&gt;=14/24,X$9&lt;20/24)</formula>
    </cfRule>
    <cfRule type="expression" dxfId="5633" priority="106">
      <formula>AND(X$9&gt;=8/24,X$9&lt;14/24)</formula>
    </cfRule>
    <cfRule type="expression" dxfId="5632" priority="107">
      <formula>X$9&lt;8/24</formula>
    </cfRule>
  </conditionalFormatting>
  <conditionalFormatting sqref="X17:AF17">
    <cfRule type="expression" dxfId="5631" priority="100">
      <formula>X$9&gt;=20/24</formula>
    </cfRule>
    <cfRule type="expression" dxfId="5630" priority="101">
      <formula>AND(X$9&gt;=14/24,X$9&lt;20/24)</formula>
    </cfRule>
    <cfRule type="expression" dxfId="5629" priority="102">
      <formula>AND(X$9&gt;=8/24,X$9&lt;14/24)</formula>
    </cfRule>
    <cfRule type="expression" dxfId="5628" priority="103">
      <formula>X$9&lt;8/24</formula>
    </cfRule>
  </conditionalFormatting>
  <conditionalFormatting sqref="X12:AF13">
    <cfRule type="expression" dxfId="5627" priority="96">
      <formula>X$9&gt;=20/24</formula>
    </cfRule>
    <cfRule type="expression" dxfId="5626" priority="97">
      <formula>AND(X$9&gt;=14/24,X$9&lt;20/24)</formula>
    </cfRule>
    <cfRule type="expression" dxfId="5625" priority="98">
      <formula>AND(X$9&gt;=8/24,X$9&lt;14/24)</formula>
    </cfRule>
    <cfRule type="expression" dxfId="5624" priority="99">
      <formula>X$9&lt;8/24</formula>
    </cfRule>
  </conditionalFormatting>
  <conditionalFormatting sqref="AE58:AF59">
    <cfRule type="expression" dxfId="5623" priority="92">
      <formula>AE$9&gt;=20/24</formula>
    </cfRule>
    <cfRule type="expression" dxfId="5622" priority="93">
      <formula>AND(AE$9&gt;=14/24,AE$9&lt;20/24)</formula>
    </cfRule>
    <cfRule type="expression" dxfId="5621" priority="94">
      <formula>AND(AE$9&gt;=8/24,AE$9&lt;14/24)</formula>
    </cfRule>
    <cfRule type="expression" dxfId="5620" priority="95">
      <formula>AE$9&lt;8/24</formula>
    </cfRule>
  </conditionalFormatting>
  <conditionalFormatting sqref="AL33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619" priority="325">
      <formula>C$9&gt;=20/24</formula>
    </cfRule>
    <cfRule type="expression" dxfId="5618" priority="326">
      <formula>AND(C$9&gt;=14/24,C$9&lt;20/24)</formula>
    </cfRule>
    <cfRule type="expression" dxfId="5617" priority="327">
      <formula>AND(C$9&gt;=8/24,C$9&lt;14/24)</formula>
    </cfRule>
    <cfRule type="expression" dxfId="5616" priority="328">
      <formula>C$9&lt;8/24</formula>
    </cfRule>
  </conditionalFormatting>
  <conditionalFormatting sqref="A200">
    <cfRule type="expression" dxfId="5615" priority="329">
      <formula>$AH200=0</formula>
    </cfRule>
  </conditionalFormatting>
  <conditionalFormatting sqref="AG212">
    <cfRule type="expression" dxfId="5614" priority="330">
      <formula>B$9&gt;=20/24</formula>
    </cfRule>
    <cfRule type="expression" dxfId="5613" priority="331">
      <formula>AND(B$9&gt;=14/24,B$9&lt;20/24)</formula>
    </cfRule>
    <cfRule type="expression" dxfId="5612" priority="332">
      <formula>AND(B$9&gt;=8/24,B$9&lt;14/24)</formula>
    </cfRule>
    <cfRule type="expression" dxfId="5611" priority="333">
      <formula>B$9&lt;8/24</formula>
    </cfRule>
  </conditionalFormatting>
  <conditionalFormatting sqref="S8">
    <cfRule type="expression" dxfId="5610" priority="86">
      <formula>U$9&gt;=20/24</formula>
    </cfRule>
    <cfRule type="expression" dxfId="5609" priority="87">
      <formula>AND(U$9&gt;=14/24,U$9&lt;20/24)</formula>
    </cfRule>
    <cfRule type="expression" dxfId="5608" priority="88">
      <formula>AND(U$9&gt;=8/24,U$9&lt;14/24)</formula>
    </cfRule>
    <cfRule type="expression" dxfId="5607" priority="89">
      <formula>U$9&lt;8/24</formula>
    </cfRule>
  </conditionalFormatting>
  <conditionalFormatting sqref="AB8">
    <cfRule type="expression" dxfId="5606" priority="82">
      <formula>AD$9&gt;=20/24</formula>
    </cfRule>
    <cfRule type="expression" dxfId="5605" priority="83">
      <formula>AND(AD$9&gt;=14/24,AD$9&lt;20/24)</formula>
    </cfRule>
    <cfRule type="expression" dxfId="5604" priority="84">
      <formula>AND(AD$9&gt;=8/24,AD$9&lt;14/24)</formula>
    </cfRule>
    <cfRule type="expression" dxfId="5603" priority="85">
      <formula>AD$9&lt;8/24</formula>
    </cfRule>
  </conditionalFormatting>
  <conditionalFormatting sqref="AH212:AX212">
    <cfRule type="expression" dxfId="5602" priority="334">
      <formula>AG$9&gt;=20/24</formula>
    </cfRule>
    <cfRule type="expression" dxfId="5601" priority="335">
      <formula>AND(AG$9&gt;=14/24,AG$9&lt;20/24)</formula>
    </cfRule>
    <cfRule type="expression" dxfId="5600" priority="336">
      <formula>AND(AG$9&gt;=8/24,AG$9&lt;14/24)</formula>
    </cfRule>
    <cfRule type="expression" dxfId="5599" priority="337">
      <formula>AG$9&lt;8/24</formula>
    </cfRule>
  </conditionalFormatting>
  <conditionalFormatting sqref="T212">
    <cfRule type="expression" dxfId="5598" priority="338">
      <formula>AX$9&gt;=20/24</formula>
    </cfRule>
    <cfRule type="expression" dxfId="5597" priority="339">
      <formula>AND(AX$9&gt;=14/24,AX$9&lt;20/24)</formula>
    </cfRule>
    <cfRule type="expression" dxfId="5596" priority="340">
      <formula>AND(AX$9&gt;=8/24,AX$9&lt;14/24)</formula>
    </cfRule>
    <cfRule type="expression" dxfId="5595" priority="341">
      <formula>AX$9&lt;8/24</formula>
    </cfRule>
  </conditionalFormatting>
  <conditionalFormatting sqref="A99">
    <cfRule type="expression" dxfId="5594" priority="81">
      <formula>$AH99=0</formula>
    </cfRule>
  </conditionalFormatting>
  <conditionalFormatting sqref="X33:AF33">
    <cfRule type="expression" dxfId="5593" priority="69">
      <formula>X$9&gt;=20/24</formula>
    </cfRule>
    <cfRule type="expression" dxfId="5592" priority="70">
      <formula>AND(X$9&gt;=14/24,X$9&lt;20/24)</formula>
    </cfRule>
    <cfRule type="expression" dxfId="5591" priority="71">
      <formula>AND(X$9&gt;=8/24,X$9&lt;14/24)</formula>
    </cfRule>
    <cfRule type="expression" dxfId="5590" priority="72">
      <formula>X$9&lt;8/24</formula>
    </cfRule>
  </conditionalFormatting>
  <conditionalFormatting sqref="X33:AF33">
    <cfRule type="expression" dxfId="5589" priority="68">
      <formula>X33&gt;$AG33</formula>
    </cfRule>
  </conditionalFormatting>
  <conditionalFormatting sqref="B12:N12 B36:W36 B18:W30">
    <cfRule type="expression" dxfId="5588" priority="64">
      <formula>B$9&gt;=20/24</formula>
    </cfRule>
    <cfRule type="expression" dxfId="5587" priority="65">
      <formula>AND(B$9&gt;=14/24,B$9&lt;20/24)</formula>
    </cfRule>
    <cfRule type="expression" dxfId="5586" priority="66">
      <formula>AND(B$9&gt;=8/24,B$9&lt;14/24)</formula>
    </cfRule>
    <cfRule type="expression" dxfId="5585" priority="67">
      <formula>B$9&lt;8/24</formula>
    </cfRule>
  </conditionalFormatting>
  <conditionalFormatting sqref="B31:W32 B35:W35">
    <cfRule type="expression" dxfId="5584" priority="60">
      <formula>B$9&gt;=20/24</formula>
    </cfRule>
    <cfRule type="expression" dxfId="5583" priority="61">
      <formula>AND(B$9&gt;=14/24,B$9&lt;20/24)</formula>
    </cfRule>
    <cfRule type="expression" dxfId="5582" priority="62">
      <formula>AND(B$9&gt;=8/24,B$9&lt;14/24)</formula>
    </cfRule>
    <cfRule type="expression" dxfId="5581" priority="63">
      <formula>B$9&lt;8/24</formula>
    </cfRule>
  </conditionalFormatting>
  <conditionalFormatting sqref="B11:B12 B34:B37 C12:N12 B18:W32 C34:W36">
    <cfRule type="expression" dxfId="5580" priority="59">
      <formula>B11&gt;$AG11</formula>
    </cfRule>
  </conditionalFormatting>
  <conditionalFormatting sqref="B34:W34">
    <cfRule type="expression" dxfId="5579" priority="55">
      <formula>B$9&gt;=20/24</formula>
    </cfRule>
    <cfRule type="expression" dxfId="5578" priority="56">
      <formula>AND(B$9&gt;=14/24,B$9&lt;20/24)</formula>
    </cfRule>
    <cfRule type="expression" dxfId="5577" priority="57">
      <formula>AND(B$9&gt;=8/24,B$9&lt;14/24)</formula>
    </cfRule>
    <cfRule type="expression" dxfId="5576" priority="58">
      <formula>B$9&lt;8/24</formula>
    </cfRule>
  </conditionalFormatting>
  <conditionalFormatting sqref="B13:N16">
    <cfRule type="expression" dxfId="5575" priority="51">
      <formula>B$9&gt;=20/24</formula>
    </cfRule>
    <cfRule type="expression" dxfId="5574" priority="52">
      <formula>AND(B$9&gt;=14/24,B$9&lt;20/24)</formula>
    </cfRule>
    <cfRule type="expression" dxfId="5573" priority="53">
      <formula>AND(B$9&gt;=8/24,B$9&lt;14/24)</formula>
    </cfRule>
    <cfRule type="expression" dxfId="5572" priority="54">
      <formula>B$9&lt;8/24</formula>
    </cfRule>
  </conditionalFormatting>
  <conditionalFormatting sqref="B17:W17">
    <cfRule type="expression" dxfId="5571" priority="47">
      <formula>B$9&gt;=20/24</formula>
    </cfRule>
    <cfRule type="expression" dxfId="5570" priority="48">
      <formula>AND(B$9&gt;=14/24,B$9&lt;20/24)</formula>
    </cfRule>
    <cfRule type="expression" dxfId="5569" priority="49">
      <formula>AND(B$9&gt;=8/24,B$9&lt;14/24)</formula>
    </cfRule>
    <cfRule type="expression" dxfId="5568" priority="50">
      <formula>B$9&lt;8/24</formula>
    </cfRule>
  </conditionalFormatting>
  <conditionalFormatting sqref="B13:N13">
    <cfRule type="expression" dxfId="5567" priority="43">
      <formula>B$9&gt;=20/24</formula>
    </cfRule>
    <cfRule type="expression" dxfId="5566" priority="44">
      <formula>AND(B$9&gt;=14/24,B$9&lt;20/24)</formula>
    </cfRule>
    <cfRule type="expression" dxfId="5565" priority="45">
      <formula>AND(B$9&gt;=8/24,B$9&lt;14/24)</formula>
    </cfRule>
    <cfRule type="expression" dxfId="5564" priority="46">
      <formula>B$9&lt;8/24</formula>
    </cfRule>
  </conditionalFormatting>
  <conditionalFormatting sqref="B33:W33">
    <cfRule type="expression" dxfId="5563" priority="39">
      <formula>B$9&gt;=20/24</formula>
    </cfRule>
    <cfRule type="expression" dxfId="5562" priority="40">
      <formula>AND(B$9&gt;=14/24,B$9&lt;20/24)</formula>
    </cfRule>
    <cfRule type="expression" dxfId="5561" priority="41">
      <formula>AND(B$9&gt;=8/24,B$9&lt;14/24)</formula>
    </cfRule>
    <cfRule type="expression" dxfId="5560" priority="42">
      <formula>B$9&lt;8/24</formula>
    </cfRule>
  </conditionalFormatting>
  <conditionalFormatting sqref="B33:W33">
    <cfRule type="expression" dxfId="5559" priority="38">
      <formula>B33&gt;$AG33</formula>
    </cfRule>
  </conditionalFormatting>
  <conditionalFormatting sqref="B45:M48">
    <cfRule type="expression" dxfId="5558" priority="34">
      <formula>B$9&gt;=20/24</formula>
    </cfRule>
    <cfRule type="expression" dxfId="5557" priority="35">
      <formula>AND(B$9&gt;=14/24,B$9&lt;20/24)</formula>
    </cfRule>
    <cfRule type="expression" dxfId="5556" priority="36">
      <formula>AND(B$9&gt;=8/24,B$9&lt;14/24)</formula>
    </cfRule>
    <cfRule type="expression" dxfId="5555" priority="37">
      <formula>B$9&lt;8/24</formula>
    </cfRule>
  </conditionalFormatting>
  <conditionalFormatting sqref="B49:M49">
    <cfRule type="expression" dxfId="5554" priority="30">
      <formula>B$9&gt;=20/24</formula>
    </cfRule>
    <cfRule type="expression" dxfId="5553" priority="31">
      <formula>AND(B$9&gt;=14/24,B$9&lt;20/24)</formula>
    </cfRule>
    <cfRule type="expression" dxfId="5552" priority="32">
      <formula>AND(B$9&gt;=8/24,B$9&lt;14/24)</formula>
    </cfRule>
    <cfRule type="expression" dxfId="5551" priority="33">
      <formula>B$9&lt;8/24</formula>
    </cfRule>
  </conditionalFormatting>
  <conditionalFormatting sqref="B50:M50">
    <cfRule type="expression" dxfId="5550" priority="26">
      <formula>B$9&gt;=20/24</formula>
    </cfRule>
    <cfRule type="expression" dxfId="5549" priority="27">
      <formula>AND(B$9&gt;=14/24,B$9&lt;20/24)</formula>
    </cfRule>
    <cfRule type="expression" dxfId="5548" priority="28">
      <formula>AND(B$9&gt;=8/24,B$9&lt;14/24)</formula>
    </cfRule>
    <cfRule type="expression" dxfId="5547" priority="29">
      <formula>B$9&lt;8/24</formula>
    </cfRule>
  </conditionalFormatting>
  <conditionalFormatting sqref="B39:B51 C45:M50">
    <cfRule type="expression" dxfId="5546" priority="25">
      <formula>B39&gt;$AG39</formula>
    </cfRule>
  </conditionalFormatting>
  <conditionalFormatting sqref="B44">
    <cfRule type="expression" dxfId="5545" priority="21">
      <formula>B$9&gt;=20/24</formula>
    </cfRule>
    <cfRule type="expression" dxfId="5544" priority="22">
      <formula>AND(B$9&gt;=14/24,B$9&lt;20/24)</formula>
    </cfRule>
    <cfRule type="expression" dxfId="5543" priority="23">
      <formula>AND(B$9&gt;=8/24,B$9&lt;14/24)</formula>
    </cfRule>
    <cfRule type="expression" dxfId="5542" priority="24">
      <formula>B$9&lt;8/24</formula>
    </cfRule>
  </conditionalFormatting>
  <conditionalFormatting sqref="B44">
    <cfRule type="expression" dxfId="5541" priority="17">
      <formula>B$9&gt;=20/24</formula>
    </cfRule>
    <cfRule type="expression" dxfId="5540" priority="18">
      <formula>AND(B$9&gt;=14/24,B$9&lt;20/24)</formula>
    </cfRule>
    <cfRule type="expression" dxfId="5539" priority="19">
      <formula>AND(B$9&gt;=8/24,B$9&lt;14/24)</formula>
    </cfRule>
    <cfRule type="expression" dxfId="5538" priority="20">
      <formula>B$9&lt;8/24</formula>
    </cfRule>
  </conditionalFormatting>
  <conditionalFormatting sqref="B57">
    <cfRule type="expression" dxfId="5537" priority="13">
      <formula>B$9&gt;=20/24</formula>
    </cfRule>
    <cfRule type="expression" dxfId="5536" priority="14">
      <formula>AND(B$9&gt;=14/24,B$9&lt;20/24)</formula>
    </cfRule>
    <cfRule type="expression" dxfId="5535" priority="15">
      <formula>AND(B$9&gt;=8/24,B$9&lt;14/24)</formula>
    </cfRule>
    <cfRule type="expression" dxfId="5534" priority="16">
      <formula>B$9&lt;8/24</formula>
    </cfRule>
  </conditionalFormatting>
  <conditionalFormatting sqref="B60:C67">
    <cfRule type="expression" dxfId="5533" priority="9">
      <formula>B$9&gt;=20/24</formula>
    </cfRule>
    <cfRule type="expression" dxfId="5532" priority="10">
      <formula>AND(B$9&gt;=14/24,B$9&lt;20/24)</formula>
    </cfRule>
    <cfRule type="expression" dxfId="5531" priority="11">
      <formula>AND(B$9&gt;=8/24,B$9&lt;14/24)</formula>
    </cfRule>
    <cfRule type="expression" dxfId="5530" priority="12">
      <formula>B$9&lt;8/24</formula>
    </cfRule>
  </conditionalFormatting>
  <conditionalFormatting sqref="B58:B59">
    <cfRule type="expression" dxfId="5529" priority="5">
      <formula>B$9&gt;=20/24</formula>
    </cfRule>
    <cfRule type="expression" dxfId="5528" priority="6">
      <formula>AND(B$9&gt;=14/24,B$9&lt;20/24)</formula>
    </cfRule>
    <cfRule type="expression" dxfId="5527" priority="7">
      <formula>AND(B$9&gt;=8/24,B$9&lt;14/24)</formula>
    </cfRule>
    <cfRule type="expression" dxfId="5526" priority="8">
      <formula>B$9&lt;8/24</formula>
    </cfRule>
  </conditionalFormatting>
  <conditionalFormatting sqref="M11">
    <cfRule type="expression" dxfId="5525" priority="1">
      <formula>M$9&gt;=20/24</formula>
    </cfRule>
    <cfRule type="expression" dxfId="5524" priority="2">
      <formula>AND(M$9&gt;=14/24,M$9&lt;20/24)</formula>
    </cfRule>
    <cfRule type="expression" dxfId="5523" priority="3">
      <formula>AND(M$9&gt;=8/24,M$9&lt;14/24)</formula>
    </cfRule>
    <cfRule type="expression" dxfId="5522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1" id="{959A4E97-CCF2-4D16-941C-6EA5907CF97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F28" sqref="F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2078/09/14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139</v>
      </c>
      <c r="C5" s="32">
        <f t="shared" si="0"/>
        <v>146</v>
      </c>
      <c r="D5" s="32">
        <f t="shared" si="0"/>
        <v>178</v>
      </c>
      <c r="E5" s="32">
        <f t="shared" si="0"/>
        <v>163</v>
      </c>
      <c r="F5" s="32">
        <f t="shared" si="0"/>
        <v>168</v>
      </c>
      <c r="G5" s="32">
        <f t="shared" si="0"/>
        <v>172.8</v>
      </c>
      <c r="H5" s="32">
        <f t="shared" si="0"/>
        <v>201</v>
      </c>
      <c r="I5" s="32">
        <f t="shared" si="0"/>
        <v>214</v>
      </c>
      <c r="J5" s="32">
        <f t="shared" si="0"/>
        <v>220</v>
      </c>
      <c r="K5" s="32">
        <f t="shared" si="0"/>
        <v>102</v>
      </c>
      <c r="L5" s="32">
        <f t="shared" si="0"/>
        <v>32</v>
      </c>
      <c r="M5" s="32">
        <f t="shared" si="0"/>
        <v>25</v>
      </c>
      <c r="N5" s="32">
        <f t="shared" si="0"/>
        <v>25</v>
      </c>
      <c r="O5" s="32">
        <f t="shared" si="0"/>
        <v>320</v>
      </c>
      <c r="P5" s="32">
        <f t="shared" si="0"/>
        <v>300</v>
      </c>
      <c r="Q5" s="32">
        <f t="shared" si="0"/>
        <v>330</v>
      </c>
      <c r="R5" s="32">
        <f t="shared" si="0"/>
        <v>313</v>
      </c>
      <c r="S5" s="32">
        <f t="shared" si="0"/>
        <v>150</v>
      </c>
      <c r="T5" s="32">
        <f t="shared" si="0"/>
        <v>363</v>
      </c>
      <c r="U5" s="32">
        <f t="shared" si="0"/>
        <v>125.5</v>
      </c>
      <c r="V5" s="32">
        <f t="shared" si="0"/>
        <v>183.9</v>
      </c>
      <c r="W5" s="32">
        <f t="shared" si="0"/>
        <v>235</v>
      </c>
      <c r="X5" s="32">
        <f t="shared" si="0"/>
        <v>53</v>
      </c>
      <c r="Y5" s="32">
        <f t="shared" si="0"/>
        <v>256</v>
      </c>
      <c r="Z5" s="32">
        <f t="shared" si="0"/>
        <v>257</v>
      </c>
      <c r="AA5" s="32">
        <f t="shared" si="0"/>
        <v>312.89999999999998</v>
      </c>
      <c r="AB5" s="32">
        <f t="shared" si="0"/>
        <v>289.8</v>
      </c>
      <c r="AC5" s="32">
        <f t="shared" si="0"/>
        <v>254.9</v>
      </c>
      <c r="AD5" s="32">
        <f t="shared" si="0"/>
        <v>138.4</v>
      </c>
      <c r="AE5" s="32">
        <f t="shared" si="0"/>
        <v>103.6</v>
      </c>
      <c r="AF5" s="32">
        <f>B68</f>
        <v>180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1240MW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Load=842</v>
      </c>
      <c r="B7" s="37">
        <f>B75</f>
        <v>937.04</v>
      </c>
      <c r="C7" s="37">
        <f t="shared" ref="C7:AF7" si="1">C75</f>
        <v>870.44</v>
      </c>
      <c r="D7" s="37">
        <f t="shared" si="1"/>
        <v>859.44</v>
      </c>
      <c r="E7" s="37">
        <f t="shared" si="1"/>
        <v>842.44</v>
      </c>
      <c r="F7" s="37">
        <f t="shared" si="1"/>
        <v>845.44</v>
      </c>
      <c r="G7" s="37">
        <f t="shared" si="1"/>
        <v>849.14</v>
      </c>
      <c r="H7" s="37">
        <f t="shared" si="1"/>
        <v>898.74</v>
      </c>
      <c r="I7" s="37">
        <f t="shared" si="1"/>
        <v>957.74</v>
      </c>
      <c r="J7" s="37">
        <f t="shared" si="1"/>
        <v>1009.74</v>
      </c>
      <c r="K7" s="37">
        <f t="shared" si="1"/>
        <v>1084.6399999999999</v>
      </c>
      <c r="L7" s="37">
        <f t="shared" si="1"/>
        <v>1148.74</v>
      </c>
      <c r="M7" s="37">
        <f t="shared" si="1"/>
        <v>1239.74</v>
      </c>
      <c r="N7" s="37">
        <f t="shared" si="1"/>
        <v>1230.44</v>
      </c>
      <c r="O7" s="37">
        <f t="shared" si="1"/>
        <v>1258.44</v>
      </c>
      <c r="P7" s="37">
        <f t="shared" si="1"/>
        <v>1301.1399999999999</v>
      </c>
      <c r="Q7" s="37">
        <f t="shared" si="1"/>
        <v>1308.74</v>
      </c>
      <c r="R7" s="37">
        <f t="shared" si="1"/>
        <v>1260.24</v>
      </c>
      <c r="S7" s="37">
        <f t="shared" si="1"/>
        <v>1185.8399999999999</v>
      </c>
      <c r="T7" s="37">
        <f t="shared" si="1"/>
        <v>1178.94</v>
      </c>
      <c r="U7" s="37">
        <f t="shared" si="1"/>
        <v>1257.1399999999999</v>
      </c>
      <c r="V7" s="37">
        <f t="shared" si="1"/>
        <v>1252.8399999999999</v>
      </c>
      <c r="W7" s="37">
        <f t="shared" si="1"/>
        <v>1422.44</v>
      </c>
      <c r="X7" s="37">
        <f t="shared" si="1"/>
        <v>1446.44</v>
      </c>
      <c r="Y7" s="37">
        <f t="shared" si="1"/>
        <v>1394.44</v>
      </c>
      <c r="Z7" s="37">
        <f t="shared" si="1"/>
        <v>1316.94</v>
      </c>
      <c r="AA7" s="37">
        <f t="shared" si="1"/>
        <v>1313.1399999999999</v>
      </c>
      <c r="AB7" s="37">
        <f t="shared" si="1"/>
        <v>1261.44</v>
      </c>
      <c r="AC7" s="37">
        <f t="shared" si="1"/>
        <v>1172.1399999999999</v>
      </c>
      <c r="AD7" s="37">
        <f t="shared" si="1"/>
        <v>1117.3399999999999</v>
      </c>
      <c r="AE7" s="37">
        <f t="shared" si="1"/>
        <v>953.04000000000008</v>
      </c>
      <c r="AF7" s="37">
        <f t="shared" si="1"/>
        <v>856.14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</v>
      </c>
      <c r="C11" s="49">
        <v>15</v>
      </c>
      <c r="D11" s="49">
        <v>15</v>
      </c>
      <c r="E11" s="49">
        <v>40</v>
      </c>
      <c r="F11" s="49">
        <v>60</v>
      </c>
      <c r="G11" s="49">
        <v>50</v>
      </c>
      <c r="H11" s="49">
        <v>60</v>
      </c>
      <c r="I11" s="49">
        <v>70</v>
      </c>
      <c r="J11" s="49">
        <v>70</v>
      </c>
      <c r="K11" s="49">
        <v>90</v>
      </c>
      <c r="L11" s="49">
        <v>200</v>
      </c>
      <c r="M11" s="50">
        <v>290</v>
      </c>
      <c r="N11" s="50">
        <v>290</v>
      </c>
      <c r="O11" s="50">
        <v>290</v>
      </c>
      <c r="P11" s="50">
        <v>50</v>
      </c>
      <c r="Q11" s="50">
        <v>50</v>
      </c>
      <c r="R11" s="50">
        <v>20</v>
      </c>
      <c r="S11" s="50">
        <v>20</v>
      </c>
      <c r="T11" s="50">
        <v>20</v>
      </c>
      <c r="U11" s="50">
        <v>20</v>
      </c>
      <c r="V11" s="50">
        <v>228</v>
      </c>
      <c r="W11" s="50">
        <v>305</v>
      </c>
      <c r="X11" s="50">
        <v>230</v>
      </c>
      <c r="Y11" s="50">
        <v>360</v>
      </c>
      <c r="Z11" s="52">
        <v>80</v>
      </c>
      <c r="AA11" s="50">
        <v>80</v>
      </c>
      <c r="AB11" s="50">
        <v>30</v>
      </c>
      <c r="AC11" s="50">
        <v>30</v>
      </c>
      <c r="AD11" s="50">
        <v>30</v>
      </c>
      <c r="AE11" s="50">
        <v>30</v>
      </c>
      <c r="AF11" s="49">
        <v>30</v>
      </c>
      <c r="AG11" s="53">
        <v>456</v>
      </c>
      <c r="AH11" s="54">
        <f>MAX(B11:AF11)</f>
        <v>360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46</v>
      </c>
      <c r="C12" s="49">
        <v>46</v>
      </c>
      <c r="D12" s="49">
        <v>46</v>
      </c>
      <c r="E12" s="49">
        <v>46</v>
      </c>
      <c r="F12" s="49">
        <v>46</v>
      </c>
      <c r="G12" s="49">
        <v>46</v>
      </c>
      <c r="H12" s="49">
        <v>46</v>
      </c>
      <c r="I12" s="49">
        <v>46</v>
      </c>
      <c r="J12" s="49">
        <v>46</v>
      </c>
      <c r="K12" s="49">
        <v>46</v>
      </c>
      <c r="L12" s="49">
        <v>46</v>
      </c>
      <c r="M12" s="49">
        <v>46</v>
      </c>
      <c r="N12" s="49">
        <v>46</v>
      </c>
      <c r="O12" s="49">
        <v>46</v>
      </c>
      <c r="P12" s="49">
        <v>46</v>
      </c>
      <c r="Q12" s="49">
        <v>52</v>
      </c>
      <c r="R12" s="49">
        <v>52</v>
      </c>
      <c r="S12" s="49">
        <v>52</v>
      </c>
      <c r="T12" s="49">
        <v>52</v>
      </c>
      <c r="U12" s="49">
        <v>52</v>
      </c>
      <c r="V12" s="49">
        <v>52</v>
      </c>
      <c r="W12" s="49">
        <v>52</v>
      </c>
      <c r="X12" s="58">
        <v>52</v>
      </c>
      <c r="Y12" s="58">
        <v>52</v>
      </c>
      <c r="Z12" s="58">
        <v>52</v>
      </c>
      <c r="AA12" s="58">
        <v>52</v>
      </c>
      <c r="AB12" s="50">
        <v>52</v>
      </c>
      <c r="AC12" s="50">
        <v>52</v>
      </c>
      <c r="AD12" s="50">
        <v>52</v>
      </c>
      <c r="AE12" s="50">
        <v>54</v>
      </c>
      <c r="AF12" s="49">
        <v>40</v>
      </c>
      <c r="AG12" s="59">
        <v>60</v>
      </c>
      <c r="AH12" s="54">
        <f t="shared" ref="AH12:AH75" si="2">MAX(B12:AF12)</f>
        <v>54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26.4</v>
      </c>
      <c r="C13" s="49">
        <v>26.4</v>
      </c>
      <c r="D13" s="49">
        <v>26.4</v>
      </c>
      <c r="E13" s="49">
        <v>26.4</v>
      </c>
      <c r="F13" s="49">
        <v>26.4</v>
      </c>
      <c r="G13" s="49">
        <v>26.4</v>
      </c>
      <c r="H13" s="49">
        <v>26.4</v>
      </c>
      <c r="I13" s="49">
        <v>26.4</v>
      </c>
      <c r="J13" s="49">
        <v>26.4</v>
      </c>
      <c r="K13" s="49">
        <v>26.4</v>
      </c>
      <c r="L13" s="49">
        <v>26.4</v>
      </c>
      <c r="M13" s="49">
        <v>26.4</v>
      </c>
      <c r="N13" s="49">
        <v>26.4</v>
      </c>
      <c r="O13" s="49">
        <v>26.4</v>
      </c>
      <c r="P13" s="49">
        <v>26.4</v>
      </c>
      <c r="Q13" s="49">
        <v>26.4</v>
      </c>
      <c r="R13" s="49">
        <v>26.4</v>
      </c>
      <c r="S13" s="49">
        <v>26.4</v>
      </c>
      <c r="T13" s="49">
        <v>26.4</v>
      </c>
      <c r="U13" s="49">
        <v>26.4</v>
      </c>
      <c r="V13" s="49">
        <v>26.4</v>
      </c>
      <c r="W13" s="49">
        <v>26.4</v>
      </c>
      <c r="X13" s="58">
        <v>26.4</v>
      </c>
      <c r="Y13" s="58">
        <v>26.4</v>
      </c>
      <c r="Z13" s="58">
        <v>26.4</v>
      </c>
      <c r="AA13" s="58">
        <v>26.4</v>
      </c>
      <c r="AB13" s="50">
        <v>28.5</v>
      </c>
      <c r="AC13" s="50">
        <v>28.5</v>
      </c>
      <c r="AD13" s="50">
        <v>31</v>
      </c>
      <c r="AE13" s="50">
        <v>28.7</v>
      </c>
      <c r="AF13" s="50">
        <v>28.7</v>
      </c>
      <c r="AG13" s="59">
        <v>52.4</v>
      </c>
      <c r="AH13" s="54">
        <f t="shared" si="2"/>
        <v>31</v>
      </c>
      <c r="AI13" s="55">
        <f t="shared" si="3"/>
        <v>26.4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50.8</v>
      </c>
      <c r="C14" s="49">
        <v>50.8</v>
      </c>
      <c r="D14" s="49">
        <v>50.8</v>
      </c>
      <c r="E14" s="49">
        <v>50.8</v>
      </c>
      <c r="F14" s="49">
        <v>50.8</v>
      </c>
      <c r="G14" s="49">
        <v>50.8</v>
      </c>
      <c r="H14" s="49">
        <v>50.8</v>
      </c>
      <c r="I14" s="49">
        <v>50.8</v>
      </c>
      <c r="J14" s="49">
        <v>50.8</v>
      </c>
      <c r="K14" s="49">
        <v>50.8</v>
      </c>
      <c r="L14" s="49">
        <v>50.8</v>
      </c>
      <c r="M14" s="50">
        <v>50.8</v>
      </c>
      <c r="N14" s="50">
        <v>50.8</v>
      </c>
      <c r="O14" s="50">
        <v>50.8</v>
      </c>
      <c r="P14" s="50">
        <v>50.8</v>
      </c>
      <c r="Q14" s="50">
        <v>50.7</v>
      </c>
      <c r="R14" s="50">
        <v>50.4</v>
      </c>
      <c r="S14" s="50">
        <v>50.4</v>
      </c>
      <c r="T14" s="50">
        <v>50.4</v>
      </c>
      <c r="U14" s="50">
        <v>50.4</v>
      </c>
      <c r="V14" s="50">
        <v>50.4</v>
      </c>
      <c r="W14" s="50">
        <v>50.4</v>
      </c>
      <c r="X14" s="60">
        <v>50.4</v>
      </c>
      <c r="Y14" s="60">
        <v>50.4</v>
      </c>
      <c r="Z14" s="60">
        <v>50.4</v>
      </c>
      <c r="AA14" s="60">
        <v>50.4</v>
      </c>
      <c r="AB14" s="50">
        <v>50.7</v>
      </c>
      <c r="AC14" s="50">
        <v>50.7</v>
      </c>
      <c r="AD14" s="50">
        <v>50.7</v>
      </c>
      <c r="AE14" s="50">
        <v>50.6</v>
      </c>
      <c r="AF14" s="50">
        <v>50.6</v>
      </c>
      <c r="AG14" s="59">
        <v>50</v>
      </c>
      <c r="AH14" s="54">
        <f t="shared" si="2"/>
        <v>50.8</v>
      </c>
      <c r="AI14" s="55">
        <f t="shared" si="3"/>
        <v>50.4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25</v>
      </c>
      <c r="C15" s="61">
        <v>25</v>
      </c>
      <c r="D15" s="61">
        <v>25</v>
      </c>
      <c r="E15" s="61">
        <v>25</v>
      </c>
      <c r="F15" s="61">
        <v>25</v>
      </c>
      <c r="G15" s="61">
        <v>25</v>
      </c>
      <c r="H15" s="61">
        <v>25</v>
      </c>
      <c r="I15" s="61">
        <v>25</v>
      </c>
      <c r="J15" s="61">
        <v>25</v>
      </c>
      <c r="K15" s="61">
        <v>25</v>
      </c>
      <c r="L15" s="61">
        <v>25</v>
      </c>
      <c r="M15" s="50">
        <v>25</v>
      </c>
      <c r="N15" s="50">
        <v>25</v>
      </c>
      <c r="O15" s="50">
        <v>25</v>
      </c>
      <c r="P15" s="50">
        <v>26.4</v>
      </c>
      <c r="Q15" s="50">
        <v>26.4</v>
      </c>
      <c r="R15" s="50">
        <v>25.8</v>
      </c>
      <c r="S15" s="50">
        <v>25.8</v>
      </c>
      <c r="T15" s="50">
        <v>25.8</v>
      </c>
      <c r="U15" s="50">
        <v>25.8</v>
      </c>
      <c r="V15" s="50">
        <v>25.8</v>
      </c>
      <c r="W15" s="50">
        <v>25.8</v>
      </c>
      <c r="X15" s="60">
        <v>25.8</v>
      </c>
      <c r="Y15" s="60">
        <v>25.8</v>
      </c>
      <c r="Z15" s="60">
        <v>25.8</v>
      </c>
      <c r="AA15" s="60">
        <v>25.8</v>
      </c>
      <c r="AB15" s="50">
        <v>23.2</v>
      </c>
      <c r="AC15" s="50">
        <v>23.2</v>
      </c>
      <c r="AD15" s="50">
        <v>23.8</v>
      </c>
      <c r="AE15" s="50">
        <v>22.9</v>
      </c>
      <c r="AF15" s="50">
        <v>22.9</v>
      </c>
      <c r="AG15" s="62">
        <v>45</v>
      </c>
      <c r="AH15" s="54">
        <f t="shared" si="2"/>
        <v>26.4</v>
      </c>
      <c r="AI15" s="55">
        <f t="shared" si="3"/>
        <v>22.9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13</v>
      </c>
      <c r="C16" s="49">
        <v>13</v>
      </c>
      <c r="D16" s="49">
        <v>13</v>
      </c>
      <c r="E16" s="49">
        <v>13</v>
      </c>
      <c r="F16" s="49">
        <v>13</v>
      </c>
      <c r="G16" s="49">
        <v>13</v>
      </c>
      <c r="H16" s="49">
        <v>13</v>
      </c>
      <c r="I16" s="49">
        <v>13</v>
      </c>
      <c r="J16" s="49">
        <v>13</v>
      </c>
      <c r="K16" s="49">
        <v>13</v>
      </c>
      <c r="L16" s="49">
        <v>13</v>
      </c>
      <c r="M16" s="50">
        <v>13</v>
      </c>
      <c r="N16" s="50">
        <v>13</v>
      </c>
      <c r="O16" s="50">
        <v>13</v>
      </c>
      <c r="P16" s="50">
        <v>13</v>
      </c>
      <c r="Q16" s="50">
        <v>0</v>
      </c>
      <c r="R16" s="50">
        <v>13</v>
      </c>
      <c r="S16" s="50">
        <v>13</v>
      </c>
      <c r="T16" s="50">
        <v>0</v>
      </c>
      <c r="U16" s="50">
        <v>13</v>
      </c>
      <c r="V16" s="50">
        <v>13</v>
      </c>
      <c r="W16" s="50">
        <v>13</v>
      </c>
      <c r="X16" s="63">
        <v>13</v>
      </c>
      <c r="Y16" s="63">
        <v>13</v>
      </c>
      <c r="Z16" s="63">
        <v>13</v>
      </c>
      <c r="AA16" s="63">
        <v>13</v>
      </c>
      <c r="AB16" s="50">
        <v>13</v>
      </c>
      <c r="AC16" s="50">
        <v>13</v>
      </c>
      <c r="AD16" s="50">
        <v>13</v>
      </c>
      <c r="AE16" s="50">
        <v>13</v>
      </c>
      <c r="AF16" s="50">
        <v>13</v>
      </c>
      <c r="AG16" s="59">
        <v>45</v>
      </c>
      <c r="AH16" s="54">
        <f t="shared" si="2"/>
        <v>13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13</v>
      </c>
      <c r="C17" s="49">
        <v>13</v>
      </c>
      <c r="D17" s="49">
        <v>13</v>
      </c>
      <c r="E17" s="49">
        <v>13</v>
      </c>
      <c r="F17" s="49">
        <v>13</v>
      </c>
      <c r="G17" s="49">
        <v>13</v>
      </c>
      <c r="H17" s="49">
        <v>13</v>
      </c>
      <c r="I17" s="49">
        <v>13</v>
      </c>
      <c r="J17" s="49">
        <v>13</v>
      </c>
      <c r="K17" s="49">
        <v>13</v>
      </c>
      <c r="L17" s="49">
        <v>13</v>
      </c>
      <c r="M17" s="50">
        <v>13</v>
      </c>
      <c r="N17" s="50">
        <v>13</v>
      </c>
      <c r="O17" s="50">
        <v>13</v>
      </c>
      <c r="P17" s="50">
        <v>13</v>
      </c>
      <c r="Q17" s="50">
        <v>13</v>
      </c>
      <c r="R17" s="50">
        <v>13</v>
      </c>
      <c r="S17" s="50">
        <v>13</v>
      </c>
      <c r="T17" s="50">
        <v>13</v>
      </c>
      <c r="U17" s="50">
        <v>13</v>
      </c>
      <c r="V17" s="50">
        <v>13</v>
      </c>
      <c r="W17" s="50">
        <v>13</v>
      </c>
      <c r="X17" s="60">
        <v>13</v>
      </c>
      <c r="Y17" s="60">
        <v>13</v>
      </c>
      <c r="Z17" s="60">
        <v>13</v>
      </c>
      <c r="AA17" s="60">
        <v>13</v>
      </c>
      <c r="AB17" s="50">
        <v>13</v>
      </c>
      <c r="AC17" s="50">
        <v>13</v>
      </c>
      <c r="AD17" s="50">
        <v>13</v>
      </c>
      <c r="AE17" s="50">
        <v>13</v>
      </c>
      <c r="AF17" s="50">
        <v>13</v>
      </c>
      <c r="AG17" s="59">
        <v>42</v>
      </c>
      <c r="AH17" s="54">
        <f t="shared" si="2"/>
        <v>13</v>
      </c>
      <c r="AI17" s="55">
        <f t="shared" si="3"/>
        <v>13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12.6</v>
      </c>
      <c r="C19" s="49">
        <v>12.6</v>
      </c>
      <c r="D19" s="49">
        <v>12.6</v>
      </c>
      <c r="E19" s="49">
        <v>12.6</v>
      </c>
      <c r="F19" s="49">
        <v>12.6</v>
      </c>
      <c r="G19" s="49">
        <v>12.6</v>
      </c>
      <c r="H19" s="49">
        <v>12.6</v>
      </c>
      <c r="I19" s="49">
        <v>12.6</v>
      </c>
      <c r="J19" s="49">
        <v>12.6</v>
      </c>
      <c r="K19" s="49">
        <v>12.6</v>
      </c>
      <c r="L19" s="49">
        <v>12.6</v>
      </c>
      <c r="M19" s="50">
        <v>12.6</v>
      </c>
      <c r="N19" s="50">
        <v>12.6</v>
      </c>
      <c r="O19" s="50">
        <v>12.6</v>
      </c>
      <c r="P19" s="50">
        <v>12.6</v>
      </c>
      <c r="Q19" s="50">
        <v>0</v>
      </c>
      <c r="R19" s="50">
        <v>13</v>
      </c>
      <c r="S19" s="50">
        <v>13</v>
      </c>
      <c r="T19" s="50">
        <v>13</v>
      </c>
      <c r="U19" s="50">
        <v>13</v>
      </c>
      <c r="V19" s="50">
        <v>13</v>
      </c>
      <c r="W19" s="50">
        <v>13</v>
      </c>
      <c r="X19" s="50">
        <v>13</v>
      </c>
      <c r="Y19" s="50">
        <v>13</v>
      </c>
      <c r="Z19" s="50">
        <v>13</v>
      </c>
      <c r="AA19" s="50">
        <v>13</v>
      </c>
      <c r="AB19" s="50">
        <v>13</v>
      </c>
      <c r="AC19" s="50">
        <v>13</v>
      </c>
      <c r="AD19" s="50">
        <v>13</v>
      </c>
      <c r="AE19" s="50">
        <v>13</v>
      </c>
      <c r="AF19" s="50">
        <v>13</v>
      </c>
      <c r="AG19" s="59">
        <v>30</v>
      </c>
      <c r="AH19" s="54">
        <f t="shared" si="2"/>
        <v>13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14.5</v>
      </c>
      <c r="C22" s="49">
        <v>14.5</v>
      </c>
      <c r="D22" s="49">
        <v>14.5</v>
      </c>
      <c r="E22" s="49">
        <v>14.5</v>
      </c>
      <c r="F22" s="49">
        <v>14.5</v>
      </c>
      <c r="G22" s="49">
        <v>14.5</v>
      </c>
      <c r="H22" s="49">
        <v>14.5</v>
      </c>
      <c r="I22" s="49">
        <v>14.5</v>
      </c>
      <c r="J22" s="49">
        <v>14.5</v>
      </c>
      <c r="K22" s="49">
        <v>14.5</v>
      </c>
      <c r="L22" s="49">
        <v>14.5</v>
      </c>
      <c r="M22" s="50">
        <v>14.5</v>
      </c>
      <c r="N22" s="50">
        <v>14.5</v>
      </c>
      <c r="O22" s="50">
        <v>14.5</v>
      </c>
      <c r="P22" s="50">
        <v>14.5</v>
      </c>
      <c r="Q22" s="50">
        <v>14.5</v>
      </c>
      <c r="R22" s="50">
        <v>14.5</v>
      </c>
      <c r="S22" s="50">
        <v>14.5</v>
      </c>
      <c r="T22" s="50">
        <v>14.5</v>
      </c>
      <c r="U22" s="50">
        <v>14.5</v>
      </c>
      <c r="V22" s="50">
        <v>14.5</v>
      </c>
      <c r="W22" s="50">
        <v>14.5</v>
      </c>
      <c r="X22" s="50">
        <v>14.5</v>
      </c>
      <c r="Y22" s="50">
        <v>14.5</v>
      </c>
      <c r="Z22" s="50">
        <v>14.5</v>
      </c>
      <c r="AA22" s="50">
        <v>14.5</v>
      </c>
      <c r="AB22" s="50">
        <v>12</v>
      </c>
      <c r="AC22" s="50">
        <v>12</v>
      </c>
      <c r="AD22" s="50">
        <v>12</v>
      </c>
      <c r="AE22" s="50">
        <v>16.100000000000001</v>
      </c>
      <c r="AF22" s="50">
        <v>16.100000000000001</v>
      </c>
      <c r="AG22" s="59">
        <v>25</v>
      </c>
      <c r="AH22" s="54">
        <f t="shared" si="2"/>
        <v>16.100000000000001</v>
      </c>
      <c r="AI22" s="55">
        <f t="shared" si="3"/>
        <v>12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18.5</v>
      </c>
      <c r="V24" s="50">
        <v>18.5</v>
      </c>
      <c r="W24" s="50">
        <v>18.5</v>
      </c>
      <c r="X24" s="50">
        <v>18.5</v>
      </c>
      <c r="Y24" s="50">
        <v>18.5</v>
      </c>
      <c r="Z24" s="50">
        <v>18.5</v>
      </c>
      <c r="AA24" s="50">
        <v>18.5</v>
      </c>
      <c r="AB24" s="50">
        <v>21</v>
      </c>
      <c r="AC24" s="50">
        <v>21</v>
      </c>
      <c r="AD24" s="50">
        <v>21</v>
      </c>
      <c r="AE24" s="50">
        <v>18.100000000000001</v>
      </c>
      <c r="AF24" s="50">
        <v>18.100000000000001</v>
      </c>
      <c r="AG24" s="59">
        <v>25</v>
      </c>
      <c r="AH24" s="54">
        <f t="shared" si="2"/>
        <v>21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0</v>
      </c>
      <c r="R26" s="50">
        <v>10</v>
      </c>
      <c r="S26" s="50">
        <v>10</v>
      </c>
      <c r="T26" s="50">
        <v>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4</v>
      </c>
      <c r="AF26" s="50">
        <v>4</v>
      </c>
      <c r="AG26" s="59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0</v>
      </c>
      <c r="R34" s="50">
        <v>5</v>
      </c>
      <c r="S34" s="50">
        <v>5</v>
      </c>
      <c r="T34" s="50">
        <v>0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0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150</v>
      </c>
      <c r="C36" s="61">
        <v>150</v>
      </c>
      <c r="D36" s="61">
        <v>150</v>
      </c>
      <c r="E36" s="61">
        <v>150</v>
      </c>
      <c r="F36" s="61">
        <v>150</v>
      </c>
      <c r="G36" s="61">
        <v>150</v>
      </c>
      <c r="H36" s="61">
        <v>150</v>
      </c>
      <c r="I36" s="61">
        <v>150</v>
      </c>
      <c r="J36" s="61">
        <v>150</v>
      </c>
      <c r="K36" s="61">
        <v>150</v>
      </c>
      <c r="L36" s="61">
        <v>150</v>
      </c>
      <c r="M36" s="61">
        <v>150</v>
      </c>
      <c r="N36" s="61">
        <v>150</v>
      </c>
      <c r="O36" s="61">
        <v>150</v>
      </c>
      <c r="P36" s="61">
        <v>150</v>
      </c>
      <c r="Q36" s="61">
        <v>150</v>
      </c>
      <c r="R36" s="61">
        <v>150</v>
      </c>
      <c r="S36" s="61">
        <v>150</v>
      </c>
      <c r="T36" s="61">
        <v>150</v>
      </c>
      <c r="U36" s="61">
        <v>150</v>
      </c>
      <c r="V36" s="61">
        <v>150</v>
      </c>
      <c r="W36" s="61">
        <v>150</v>
      </c>
      <c r="X36" s="61">
        <v>150</v>
      </c>
      <c r="Y36" s="61">
        <v>150</v>
      </c>
      <c r="Z36" s="61">
        <v>150</v>
      </c>
      <c r="AA36" s="61">
        <v>150</v>
      </c>
      <c r="AB36" s="61">
        <v>150</v>
      </c>
      <c r="AC36" s="61">
        <v>150</v>
      </c>
      <c r="AD36" s="61">
        <v>150</v>
      </c>
      <c r="AE36" s="61">
        <v>150</v>
      </c>
      <c r="AF36" s="61">
        <v>150</v>
      </c>
      <c r="AG36" s="67">
        <v>85</v>
      </c>
      <c r="AH36" s="54">
        <f t="shared" si="2"/>
        <v>150</v>
      </c>
      <c r="AI36" s="55">
        <f t="shared" si="3"/>
        <v>150</v>
      </c>
      <c r="AK36" s="56"/>
    </row>
    <row r="37" spans="1:88" ht="15.75" thickBot="1" x14ac:dyDescent="0.3">
      <c r="A37" s="69" t="s">
        <v>45</v>
      </c>
      <c r="B37" s="61">
        <f>22.07+41.9</f>
        <v>63.97</v>
      </c>
      <c r="C37" s="61">
        <f>22.7+41.7</f>
        <v>64.400000000000006</v>
      </c>
      <c r="D37" s="61">
        <f>23.2+42.3</f>
        <v>65.5</v>
      </c>
      <c r="E37" s="61">
        <f>23.2+42.3</f>
        <v>65.5</v>
      </c>
      <c r="F37" s="61">
        <v>66</v>
      </c>
      <c r="G37" s="61">
        <v>66.599999999999994</v>
      </c>
      <c r="H37" s="61">
        <v>66.599999999999994</v>
      </c>
      <c r="I37" s="61">
        <v>67.5</v>
      </c>
      <c r="J37" s="61">
        <v>68.900000000000006</v>
      </c>
      <c r="K37" s="61">
        <v>69</v>
      </c>
      <c r="L37" s="61">
        <v>69</v>
      </c>
      <c r="M37" s="70">
        <v>69</v>
      </c>
      <c r="N37" s="70">
        <v>69</v>
      </c>
      <c r="O37" s="70">
        <v>69</v>
      </c>
      <c r="P37" s="70">
        <f>26.2+47</f>
        <v>73.2</v>
      </c>
      <c r="Q37" s="70">
        <v>71</v>
      </c>
      <c r="R37" s="70">
        <f>27.1+49</f>
        <v>76.099999999999994</v>
      </c>
      <c r="S37" s="70">
        <f>51+28</f>
        <v>79</v>
      </c>
      <c r="T37" s="70">
        <f>51+28</f>
        <v>79</v>
      </c>
      <c r="U37" s="70">
        <f>51+28</f>
        <v>79</v>
      </c>
      <c r="V37" s="70">
        <f>51+28</f>
        <v>79</v>
      </c>
      <c r="W37" s="70">
        <f>52.3+28.8</f>
        <v>81.099999999999994</v>
      </c>
      <c r="X37" s="70">
        <v>81.099999999999994</v>
      </c>
      <c r="Y37" s="70">
        <v>81.099999999999994</v>
      </c>
      <c r="Z37" s="70">
        <v>81.099999999999994</v>
      </c>
      <c r="AA37" s="70">
        <v>81.099999999999994</v>
      </c>
      <c r="AB37" s="70">
        <f>30.1+55.8</f>
        <v>85.9</v>
      </c>
      <c r="AC37" s="70">
        <f>30.1+55.8</f>
        <v>85.9</v>
      </c>
      <c r="AD37" s="70">
        <f>31.4+57.7</f>
        <v>89.1</v>
      </c>
      <c r="AE37" s="70">
        <f>34.3+60.2</f>
        <v>94.5</v>
      </c>
      <c r="AF37" s="61">
        <f>33.4+60.4</f>
        <v>93.8</v>
      </c>
      <c r="AG37" s="67">
        <v>240</v>
      </c>
      <c r="AH37" s="54">
        <f t="shared" si="2"/>
        <v>94.5</v>
      </c>
      <c r="AI37" s="55">
        <f t="shared" si="3"/>
        <v>63.97</v>
      </c>
      <c r="AK37" s="56"/>
    </row>
    <row r="38" spans="1:88" ht="15.75" thickBot="1" x14ac:dyDescent="0.3">
      <c r="A38" s="71" t="s">
        <v>46</v>
      </c>
      <c r="B38" s="72">
        <f>SUM(B11:B36)</f>
        <v>503</v>
      </c>
      <c r="C38" s="72">
        <f t="shared" ref="C38:AF38" si="4">SUM(C11:C36)</f>
        <v>478</v>
      </c>
      <c r="D38" s="72">
        <f t="shared" si="4"/>
        <v>478</v>
      </c>
      <c r="E38" s="72">
        <f t="shared" si="4"/>
        <v>503</v>
      </c>
      <c r="F38" s="72">
        <f t="shared" si="4"/>
        <v>523</v>
      </c>
      <c r="G38" s="72">
        <f t="shared" si="4"/>
        <v>513</v>
      </c>
      <c r="H38" s="72">
        <f t="shared" si="4"/>
        <v>523</v>
      </c>
      <c r="I38" s="72">
        <f t="shared" si="4"/>
        <v>533</v>
      </c>
      <c r="J38" s="72">
        <f t="shared" si="4"/>
        <v>533</v>
      </c>
      <c r="K38" s="72">
        <f t="shared" si="4"/>
        <v>553</v>
      </c>
      <c r="L38" s="72">
        <f t="shared" si="4"/>
        <v>663</v>
      </c>
      <c r="M38" s="72">
        <f t="shared" si="4"/>
        <v>753</v>
      </c>
      <c r="N38" s="72">
        <f t="shared" si="4"/>
        <v>753</v>
      </c>
      <c r="O38" s="72">
        <f t="shared" si="4"/>
        <v>753</v>
      </c>
      <c r="P38" s="72">
        <f t="shared" si="4"/>
        <v>514.4</v>
      </c>
      <c r="Q38" s="72">
        <f t="shared" si="4"/>
        <v>479.70000000000005</v>
      </c>
      <c r="R38" s="72">
        <f t="shared" si="4"/>
        <v>489.8</v>
      </c>
      <c r="S38" s="72">
        <f t="shared" si="4"/>
        <v>489.8</v>
      </c>
      <c r="T38" s="72">
        <f t="shared" si="4"/>
        <v>461.8</v>
      </c>
      <c r="U38" s="72">
        <f t="shared" si="4"/>
        <v>496.3</v>
      </c>
      <c r="V38" s="72">
        <f t="shared" si="4"/>
        <v>704.3</v>
      </c>
      <c r="W38" s="72">
        <f t="shared" si="4"/>
        <v>781.3</v>
      </c>
      <c r="X38" s="72">
        <v>706.3</v>
      </c>
      <c r="Y38" s="72">
        <f t="shared" si="4"/>
        <v>836.3</v>
      </c>
      <c r="Z38" s="72">
        <f t="shared" si="4"/>
        <v>556.29999999999995</v>
      </c>
      <c r="AA38" s="72">
        <f t="shared" si="4"/>
        <v>556.29999999999995</v>
      </c>
      <c r="AB38" s="72">
        <f t="shared" si="4"/>
        <v>506.09999999999997</v>
      </c>
      <c r="AC38" s="72">
        <f t="shared" si="4"/>
        <v>506.09999999999997</v>
      </c>
      <c r="AD38" s="72">
        <f t="shared" si="4"/>
        <v>509.2</v>
      </c>
      <c r="AE38" s="72">
        <f t="shared" si="4"/>
        <v>503.1</v>
      </c>
      <c r="AF38" s="72">
        <f t="shared" si="4"/>
        <v>489.1</v>
      </c>
      <c r="AG38" s="67">
        <f>SUM(AG11:AG37)</f>
        <v>1492.8299999999997</v>
      </c>
      <c r="AH38" s="54">
        <f t="shared" si="2"/>
        <v>836.3</v>
      </c>
      <c r="AI38" s="55">
        <f t="shared" si="3"/>
        <v>461.8</v>
      </c>
      <c r="AK38" s="56"/>
    </row>
    <row r="39" spans="1:88" x14ac:dyDescent="0.25">
      <c r="A39" s="57" t="s">
        <v>47</v>
      </c>
      <c r="B39" s="49">
        <v>48.8</v>
      </c>
      <c r="C39" s="49">
        <v>48.8</v>
      </c>
      <c r="D39" s="49">
        <v>30.6</v>
      </c>
      <c r="E39" s="61">
        <v>0</v>
      </c>
      <c r="F39" s="61">
        <v>0</v>
      </c>
      <c r="G39" s="61">
        <v>20</v>
      </c>
      <c r="H39" s="61">
        <v>30</v>
      </c>
      <c r="I39" s="61">
        <v>40.299999999999997</v>
      </c>
      <c r="J39" s="61">
        <v>60.5</v>
      </c>
      <c r="K39" s="61">
        <v>48.9</v>
      </c>
      <c r="L39" s="61">
        <v>96.8</v>
      </c>
      <c r="M39" s="50">
        <v>145</v>
      </c>
      <c r="N39" s="50">
        <v>145</v>
      </c>
      <c r="O39" s="50">
        <v>145</v>
      </c>
      <c r="P39" s="50">
        <v>145.9</v>
      </c>
      <c r="Q39" s="50">
        <v>145.9</v>
      </c>
      <c r="R39" s="50">
        <v>136.69999999999999</v>
      </c>
      <c r="S39" s="50">
        <v>112.2</v>
      </c>
      <c r="T39" s="50">
        <v>0</v>
      </c>
      <c r="U39" s="50">
        <v>116</v>
      </c>
      <c r="V39" s="50">
        <v>131.4</v>
      </c>
      <c r="W39" s="50">
        <v>122.2</v>
      </c>
      <c r="X39" s="50">
        <v>145.9</v>
      </c>
      <c r="Y39" s="50">
        <v>145.9</v>
      </c>
      <c r="Z39" s="50">
        <v>145.9</v>
      </c>
      <c r="AA39" s="50">
        <v>145.9</v>
      </c>
      <c r="AB39" s="50">
        <v>111.1</v>
      </c>
      <c r="AC39" s="50">
        <v>97.1</v>
      </c>
      <c r="AD39" s="50">
        <v>97.2</v>
      </c>
      <c r="AE39" s="50">
        <v>71.099999999999994</v>
      </c>
      <c r="AF39" s="49">
        <v>67.2</v>
      </c>
      <c r="AG39" s="62">
        <v>144</v>
      </c>
      <c r="AH39" s="54">
        <f t="shared" si="2"/>
        <v>145.9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34.700000000000003</v>
      </c>
      <c r="C40" s="61">
        <v>34.299999999999997</v>
      </c>
      <c r="D40" s="61">
        <v>34.4</v>
      </c>
      <c r="E40" s="61">
        <v>0</v>
      </c>
      <c r="F40" s="61">
        <v>0</v>
      </c>
      <c r="G40" s="61">
        <v>0</v>
      </c>
      <c r="H40" s="61">
        <v>25</v>
      </c>
      <c r="I40" s="61">
        <v>35.5</v>
      </c>
      <c r="J40" s="61">
        <v>46.3</v>
      </c>
      <c r="K40" s="61">
        <v>69.3</v>
      </c>
      <c r="L40" s="61">
        <v>72.2</v>
      </c>
      <c r="M40" s="73">
        <v>70.900000000000006</v>
      </c>
      <c r="N40" s="73">
        <v>70.900000000000006</v>
      </c>
      <c r="O40" s="73">
        <v>70.900000000000006</v>
      </c>
      <c r="P40" s="73">
        <v>71.3</v>
      </c>
      <c r="Q40" s="73">
        <v>71.8</v>
      </c>
      <c r="R40" s="73">
        <v>59.8</v>
      </c>
      <c r="S40" s="73">
        <v>58.5</v>
      </c>
      <c r="T40" s="73">
        <v>45</v>
      </c>
      <c r="U40" s="73">
        <v>43.2</v>
      </c>
      <c r="V40" s="73">
        <v>43.6</v>
      </c>
      <c r="W40" s="73">
        <v>69.7</v>
      </c>
      <c r="X40" s="73">
        <v>69.400000000000006</v>
      </c>
      <c r="Y40" s="73">
        <v>69.400000000000006</v>
      </c>
      <c r="Z40" s="73">
        <v>69.400000000000006</v>
      </c>
      <c r="AA40" s="73">
        <v>69.400000000000006</v>
      </c>
      <c r="AB40" s="73">
        <v>59.7</v>
      </c>
      <c r="AC40" s="73">
        <v>70</v>
      </c>
      <c r="AD40" s="73">
        <v>70.099999999999994</v>
      </c>
      <c r="AE40" s="73">
        <v>59.4</v>
      </c>
      <c r="AF40" s="61">
        <v>29.5</v>
      </c>
      <c r="AG40" s="67">
        <v>70</v>
      </c>
      <c r="AH40" s="54">
        <f t="shared" si="2"/>
        <v>72.2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55.1</v>
      </c>
      <c r="C41" s="61">
        <v>54.9</v>
      </c>
      <c r="D41" s="61">
        <v>55</v>
      </c>
      <c r="E41" s="61">
        <v>46</v>
      </c>
      <c r="F41" s="61">
        <v>34</v>
      </c>
      <c r="G41" s="61">
        <v>17.7</v>
      </c>
      <c r="H41" s="61">
        <v>17.5</v>
      </c>
      <c r="I41" s="61">
        <v>17.5</v>
      </c>
      <c r="J41" s="61">
        <v>17.5</v>
      </c>
      <c r="K41" s="61">
        <v>48</v>
      </c>
      <c r="L41" s="61">
        <v>69.3</v>
      </c>
      <c r="M41" s="73">
        <v>68.400000000000006</v>
      </c>
      <c r="N41" s="73">
        <v>67.900000000000006</v>
      </c>
      <c r="O41" s="73">
        <v>67.900000000000006</v>
      </c>
      <c r="P41" s="73">
        <v>66.400000000000006</v>
      </c>
      <c r="Q41" s="73">
        <v>66.7</v>
      </c>
      <c r="R41" s="73">
        <v>36</v>
      </c>
      <c r="S41" s="73">
        <v>44</v>
      </c>
      <c r="T41" s="73">
        <v>32</v>
      </c>
      <c r="U41" s="73">
        <v>39.700000000000003</v>
      </c>
      <c r="V41" s="73">
        <v>39.4</v>
      </c>
      <c r="W41" s="73">
        <v>45.6</v>
      </c>
      <c r="X41" s="73">
        <v>70</v>
      </c>
      <c r="Y41" s="73">
        <v>70</v>
      </c>
      <c r="Z41" s="73">
        <v>70</v>
      </c>
      <c r="AA41" s="73">
        <v>70</v>
      </c>
      <c r="AB41" s="73">
        <v>67.900000000000006</v>
      </c>
      <c r="AC41" s="73">
        <v>68.5</v>
      </c>
      <c r="AD41" s="73">
        <v>68.8</v>
      </c>
      <c r="AE41" s="73">
        <v>63.9</v>
      </c>
      <c r="AF41" s="61">
        <v>49.6</v>
      </c>
      <c r="AG41" s="67">
        <v>69</v>
      </c>
      <c r="AH41" s="54">
        <f t="shared" si="2"/>
        <v>70</v>
      </c>
      <c r="AI41" s="55">
        <f t="shared" si="3"/>
        <v>17.5</v>
      </c>
      <c r="AK41" s="56"/>
    </row>
    <row r="42" spans="1:88" x14ac:dyDescent="0.25">
      <c r="A42" s="66" t="s">
        <v>50</v>
      </c>
      <c r="B42" s="61">
        <v>60</v>
      </c>
      <c r="C42" s="61">
        <v>60</v>
      </c>
      <c r="D42" s="61">
        <v>60</v>
      </c>
      <c r="E42" s="61">
        <v>60</v>
      </c>
      <c r="F42" s="61">
        <v>60</v>
      </c>
      <c r="G42" s="61">
        <v>60</v>
      </c>
      <c r="H42" s="61">
        <v>60</v>
      </c>
      <c r="I42" s="61">
        <v>60</v>
      </c>
      <c r="J42" s="61">
        <v>60</v>
      </c>
      <c r="K42" s="61">
        <v>60</v>
      </c>
      <c r="L42" s="61">
        <v>60</v>
      </c>
      <c r="M42" s="61">
        <v>60</v>
      </c>
      <c r="N42" s="61">
        <v>60</v>
      </c>
      <c r="O42" s="61">
        <v>60</v>
      </c>
      <c r="P42" s="73">
        <v>60</v>
      </c>
      <c r="Q42" s="73">
        <v>59.2</v>
      </c>
      <c r="R42" s="73">
        <v>0</v>
      </c>
      <c r="S42" s="73">
        <v>28.7</v>
      </c>
      <c r="T42" s="73">
        <v>60</v>
      </c>
      <c r="U42" s="73">
        <v>60.7</v>
      </c>
      <c r="V42" s="73">
        <v>60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61">
        <v>60.7</v>
      </c>
      <c r="AG42" s="67">
        <v>60</v>
      </c>
      <c r="AH42" s="54">
        <f t="shared" si="2"/>
        <v>60.7</v>
      </c>
      <c r="AI42" s="55">
        <f t="shared" si="3"/>
        <v>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15</v>
      </c>
      <c r="H43" s="61">
        <v>15</v>
      </c>
      <c r="I43" s="61">
        <v>15</v>
      </c>
      <c r="J43" s="61">
        <v>23</v>
      </c>
      <c r="K43" s="61">
        <v>30</v>
      </c>
      <c r="L43" s="61">
        <v>30</v>
      </c>
      <c r="M43" s="61">
        <v>30</v>
      </c>
      <c r="N43" s="61">
        <v>28.2</v>
      </c>
      <c r="O43" s="61">
        <v>28.2</v>
      </c>
      <c r="P43" s="50">
        <v>14.9</v>
      </c>
      <c r="Q43" s="50">
        <v>14.9</v>
      </c>
      <c r="R43" s="50">
        <v>14.9</v>
      </c>
      <c r="S43" s="50">
        <v>0</v>
      </c>
      <c r="T43" s="50">
        <v>0</v>
      </c>
      <c r="U43" s="50">
        <v>0</v>
      </c>
      <c r="V43" s="50">
        <v>14</v>
      </c>
      <c r="W43" s="50">
        <v>28.5</v>
      </c>
      <c r="X43" s="50">
        <v>28.5</v>
      </c>
      <c r="Y43" s="50">
        <v>28.5</v>
      </c>
      <c r="Z43" s="50">
        <v>28.5</v>
      </c>
      <c r="AA43" s="50">
        <v>28.5</v>
      </c>
      <c r="AB43" s="73">
        <v>23.6</v>
      </c>
      <c r="AC43" s="73">
        <v>0</v>
      </c>
      <c r="AD43" s="73">
        <v>0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61">
        <v>2.5</v>
      </c>
      <c r="N46" s="61">
        <v>2.5</v>
      </c>
      <c r="O46" s="61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0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61">
        <v>2.5</v>
      </c>
      <c r="AG46" s="67">
        <v>15</v>
      </c>
      <c r="AH46" s="54">
        <f t="shared" si="2"/>
        <v>2.5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61">
        <v>6</v>
      </c>
      <c r="D48" s="61">
        <v>6</v>
      </c>
      <c r="E48" s="61">
        <v>6</v>
      </c>
      <c r="F48" s="61">
        <v>6</v>
      </c>
      <c r="G48" s="61">
        <v>6</v>
      </c>
      <c r="H48" s="61">
        <v>6</v>
      </c>
      <c r="I48" s="61">
        <v>6</v>
      </c>
      <c r="J48" s="61">
        <v>6</v>
      </c>
      <c r="K48" s="61">
        <v>6</v>
      </c>
      <c r="L48" s="61">
        <v>6</v>
      </c>
      <c r="M48" s="61">
        <v>7</v>
      </c>
      <c r="N48" s="61">
        <v>7</v>
      </c>
      <c r="O48" s="61">
        <v>7</v>
      </c>
      <c r="P48" s="50">
        <v>7</v>
      </c>
      <c r="Q48" s="50">
        <v>0</v>
      </c>
      <c r="R48" s="50">
        <v>7</v>
      </c>
      <c r="S48" s="50">
        <v>7</v>
      </c>
      <c r="T48" s="50">
        <v>0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61">
        <v>7</v>
      </c>
      <c r="AG48" s="67">
        <v>14</v>
      </c>
      <c r="AH48" s="54">
        <f t="shared" si="2"/>
        <v>7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61">
        <v>8</v>
      </c>
      <c r="N49" s="61">
        <v>8</v>
      </c>
      <c r="O49" s="61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254.04</v>
      </c>
      <c r="C52" s="72">
        <f t="shared" ref="C52:AF52" si="6">SUM(C39:C51)</f>
        <v>253.44</v>
      </c>
      <c r="D52" s="72">
        <f t="shared" si="6"/>
        <v>235.44</v>
      </c>
      <c r="E52" s="72">
        <f t="shared" si="6"/>
        <v>161.44</v>
      </c>
      <c r="F52" s="72">
        <f t="shared" si="6"/>
        <v>159.44</v>
      </c>
      <c r="G52" s="72">
        <f t="shared" si="6"/>
        <v>168.14</v>
      </c>
      <c r="H52" s="72">
        <f t="shared" si="6"/>
        <v>202.94</v>
      </c>
      <c r="I52" s="72">
        <f t="shared" si="6"/>
        <v>223.74</v>
      </c>
      <c r="J52" s="72">
        <f t="shared" si="6"/>
        <v>262.74</v>
      </c>
      <c r="K52" s="72">
        <f t="shared" si="6"/>
        <v>311.64</v>
      </c>
      <c r="L52" s="72">
        <f t="shared" si="6"/>
        <v>383.74</v>
      </c>
      <c r="M52" s="72">
        <f t="shared" si="6"/>
        <v>430.74</v>
      </c>
      <c r="N52" s="72">
        <f t="shared" si="6"/>
        <v>428.44</v>
      </c>
      <c r="O52" s="72">
        <f t="shared" si="6"/>
        <v>428.44</v>
      </c>
      <c r="P52" s="72">
        <f t="shared" si="6"/>
        <v>414.94</v>
      </c>
      <c r="Q52" s="72">
        <f t="shared" si="6"/>
        <v>407.93999999999994</v>
      </c>
      <c r="R52" s="72">
        <f t="shared" si="6"/>
        <v>303.83999999999997</v>
      </c>
      <c r="S52" s="72">
        <f t="shared" si="6"/>
        <v>299.83999999999997</v>
      </c>
      <c r="T52" s="72">
        <f t="shared" si="6"/>
        <v>183.94</v>
      </c>
      <c r="U52" s="72">
        <f t="shared" si="6"/>
        <v>316.03999999999996</v>
      </c>
      <c r="V52" s="72">
        <f t="shared" si="6"/>
        <v>344.84</v>
      </c>
      <c r="W52" s="72">
        <f t="shared" si="6"/>
        <v>383.14</v>
      </c>
      <c r="X52" s="72">
        <v>430.94</v>
      </c>
      <c r="Y52" s="72">
        <f t="shared" si="6"/>
        <v>430.94</v>
      </c>
      <c r="Z52" s="72">
        <f t="shared" si="6"/>
        <v>430.94</v>
      </c>
      <c r="AA52" s="72">
        <f t="shared" si="6"/>
        <v>430.94</v>
      </c>
      <c r="AB52" s="72">
        <f t="shared" si="6"/>
        <v>379.44000000000005</v>
      </c>
      <c r="AC52" s="72">
        <f t="shared" si="6"/>
        <v>352.74</v>
      </c>
      <c r="AD52" s="72">
        <f t="shared" si="6"/>
        <v>353.24</v>
      </c>
      <c r="AE52" s="72">
        <f t="shared" si="6"/>
        <v>311.54000000000002</v>
      </c>
      <c r="AF52" s="72">
        <f t="shared" si="6"/>
        <v>263.44</v>
      </c>
      <c r="AG52" s="78">
        <f>SUM(AG39:AG51)</f>
        <v>489.91</v>
      </c>
      <c r="AH52" s="54">
        <f t="shared" si="2"/>
        <v>430.94</v>
      </c>
      <c r="AI52" s="55">
        <f t="shared" si="3"/>
        <v>159.44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79">
        <v>14</v>
      </c>
      <c r="N53" s="79">
        <v>14</v>
      </c>
      <c r="O53" s="79">
        <v>29</v>
      </c>
      <c r="P53" s="79">
        <v>30</v>
      </c>
      <c r="Q53" s="50">
        <v>60.4</v>
      </c>
      <c r="R53" s="50">
        <v>45</v>
      </c>
      <c r="S53" s="50">
        <v>50</v>
      </c>
      <c r="T53" s="50">
        <v>50</v>
      </c>
      <c r="U53" s="50">
        <v>49.7</v>
      </c>
      <c r="V53" s="50">
        <v>48.3</v>
      </c>
      <c r="W53" s="50">
        <v>46.1</v>
      </c>
      <c r="X53" s="50">
        <v>46.1</v>
      </c>
      <c r="Y53" s="50">
        <v>46.1</v>
      </c>
      <c r="Z53" s="50">
        <v>46</v>
      </c>
      <c r="AA53" s="50">
        <v>42</v>
      </c>
      <c r="AB53" s="50">
        <v>40.200000000000003</v>
      </c>
      <c r="AC53" s="50">
        <v>14.4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60.4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7</v>
      </c>
      <c r="N54" s="79">
        <v>7</v>
      </c>
      <c r="O54" s="79">
        <v>16</v>
      </c>
      <c r="P54" s="79">
        <v>16</v>
      </c>
      <c r="Q54" s="73">
        <v>22.5</v>
      </c>
      <c r="R54" s="73">
        <v>23.2</v>
      </c>
      <c r="S54" s="50">
        <v>24.3</v>
      </c>
      <c r="T54" s="50">
        <v>24.3</v>
      </c>
      <c r="U54" s="50">
        <v>23.5</v>
      </c>
      <c r="V54" s="73">
        <v>21.9</v>
      </c>
      <c r="W54" s="73">
        <v>20.5</v>
      </c>
      <c r="X54" s="73">
        <v>20.6</v>
      </c>
      <c r="Y54" s="73">
        <v>20.6</v>
      </c>
      <c r="Z54" s="73">
        <v>20.3</v>
      </c>
      <c r="AA54" s="73">
        <v>19.7</v>
      </c>
      <c r="AB54" s="73">
        <v>16.7</v>
      </c>
      <c r="AC54" s="73">
        <v>6.7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24.3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3</v>
      </c>
      <c r="N55" s="81">
        <v>3</v>
      </c>
      <c r="O55" s="81">
        <v>7</v>
      </c>
      <c r="P55" s="81">
        <v>5.8</v>
      </c>
      <c r="Q55" s="80">
        <v>8.1999999999999993</v>
      </c>
      <c r="R55" s="80">
        <v>8.4</v>
      </c>
      <c r="S55" s="50">
        <v>8.9</v>
      </c>
      <c r="T55" s="50">
        <v>8.9</v>
      </c>
      <c r="U55" s="50">
        <v>8.6</v>
      </c>
      <c r="V55" s="80">
        <v>8</v>
      </c>
      <c r="W55" s="80">
        <v>7.5</v>
      </c>
      <c r="X55" s="80">
        <v>7.5</v>
      </c>
      <c r="Y55" s="80">
        <v>7.5</v>
      </c>
      <c r="Z55" s="80">
        <v>7.4</v>
      </c>
      <c r="AA55" s="80">
        <v>7.2</v>
      </c>
      <c r="AB55" s="80">
        <v>6.1</v>
      </c>
      <c r="AC55" s="80">
        <v>2.4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8.9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0</v>
      </c>
      <c r="M56" s="72">
        <f t="shared" si="7"/>
        <v>24</v>
      </c>
      <c r="N56" s="72">
        <f t="shared" si="7"/>
        <v>24</v>
      </c>
      <c r="O56" s="72">
        <f t="shared" si="7"/>
        <v>52</v>
      </c>
      <c r="P56" s="72">
        <f t="shared" si="7"/>
        <v>51.8</v>
      </c>
      <c r="Q56" s="72">
        <f t="shared" si="7"/>
        <v>91.100000000000009</v>
      </c>
      <c r="R56" s="72">
        <f t="shared" si="7"/>
        <v>76.600000000000009</v>
      </c>
      <c r="S56" s="72">
        <f t="shared" si="7"/>
        <v>83.2</v>
      </c>
      <c r="T56" s="72">
        <f t="shared" si="7"/>
        <v>83.2</v>
      </c>
      <c r="U56" s="72">
        <f t="shared" si="7"/>
        <v>81.8</v>
      </c>
      <c r="V56" s="72">
        <f t="shared" si="7"/>
        <v>78.199999999999989</v>
      </c>
      <c r="W56" s="72">
        <f t="shared" si="7"/>
        <v>74.099999999999994</v>
      </c>
      <c r="X56" s="72">
        <v>74.2</v>
      </c>
      <c r="Y56" s="72">
        <f t="shared" si="7"/>
        <v>74.2</v>
      </c>
      <c r="Z56" s="72">
        <f t="shared" si="7"/>
        <v>73.7</v>
      </c>
      <c r="AA56" s="72">
        <f t="shared" si="7"/>
        <v>68.900000000000006</v>
      </c>
      <c r="AB56" s="72">
        <f t="shared" si="7"/>
        <v>63.000000000000007</v>
      </c>
      <c r="AC56" s="72">
        <f t="shared" si="7"/>
        <v>23.5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91.100000000000009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50</v>
      </c>
      <c r="C57" s="50">
        <v>47</v>
      </c>
      <c r="D57" s="50">
        <v>44</v>
      </c>
      <c r="E57" s="50">
        <v>48</v>
      </c>
      <c r="F57" s="50">
        <v>43</v>
      </c>
      <c r="G57" s="50">
        <v>28</v>
      </c>
      <c r="H57" s="50">
        <v>42.8</v>
      </c>
      <c r="I57" s="50">
        <v>51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42</v>
      </c>
      <c r="AD57" s="50">
        <v>51.6</v>
      </c>
      <c r="AE57" s="50">
        <v>40.4</v>
      </c>
      <c r="AF57" s="50">
        <v>45.6</v>
      </c>
      <c r="AG57" s="62"/>
      <c r="AH57" s="54">
        <f t="shared" si="2"/>
        <v>51.6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130</v>
      </c>
      <c r="C59" s="73">
        <v>92</v>
      </c>
      <c r="D59" s="73">
        <v>102</v>
      </c>
      <c r="E59" s="73">
        <v>130</v>
      </c>
      <c r="F59" s="73">
        <v>120</v>
      </c>
      <c r="G59" s="73">
        <v>140</v>
      </c>
      <c r="H59" s="50">
        <v>130</v>
      </c>
      <c r="I59" s="50">
        <v>150</v>
      </c>
      <c r="J59" s="50">
        <v>214</v>
      </c>
      <c r="K59" s="50">
        <v>220</v>
      </c>
      <c r="L59" s="50">
        <v>102</v>
      </c>
      <c r="M59" s="50">
        <v>32</v>
      </c>
      <c r="N59" s="50">
        <v>25</v>
      </c>
      <c r="O59" s="50">
        <v>25</v>
      </c>
      <c r="P59" s="73">
        <v>320</v>
      </c>
      <c r="Q59" s="73">
        <v>300</v>
      </c>
      <c r="R59" s="73">
        <v>330</v>
      </c>
      <c r="S59" s="73">
        <f>156+157</f>
        <v>313</v>
      </c>
      <c r="T59" s="73">
        <v>150</v>
      </c>
      <c r="U59" s="73">
        <f>160+160</f>
        <v>320</v>
      </c>
      <c r="V59" s="73">
        <v>8</v>
      </c>
      <c r="W59" s="73">
        <f>23+23</f>
        <v>46</v>
      </c>
      <c r="X59" s="84">
        <v>112</v>
      </c>
      <c r="Y59" s="84">
        <v>0</v>
      </c>
      <c r="Z59" s="84">
        <v>216</v>
      </c>
      <c r="AA59" s="84">
        <v>217</v>
      </c>
      <c r="AB59" s="73">
        <v>267.89999999999998</v>
      </c>
      <c r="AC59" s="73">
        <v>247.8</v>
      </c>
      <c r="AD59" s="73">
        <v>203.3</v>
      </c>
      <c r="AE59" s="73">
        <v>98</v>
      </c>
      <c r="AF59" s="73">
        <v>58</v>
      </c>
      <c r="AG59" s="85"/>
      <c r="AH59" s="54">
        <f t="shared" si="2"/>
        <v>330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43</v>
      </c>
      <c r="V60" s="73">
        <v>43</v>
      </c>
      <c r="W60" s="73">
        <v>53</v>
      </c>
      <c r="X60" s="73">
        <v>53</v>
      </c>
      <c r="Y60" s="73">
        <v>53</v>
      </c>
      <c r="Z60" s="73">
        <v>40</v>
      </c>
      <c r="AA60" s="73">
        <v>40</v>
      </c>
      <c r="AB60" s="73">
        <v>45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53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74.5</v>
      </c>
      <c r="W61" s="50">
        <v>84.9</v>
      </c>
      <c r="X61" s="50">
        <v>70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84.9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5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50">
        <v>0</v>
      </c>
      <c r="AA62" s="5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5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50">
        <v>0</v>
      </c>
      <c r="AA63" s="5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58">
        <v>0</v>
      </c>
      <c r="Y64" s="58">
        <v>0</v>
      </c>
      <c r="Z64" s="50">
        <v>0</v>
      </c>
      <c r="AA64" s="5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58">
        <v>0</v>
      </c>
      <c r="Y65" s="58">
        <v>0</v>
      </c>
      <c r="Z65" s="50">
        <v>0</v>
      </c>
      <c r="AA65" s="5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5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3">
        <v>0</v>
      </c>
      <c r="Y66" s="63">
        <v>0</v>
      </c>
      <c r="Z66" s="50">
        <v>0</v>
      </c>
      <c r="AA66" s="50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5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3">
        <v>0</v>
      </c>
      <c r="Y67" s="63">
        <v>0</v>
      </c>
      <c r="Z67" s="50">
        <v>0</v>
      </c>
      <c r="AA67" s="50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180</v>
      </c>
      <c r="C68" s="72">
        <f>SUM(C57:C67)</f>
        <v>139</v>
      </c>
      <c r="D68" s="72">
        <f t="shared" ref="D68:AF68" si="8">SUM(D57:D67)</f>
        <v>146</v>
      </c>
      <c r="E68" s="72">
        <f t="shared" si="8"/>
        <v>178</v>
      </c>
      <c r="F68" s="72">
        <f t="shared" si="8"/>
        <v>163</v>
      </c>
      <c r="G68" s="72">
        <f t="shared" si="8"/>
        <v>168</v>
      </c>
      <c r="H68" s="72">
        <f t="shared" si="8"/>
        <v>172.8</v>
      </c>
      <c r="I68" s="72">
        <f t="shared" si="8"/>
        <v>201</v>
      </c>
      <c r="J68" s="72">
        <f t="shared" si="8"/>
        <v>214</v>
      </c>
      <c r="K68" s="72">
        <f t="shared" si="8"/>
        <v>220</v>
      </c>
      <c r="L68" s="72">
        <f t="shared" si="8"/>
        <v>102</v>
      </c>
      <c r="M68" s="72">
        <f t="shared" si="8"/>
        <v>32</v>
      </c>
      <c r="N68" s="72">
        <f t="shared" si="8"/>
        <v>25</v>
      </c>
      <c r="O68" s="72">
        <f t="shared" si="8"/>
        <v>25</v>
      </c>
      <c r="P68" s="72">
        <f t="shared" si="8"/>
        <v>320</v>
      </c>
      <c r="Q68" s="72">
        <f t="shared" si="8"/>
        <v>300</v>
      </c>
      <c r="R68" s="72">
        <f t="shared" si="8"/>
        <v>330</v>
      </c>
      <c r="S68" s="72">
        <f t="shared" si="8"/>
        <v>313</v>
      </c>
      <c r="T68" s="72">
        <f t="shared" si="8"/>
        <v>150</v>
      </c>
      <c r="U68" s="72">
        <f t="shared" si="8"/>
        <v>363</v>
      </c>
      <c r="V68" s="72">
        <f t="shared" si="8"/>
        <v>125.5</v>
      </c>
      <c r="W68" s="72">
        <f t="shared" si="8"/>
        <v>183.9</v>
      </c>
      <c r="X68" s="72">
        <v>235</v>
      </c>
      <c r="Y68" s="72">
        <f t="shared" si="8"/>
        <v>53</v>
      </c>
      <c r="Z68" s="72">
        <f t="shared" si="8"/>
        <v>256</v>
      </c>
      <c r="AA68" s="72">
        <f t="shared" si="8"/>
        <v>257</v>
      </c>
      <c r="AB68" s="72">
        <f t="shared" si="8"/>
        <v>312.89999999999998</v>
      </c>
      <c r="AC68" s="72">
        <f t="shared" si="8"/>
        <v>289.8</v>
      </c>
      <c r="AD68" s="72">
        <f t="shared" si="8"/>
        <v>254.9</v>
      </c>
      <c r="AE68" s="72">
        <f t="shared" si="8"/>
        <v>138.4</v>
      </c>
      <c r="AF68" s="72">
        <f t="shared" si="8"/>
        <v>103.6</v>
      </c>
      <c r="AG68" s="78">
        <f>SUM(AG57:AG67)</f>
        <v>0</v>
      </c>
      <c r="AH68" s="54">
        <f t="shared" si="2"/>
        <v>363</v>
      </c>
      <c r="AI68" s="55">
        <f t="shared" si="3"/>
        <v>25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937.04</v>
      </c>
      <c r="C73" s="89">
        <f>C68+C56+C52+C38+C72</f>
        <v>870.44</v>
      </c>
      <c r="D73" s="89">
        <f t="shared" ref="D73:AG73" si="10">D68+D56+D52+D38+D72</f>
        <v>859.44</v>
      </c>
      <c r="E73" s="89">
        <f t="shared" si="10"/>
        <v>842.44</v>
      </c>
      <c r="F73" s="89">
        <f t="shared" si="10"/>
        <v>845.44</v>
      </c>
      <c r="G73" s="89">
        <f t="shared" si="10"/>
        <v>849.14</v>
      </c>
      <c r="H73" s="89">
        <f t="shared" si="10"/>
        <v>898.74</v>
      </c>
      <c r="I73" s="89">
        <f t="shared" si="10"/>
        <v>957.74</v>
      </c>
      <c r="J73" s="89">
        <f t="shared" si="10"/>
        <v>1009.74</v>
      </c>
      <c r="K73" s="89">
        <f t="shared" si="10"/>
        <v>1084.6399999999999</v>
      </c>
      <c r="L73" s="89">
        <f t="shared" si="10"/>
        <v>1148.74</v>
      </c>
      <c r="M73" s="89">
        <f t="shared" si="10"/>
        <v>1239.74</v>
      </c>
      <c r="N73" s="89">
        <f t="shared" si="10"/>
        <v>1230.44</v>
      </c>
      <c r="O73" s="89">
        <f t="shared" si="10"/>
        <v>1258.44</v>
      </c>
      <c r="P73" s="89">
        <f t="shared" si="10"/>
        <v>1301.1399999999999</v>
      </c>
      <c r="Q73" s="89">
        <f t="shared" si="10"/>
        <v>1278.74</v>
      </c>
      <c r="R73" s="89">
        <f t="shared" si="10"/>
        <v>1200.24</v>
      </c>
      <c r="S73" s="89">
        <f t="shared" si="10"/>
        <v>1185.8399999999999</v>
      </c>
      <c r="T73" s="89">
        <f t="shared" si="10"/>
        <v>878.94</v>
      </c>
      <c r="U73" s="89">
        <f t="shared" si="10"/>
        <v>1257.1399999999999</v>
      </c>
      <c r="V73" s="89">
        <f t="shared" si="10"/>
        <v>1252.8399999999999</v>
      </c>
      <c r="W73" s="89">
        <f t="shared" si="10"/>
        <v>1422.44</v>
      </c>
      <c r="X73" s="89">
        <f t="shared" si="10"/>
        <v>1446.44</v>
      </c>
      <c r="Y73" s="89">
        <f t="shared" si="10"/>
        <v>1394.44</v>
      </c>
      <c r="Z73" s="89">
        <f t="shared" si="10"/>
        <v>1316.94</v>
      </c>
      <c r="AA73" s="89">
        <f t="shared" si="10"/>
        <v>1313.1399999999999</v>
      </c>
      <c r="AB73" s="89">
        <f t="shared" si="10"/>
        <v>1261.44</v>
      </c>
      <c r="AC73" s="89">
        <f t="shared" si="10"/>
        <v>1172.1399999999999</v>
      </c>
      <c r="AD73" s="89">
        <f t="shared" si="10"/>
        <v>1117.3399999999999</v>
      </c>
      <c r="AE73" s="89">
        <f t="shared" si="10"/>
        <v>953.04000000000008</v>
      </c>
      <c r="AF73" s="89">
        <f t="shared" si="10"/>
        <v>856.14</v>
      </c>
      <c r="AG73" s="89">
        <f t="shared" si="10"/>
        <v>2144.14</v>
      </c>
      <c r="AH73" s="54">
        <f t="shared" si="2"/>
        <v>1446.44</v>
      </c>
      <c r="AI73" s="55">
        <f t="shared" si="3"/>
        <v>842.44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30</v>
      </c>
      <c r="R74" s="91">
        <v>60</v>
      </c>
      <c r="S74" s="91"/>
      <c r="T74" s="91">
        <v>300</v>
      </c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937.04</v>
      </c>
      <c r="C75" s="89">
        <f>C73+C74</f>
        <v>870.44</v>
      </c>
      <c r="D75" s="89">
        <f t="shared" ref="D75:AF75" si="11">D72+D68+D56+D52+D38+D74</f>
        <v>859.44</v>
      </c>
      <c r="E75" s="89">
        <f t="shared" si="11"/>
        <v>842.44</v>
      </c>
      <c r="F75" s="89">
        <f t="shared" si="11"/>
        <v>845.44</v>
      </c>
      <c r="G75" s="89">
        <f t="shared" si="11"/>
        <v>849.14</v>
      </c>
      <c r="H75" s="89">
        <f t="shared" si="11"/>
        <v>898.74</v>
      </c>
      <c r="I75" s="89">
        <f t="shared" si="11"/>
        <v>957.74</v>
      </c>
      <c r="J75" s="89">
        <f t="shared" si="11"/>
        <v>1009.74</v>
      </c>
      <c r="K75" s="89">
        <f t="shared" si="11"/>
        <v>1084.6399999999999</v>
      </c>
      <c r="L75" s="89">
        <f t="shared" si="11"/>
        <v>1148.74</v>
      </c>
      <c r="M75" s="89">
        <f t="shared" si="11"/>
        <v>1239.74</v>
      </c>
      <c r="N75" s="89">
        <f t="shared" si="11"/>
        <v>1230.44</v>
      </c>
      <c r="O75" s="89">
        <f t="shared" si="11"/>
        <v>1258.44</v>
      </c>
      <c r="P75" s="89">
        <f t="shared" si="11"/>
        <v>1301.1399999999999</v>
      </c>
      <c r="Q75" s="89">
        <f t="shared" si="11"/>
        <v>1308.74</v>
      </c>
      <c r="R75" s="89">
        <f t="shared" si="11"/>
        <v>1260.24</v>
      </c>
      <c r="S75" s="89">
        <f t="shared" si="11"/>
        <v>1185.8399999999999</v>
      </c>
      <c r="T75" s="89">
        <f t="shared" si="11"/>
        <v>1178.94</v>
      </c>
      <c r="U75" s="89">
        <f t="shared" si="11"/>
        <v>1257.1399999999999</v>
      </c>
      <c r="V75" s="89">
        <f t="shared" si="11"/>
        <v>1252.8399999999999</v>
      </c>
      <c r="W75" s="89">
        <f t="shared" si="11"/>
        <v>1422.44</v>
      </c>
      <c r="X75" s="89">
        <f t="shared" si="11"/>
        <v>1446.44</v>
      </c>
      <c r="Y75" s="89">
        <f t="shared" si="11"/>
        <v>1394.44</v>
      </c>
      <c r="Z75" s="89">
        <f t="shared" si="11"/>
        <v>1316.94</v>
      </c>
      <c r="AA75" s="89">
        <f t="shared" si="11"/>
        <v>1313.1399999999999</v>
      </c>
      <c r="AB75" s="89">
        <f t="shared" si="11"/>
        <v>1261.44</v>
      </c>
      <c r="AC75" s="89">
        <f t="shared" si="11"/>
        <v>1172.1399999999999</v>
      </c>
      <c r="AD75" s="89">
        <f t="shared" si="11"/>
        <v>1117.3399999999999</v>
      </c>
      <c r="AE75" s="89">
        <f t="shared" si="11"/>
        <v>953.04000000000008</v>
      </c>
      <c r="AF75" s="89">
        <f t="shared" si="11"/>
        <v>856.14</v>
      </c>
      <c r="AG75" s="78">
        <f>AG72+AG68+AG56+AG52+AG38+AG74</f>
        <v>2144.14</v>
      </c>
      <c r="AH75" s="54">
        <f t="shared" si="2"/>
        <v>1446.44</v>
      </c>
      <c r="AI75" s="55">
        <f t="shared" si="3"/>
        <v>842.44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1874.08</v>
      </c>
      <c r="C83" s="72">
        <f t="shared" ref="C83:AG83" si="20">SUM(C70:C82)</f>
        <v>1740.88</v>
      </c>
      <c r="D83" s="72">
        <f t="shared" si="20"/>
        <v>1718.88</v>
      </c>
      <c r="E83" s="72">
        <f t="shared" si="20"/>
        <v>1684.88</v>
      </c>
      <c r="F83" s="72">
        <f t="shared" si="20"/>
        <v>1690.88</v>
      </c>
      <c r="G83" s="72">
        <f t="shared" si="20"/>
        <v>1698.28</v>
      </c>
      <c r="H83" s="72">
        <f t="shared" si="20"/>
        <v>1797.48</v>
      </c>
      <c r="I83" s="72">
        <f t="shared" si="20"/>
        <v>1915.48</v>
      </c>
      <c r="J83" s="72">
        <f t="shared" si="20"/>
        <v>2019.48</v>
      </c>
      <c r="K83" s="72">
        <f t="shared" si="20"/>
        <v>2169.2799999999997</v>
      </c>
      <c r="L83" s="72">
        <f t="shared" si="20"/>
        <v>2297.48</v>
      </c>
      <c r="M83" s="72">
        <f t="shared" si="20"/>
        <v>2479.48</v>
      </c>
      <c r="N83" s="72">
        <f t="shared" si="20"/>
        <v>2460.88</v>
      </c>
      <c r="O83" s="72">
        <f t="shared" si="20"/>
        <v>2516.88</v>
      </c>
      <c r="P83" s="72">
        <f t="shared" si="20"/>
        <v>2602.2799999999997</v>
      </c>
      <c r="Q83" s="72">
        <f t="shared" si="20"/>
        <v>2617.48</v>
      </c>
      <c r="R83" s="72">
        <f t="shared" si="20"/>
        <v>2520.48</v>
      </c>
      <c r="S83" s="72">
        <f t="shared" si="20"/>
        <v>2371.6799999999998</v>
      </c>
      <c r="T83" s="72">
        <f t="shared" si="20"/>
        <v>2357.88</v>
      </c>
      <c r="U83" s="72">
        <f t="shared" si="20"/>
        <v>2514.2799999999997</v>
      </c>
      <c r="V83" s="72">
        <f t="shared" si="20"/>
        <v>2505.6799999999998</v>
      </c>
      <c r="W83" s="72">
        <f t="shared" si="20"/>
        <v>2844.88</v>
      </c>
      <c r="X83" s="72">
        <f t="shared" si="20"/>
        <v>2892.88</v>
      </c>
      <c r="Y83" s="72">
        <f t="shared" si="20"/>
        <v>2788.88</v>
      </c>
      <c r="Z83" s="72">
        <f t="shared" si="20"/>
        <v>2633.88</v>
      </c>
      <c r="AA83" s="72">
        <f t="shared" si="20"/>
        <v>2626.2799999999997</v>
      </c>
      <c r="AB83" s="72">
        <f t="shared" si="20"/>
        <v>2522.88</v>
      </c>
      <c r="AC83" s="72">
        <f t="shared" si="20"/>
        <v>2344.2799999999997</v>
      </c>
      <c r="AD83" s="72">
        <f t="shared" si="20"/>
        <v>2234.6799999999998</v>
      </c>
      <c r="AE83" s="72">
        <f t="shared" si="20"/>
        <v>1906.0800000000002</v>
      </c>
      <c r="AF83" s="72">
        <f t="shared" si="20"/>
        <v>1712.28</v>
      </c>
      <c r="AG83" s="78">
        <f t="shared" si="20"/>
        <v>4360.08</v>
      </c>
      <c r="AH83" s="54">
        <f t="shared" si="13"/>
        <v>2892.88</v>
      </c>
      <c r="AI83" s="55">
        <f t="shared" si="14"/>
        <v>1684.88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50.02</v>
      </c>
      <c r="C84" s="95">
        <v>50.05</v>
      </c>
      <c r="D84" s="95">
        <v>50.04</v>
      </c>
      <c r="E84" s="95">
        <v>50.084000000000003</v>
      </c>
      <c r="F84" s="95">
        <v>50.1</v>
      </c>
      <c r="G84" s="95">
        <v>50.067999999999998</v>
      </c>
      <c r="H84" s="95">
        <v>49.75</v>
      </c>
      <c r="I84" s="95">
        <v>50.012999999999998</v>
      </c>
      <c r="J84" s="95">
        <v>49.954000000000001</v>
      </c>
      <c r="K84" s="95">
        <v>50.045000000000002</v>
      </c>
      <c r="L84" s="95">
        <v>49.930999999999997</v>
      </c>
      <c r="M84" s="95">
        <v>50.018000000000001</v>
      </c>
      <c r="N84" s="95">
        <v>50.045000000000002</v>
      </c>
      <c r="O84" s="95">
        <v>50.033000000000001</v>
      </c>
      <c r="P84" s="95">
        <v>50.05</v>
      </c>
      <c r="Q84" s="95">
        <v>50.1</v>
      </c>
      <c r="R84" s="95">
        <v>50.01</v>
      </c>
      <c r="S84" s="95">
        <v>50.140999999999998</v>
      </c>
      <c r="T84" s="95"/>
      <c r="U84" s="95">
        <v>50.040999999999997</v>
      </c>
      <c r="V84" s="95">
        <v>50.034999999999997</v>
      </c>
      <c r="W84" s="95">
        <v>49.965000000000003</v>
      </c>
      <c r="X84" s="95">
        <v>49.997999999999998</v>
      </c>
      <c r="Y84" s="95">
        <v>50.031999999999996</v>
      </c>
      <c r="Z84" s="95">
        <v>49.976999999999997</v>
      </c>
      <c r="AA84" s="95">
        <v>49.966000000000001</v>
      </c>
      <c r="AB84" s="95">
        <v>50.076000000000001</v>
      </c>
      <c r="AC84" s="95">
        <v>50.026000000000003</v>
      </c>
      <c r="AD84" s="95">
        <v>50.012</v>
      </c>
      <c r="AE84" s="95">
        <v>50.048999999999999</v>
      </c>
      <c r="AF84" s="95">
        <v>50.048999999999999</v>
      </c>
      <c r="AG84" s="96"/>
      <c r="AH84" s="54">
        <f t="shared" si="13"/>
        <v>50.140999999999998</v>
      </c>
      <c r="AI84" s="55">
        <f t="shared" si="14"/>
        <v>49.75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126.1</v>
      </c>
      <c r="C85" s="73">
        <v>127.4</v>
      </c>
      <c r="D85" s="73">
        <v>127.4</v>
      </c>
      <c r="E85" s="73">
        <v>127.4</v>
      </c>
      <c r="F85" s="73">
        <v>127</v>
      </c>
      <c r="G85" s="73">
        <v>128</v>
      </c>
      <c r="H85" s="73">
        <v>127</v>
      </c>
      <c r="I85" s="73">
        <v>127</v>
      </c>
      <c r="J85" s="73">
        <v>127</v>
      </c>
      <c r="K85" s="73">
        <v>127</v>
      </c>
      <c r="L85" s="73">
        <v>124.6</v>
      </c>
      <c r="M85" s="73">
        <v>124.2</v>
      </c>
      <c r="N85" s="73">
        <v>124.1</v>
      </c>
      <c r="O85" s="73">
        <v>122.8</v>
      </c>
      <c r="P85" s="73">
        <v>121.8</v>
      </c>
      <c r="Q85" s="73">
        <v>122.7</v>
      </c>
      <c r="R85" s="73">
        <v>121</v>
      </c>
      <c r="S85" s="73">
        <v>122.4</v>
      </c>
      <c r="T85" s="73"/>
      <c r="U85" s="98">
        <v>121.4</v>
      </c>
      <c r="V85" s="98">
        <v>127.3</v>
      </c>
      <c r="W85" s="98">
        <v>124.4</v>
      </c>
      <c r="X85" s="98">
        <v>125.4</v>
      </c>
      <c r="Y85" s="98">
        <v>122.3</v>
      </c>
      <c r="Z85" s="98">
        <v>123.8</v>
      </c>
      <c r="AA85" s="98">
        <v>124.9</v>
      </c>
      <c r="AB85" s="73">
        <v>123.9</v>
      </c>
      <c r="AC85" s="73">
        <v>124.5</v>
      </c>
      <c r="AD85" s="73">
        <v>124.5</v>
      </c>
      <c r="AE85" s="73">
        <v>125.3</v>
      </c>
      <c r="AF85" s="73">
        <v>125.3</v>
      </c>
      <c r="AG85" s="99"/>
      <c r="AH85" s="54">
        <f t="shared" si="13"/>
        <v>128</v>
      </c>
      <c r="AI85" s="55">
        <f t="shared" si="14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130.6</v>
      </c>
      <c r="C86" s="73">
        <v>131.69999999999999</v>
      </c>
      <c r="D86" s="73">
        <v>131.69999999999999</v>
      </c>
      <c r="E86" s="73">
        <v>131.69999999999999</v>
      </c>
      <c r="F86" s="73">
        <v>131</v>
      </c>
      <c r="G86" s="73">
        <v>132</v>
      </c>
      <c r="H86" s="73">
        <v>131</v>
      </c>
      <c r="I86" s="73">
        <v>130</v>
      </c>
      <c r="J86" s="73">
        <v>130</v>
      </c>
      <c r="K86" s="73">
        <v>130</v>
      </c>
      <c r="L86" s="73">
        <v>127</v>
      </c>
      <c r="M86" s="73">
        <v>126.7</v>
      </c>
      <c r="N86" s="73">
        <v>126.9</v>
      </c>
      <c r="O86" s="73">
        <v>124.9</v>
      </c>
      <c r="P86" s="73">
        <v>123.2</v>
      </c>
      <c r="Q86" s="73">
        <v>125.2</v>
      </c>
      <c r="R86" s="73">
        <v>121.8</v>
      </c>
      <c r="S86" s="73">
        <v>124.2</v>
      </c>
      <c r="T86" s="73"/>
      <c r="U86" s="98">
        <v>123.8</v>
      </c>
      <c r="V86" s="98">
        <v>128.4</v>
      </c>
      <c r="W86" s="98">
        <v>125.5</v>
      </c>
      <c r="X86" s="98">
        <v>126.5</v>
      </c>
      <c r="Y86" s="98">
        <v>124.9</v>
      </c>
      <c r="Z86" s="98">
        <v>126.1</v>
      </c>
      <c r="AA86" s="98">
        <v>127.3</v>
      </c>
      <c r="AB86" s="73">
        <v>126.5</v>
      </c>
      <c r="AC86" s="73">
        <v>126.9</v>
      </c>
      <c r="AD86" s="73">
        <v>126.9</v>
      </c>
      <c r="AE86" s="73">
        <v>129.4</v>
      </c>
      <c r="AF86" s="73">
        <v>129.4</v>
      </c>
      <c r="AG86" s="99"/>
      <c r="AH86" s="54">
        <f t="shared" si="13"/>
        <v>132</v>
      </c>
      <c r="AI86" s="55">
        <f t="shared" si="14"/>
        <v>121.8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</v>
      </c>
      <c r="C87" s="73">
        <v>129.9</v>
      </c>
      <c r="D87" s="73">
        <v>129.9</v>
      </c>
      <c r="E87" s="73">
        <v>129.9</v>
      </c>
      <c r="F87" s="73">
        <v>130</v>
      </c>
      <c r="G87" s="73">
        <v>129.5</v>
      </c>
      <c r="H87" s="73">
        <v>129</v>
      </c>
      <c r="I87" s="73">
        <v>129</v>
      </c>
      <c r="J87" s="73">
        <v>127</v>
      </c>
      <c r="K87" s="73">
        <v>127</v>
      </c>
      <c r="L87" s="73">
        <v>127</v>
      </c>
      <c r="M87" s="73">
        <v>126.8</v>
      </c>
      <c r="N87" s="73">
        <v>128.5</v>
      </c>
      <c r="O87" s="73">
        <v>128.1</v>
      </c>
      <c r="P87" s="73">
        <v>129.4</v>
      </c>
      <c r="Q87" s="73">
        <v>131.69999999999999</v>
      </c>
      <c r="R87" s="73">
        <v>128.4</v>
      </c>
      <c r="S87" s="73">
        <v>129.9</v>
      </c>
      <c r="T87" s="73"/>
      <c r="U87" s="73">
        <v>129</v>
      </c>
      <c r="V87" s="73">
        <v>131.1</v>
      </c>
      <c r="W87" s="73">
        <v>128.5</v>
      </c>
      <c r="X87" s="98">
        <v>129.6</v>
      </c>
      <c r="Y87" s="98">
        <v>129.19999999999999</v>
      </c>
      <c r="Z87" s="98">
        <v>130.5</v>
      </c>
      <c r="AA87" s="98">
        <v>131.6</v>
      </c>
      <c r="AB87" s="73">
        <v>130.69999999999999</v>
      </c>
      <c r="AC87" s="73">
        <v>131.4</v>
      </c>
      <c r="AD87" s="73">
        <v>131.4</v>
      </c>
      <c r="AE87" s="73">
        <v>128.9</v>
      </c>
      <c r="AF87" s="73">
        <v>128.9</v>
      </c>
      <c r="AG87" s="99"/>
      <c r="AH87" s="54">
        <f t="shared" si="13"/>
        <v>131.69999999999999</v>
      </c>
      <c r="AI87" s="55">
        <f t="shared" si="14"/>
        <v>126.8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132.80000000000001</v>
      </c>
      <c r="C88" s="73">
        <v>132.5</v>
      </c>
      <c r="D88" s="73">
        <v>132.5</v>
      </c>
      <c r="E88" s="73">
        <v>132.5</v>
      </c>
      <c r="F88" s="73">
        <v>132</v>
      </c>
      <c r="G88" s="73">
        <v>132</v>
      </c>
      <c r="H88" s="73">
        <v>131</v>
      </c>
      <c r="I88" s="73">
        <v>133.69999999999999</v>
      </c>
      <c r="J88" s="73">
        <v>131.69999999999999</v>
      </c>
      <c r="K88" s="73">
        <v>131.69999999999999</v>
      </c>
      <c r="L88" s="73">
        <v>131.80000000000001</v>
      </c>
      <c r="M88" s="73">
        <v>131.69999999999999</v>
      </c>
      <c r="N88" s="73">
        <v>132.69999999999999</v>
      </c>
      <c r="O88" s="73">
        <v>132.6</v>
      </c>
      <c r="P88" s="73">
        <v>135</v>
      </c>
      <c r="Q88" s="73">
        <v>135.30000000000001</v>
      </c>
      <c r="R88" s="73">
        <v>131.69999999999999</v>
      </c>
      <c r="S88" s="73">
        <v>131.69999999999999</v>
      </c>
      <c r="T88" s="73"/>
      <c r="U88" s="73">
        <v>132.5</v>
      </c>
      <c r="V88" s="73">
        <v>132.19999999999999</v>
      </c>
      <c r="W88" s="73">
        <v>129.5</v>
      </c>
      <c r="X88" s="98">
        <v>133.5</v>
      </c>
      <c r="Y88" s="98">
        <v>133.30000000000001</v>
      </c>
      <c r="Z88" s="98">
        <v>133.9</v>
      </c>
      <c r="AA88" s="98">
        <v>134.30000000000001</v>
      </c>
      <c r="AB88" s="73">
        <v>134.5</v>
      </c>
      <c r="AC88" s="73">
        <v>135.19999999999999</v>
      </c>
      <c r="AD88" s="73">
        <v>135.19999999999999</v>
      </c>
      <c r="AE88" s="73">
        <v>134.30000000000001</v>
      </c>
      <c r="AF88" s="73">
        <v>134.30000000000001</v>
      </c>
      <c r="AG88" s="99"/>
      <c r="AH88" s="54">
        <f t="shared" si="13"/>
        <v>135.30000000000001</v>
      </c>
      <c r="AI88" s="55">
        <f t="shared" si="14"/>
        <v>129.5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130.4</v>
      </c>
      <c r="C89" s="101">
        <v>132.4</v>
      </c>
      <c r="D89" s="101">
        <v>132.4</v>
      </c>
      <c r="E89" s="101">
        <v>132.4</v>
      </c>
      <c r="F89" s="101">
        <v>130</v>
      </c>
      <c r="G89" s="101">
        <v>134.5</v>
      </c>
      <c r="H89" s="101">
        <v>130</v>
      </c>
      <c r="I89" s="101">
        <v>133.6</v>
      </c>
      <c r="J89" s="101">
        <v>136.5</v>
      </c>
      <c r="K89" s="101">
        <v>136.5</v>
      </c>
      <c r="L89" s="101">
        <v>133.5</v>
      </c>
      <c r="M89" s="101">
        <v>134</v>
      </c>
      <c r="N89" s="101">
        <v>133.5</v>
      </c>
      <c r="O89" s="101">
        <v>133.4</v>
      </c>
      <c r="P89" s="101">
        <v>133.1</v>
      </c>
      <c r="Q89" s="101">
        <v>136.9</v>
      </c>
      <c r="R89" s="101">
        <v>132.80000000000001</v>
      </c>
      <c r="S89" s="101">
        <v>132.6</v>
      </c>
      <c r="T89" s="101"/>
      <c r="U89" s="101">
        <v>135.6</v>
      </c>
      <c r="V89" s="101">
        <v>135.80000000000001</v>
      </c>
      <c r="W89" s="101">
        <v>131.80000000000001</v>
      </c>
      <c r="X89" s="98">
        <v>136.9</v>
      </c>
      <c r="Y89" s="98">
        <v>133.1</v>
      </c>
      <c r="Z89" s="98">
        <v>135.30000000000001</v>
      </c>
      <c r="AA89" s="98">
        <v>135.4</v>
      </c>
      <c r="AB89" s="101">
        <v>135.19999999999999</v>
      </c>
      <c r="AC89" s="101">
        <v>134.19999999999999</v>
      </c>
      <c r="AD89" s="101">
        <v>134.19999999999999</v>
      </c>
      <c r="AE89" s="101">
        <v>134.30000000000001</v>
      </c>
      <c r="AF89" s="101">
        <v>134.30000000000001</v>
      </c>
      <c r="AG89" s="102"/>
      <c r="AH89" s="54">
        <f t="shared" si="13"/>
        <v>136.9</v>
      </c>
      <c r="AI89" s="55">
        <f t="shared" si="14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139.69999999999999</v>
      </c>
      <c r="C90" s="73">
        <v>138.6</v>
      </c>
      <c r="D90" s="73">
        <v>138.6</v>
      </c>
      <c r="E90" s="73">
        <v>138.6</v>
      </c>
      <c r="F90" s="73">
        <v>139.9</v>
      </c>
      <c r="G90" s="73">
        <v>138.6</v>
      </c>
      <c r="H90" s="73">
        <v>136.30000000000001</v>
      </c>
      <c r="I90" s="73">
        <v>137.9</v>
      </c>
      <c r="J90" s="73">
        <v>135</v>
      </c>
      <c r="K90" s="73">
        <v>135</v>
      </c>
      <c r="L90" s="73">
        <v>130</v>
      </c>
      <c r="M90" s="73">
        <v>131.9</v>
      </c>
      <c r="N90" s="73">
        <v>131.1</v>
      </c>
      <c r="O90" s="73">
        <v>131.19999999999999</v>
      </c>
      <c r="P90" s="73">
        <v>129.6</v>
      </c>
      <c r="Q90" s="73">
        <v>135.80000000000001</v>
      </c>
      <c r="R90" s="73">
        <v>131.6</v>
      </c>
      <c r="S90" s="73">
        <v>129.30000000000001</v>
      </c>
      <c r="T90" s="73"/>
      <c r="U90" s="73">
        <v>135.1</v>
      </c>
      <c r="V90" s="73">
        <v>136.1</v>
      </c>
      <c r="W90" s="73">
        <v>131.30000000000001</v>
      </c>
      <c r="X90" s="98">
        <v>134.30000000000001</v>
      </c>
      <c r="Y90" s="98">
        <v>130.4</v>
      </c>
      <c r="Z90" s="98">
        <v>132.6</v>
      </c>
      <c r="AA90" s="98">
        <v>132.5</v>
      </c>
      <c r="AB90" s="73">
        <v>133.5</v>
      </c>
      <c r="AC90" s="73">
        <v>134.30000000000001</v>
      </c>
      <c r="AD90" s="73">
        <v>134.30000000000001</v>
      </c>
      <c r="AE90" s="73">
        <v>133.69999999999999</v>
      </c>
      <c r="AF90" s="73">
        <v>133.69999999999999</v>
      </c>
      <c r="AG90" s="99"/>
      <c r="AH90" s="54">
        <f t="shared" si="13"/>
        <v>139.9</v>
      </c>
      <c r="AI90" s="55">
        <f t="shared" si="14"/>
        <v>129.30000000000001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</v>
      </c>
      <c r="C91" s="103">
        <v>66.400000000000006</v>
      </c>
      <c r="D91" s="103">
        <v>66.400000000000006</v>
      </c>
      <c r="E91" s="103">
        <v>66.099999999999994</v>
      </c>
      <c r="F91" s="103">
        <v>66</v>
      </c>
      <c r="G91" s="103">
        <v>66.599999999999994</v>
      </c>
      <c r="H91" s="103">
        <v>66.2</v>
      </c>
      <c r="I91" s="103">
        <v>65.8</v>
      </c>
      <c r="J91" s="103">
        <v>65.7</v>
      </c>
      <c r="K91" s="103">
        <v>65.7</v>
      </c>
      <c r="L91" s="103">
        <v>64.599999999999994</v>
      </c>
      <c r="M91" s="103">
        <v>64.3</v>
      </c>
      <c r="N91" s="103">
        <v>64.5</v>
      </c>
      <c r="O91" s="103">
        <v>63</v>
      </c>
      <c r="P91" s="103">
        <v>62.7</v>
      </c>
      <c r="Q91" s="103">
        <v>63.1</v>
      </c>
      <c r="R91" s="103">
        <v>61.8</v>
      </c>
      <c r="S91" s="103">
        <v>63</v>
      </c>
      <c r="T91" s="103"/>
      <c r="U91" s="103">
        <v>62.4</v>
      </c>
      <c r="V91" s="103">
        <v>65</v>
      </c>
      <c r="W91" s="103">
        <v>63.9</v>
      </c>
      <c r="X91" s="103">
        <v>64</v>
      </c>
      <c r="Y91" s="103">
        <v>63.4</v>
      </c>
      <c r="Z91" s="103">
        <v>64.099999999999994</v>
      </c>
      <c r="AA91" s="103">
        <v>64.900000000000006</v>
      </c>
      <c r="AB91" s="103">
        <v>64.400000000000006</v>
      </c>
      <c r="AC91" s="103">
        <v>64.3</v>
      </c>
      <c r="AD91" s="103">
        <v>64.3</v>
      </c>
      <c r="AE91" s="103">
        <v>65.8</v>
      </c>
      <c r="AF91" s="103">
        <v>65.8</v>
      </c>
      <c r="AG91" s="104"/>
      <c r="AH91" s="54">
        <f t="shared" si="13"/>
        <v>66.599999999999994</v>
      </c>
      <c r="AI91" s="55">
        <f t="shared" si="14"/>
        <v>61.8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191.73999999999995</v>
      </c>
      <c r="C93" s="110">
        <f>SUM(C15,C18,C21:C22,C42,C44:C45,C47,C49,C94:C97,C102,C108,C114,C123,C125,C137,C144,C147:C148,C155,C157,C159,C163:C165,C167:C169,C174,C180:C181,C183:C185,C193,C198)</f>
        <v>172.33999999999997</v>
      </c>
      <c r="D93" s="110">
        <f t="shared" ref="D93:AF93" si="21">SUM(D15,D18,D21:D22,D42,D44:D45,D47,D49,D94:D97,D102,D108,D114,D123,D125,D137,D144,D147:D148,D155,D157,D159,D163:D165,D167:D169,D174,D180:D181,D183:D185,D193,D198)</f>
        <v>152.04</v>
      </c>
      <c r="E93" s="110">
        <f t="shared" si="21"/>
        <v>168.14</v>
      </c>
      <c r="F93" s="110">
        <f t="shared" si="21"/>
        <v>180.83999999999997</v>
      </c>
      <c r="G93" s="109">
        <f t="shared" si="21"/>
        <v>209.43999999999997</v>
      </c>
      <c r="H93" s="109">
        <f t="shared" si="21"/>
        <v>222.23999999999998</v>
      </c>
      <c r="I93" s="109">
        <f t="shared" si="21"/>
        <v>249.53999999999996</v>
      </c>
      <c r="J93" s="109">
        <f t="shared" si="21"/>
        <v>274.44000000000005</v>
      </c>
      <c r="K93" s="109">
        <f t="shared" si="21"/>
        <v>311.44000000000005</v>
      </c>
      <c r="L93" s="109">
        <f t="shared" si="21"/>
        <v>378.74</v>
      </c>
      <c r="M93" s="109">
        <f t="shared" si="21"/>
        <v>389.84000000000003</v>
      </c>
      <c r="N93" s="109">
        <f t="shared" si="21"/>
        <v>396.84000000000003</v>
      </c>
      <c r="O93" s="109">
        <f t="shared" si="21"/>
        <v>433.84000000000003</v>
      </c>
      <c r="P93" s="109">
        <f t="shared" si="21"/>
        <v>451.04</v>
      </c>
      <c r="Q93" s="109">
        <f t="shared" si="21"/>
        <v>456.24000000000007</v>
      </c>
      <c r="R93" s="109">
        <f t="shared" si="21"/>
        <v>447.84000000000003</v>
      </c>
      <c r="S93" s="109">
        <f t="shared" si="21"/>
        <v>442.34000000000003</v>
      </c>
      <c r="T93" s="109">
        <f t="shared" si="21"/>
        <v>193.64</v>
      </c>
      <c r="U93" s="109">
        <f t="shared" si="21"/>
        <v>450.24</v>
      </c>
      <c r="V93" s="109">
        <f t="shared" si="21"/>
        <v>428.84000000000003</v>
      </c>
      <c r="W93" s="109">
        <f t="shared" si="21"/>
        <v>469.84000000000003</v>
      </c>
      <c r="X93" s="109">
        <f t="shared" si="21"/>
        <v>477.94000000000005</v>
      </c>
      <c r="Y93" s="109">
        <f t="shared" si="21"/>
        <v>468.64000000000004</v>
      </c>
      <c r="Z93" s="109">
        <f t="shared" si="21"/>
        <v>459.24000000000007</v>
      </c>
      <c r="AA93" s="109">
        <f t="shared" si="21"/>
        <v>455.54</v>
      </c>
      <c r="AB93" s="109">
        <f t="shared" si="21"/>
        <v>434.04</v>
      </c>
      <c r="AC93" s="109">
        <f t="shared" si="21"/>
        <v>382.14000000000004</v>
      </c>
      <c r="AD93" s="109">
        <f t="shared" si="21"/>
        <v>344.14000000000004</v>
      </c>
      <c r="AE93" s="109">
        <f t="shared" si="21"/>
        <v>276.64000000000004</v>
      </c>
      <c r="AF93" s="109">
        <f t="shared" si="21"/>
        <v>215.03999999999994</v>
      </c>
      <c r="AG93" s="111"/>
      <c r="AH93" s="54">
        <f>MAX(C93:AF93)</f>
        <v>477.94000000000005</v>
      </c>
      <c r="AI93" s="55">
        <f>MIN(C93:AF93)</f>
        <v>152.04</v>
      </c>
    </row>
    <row r="94" spans="1:88" x14ac:dyDescent="0.25">
      <c r="A94" s="112" t="s">
        <v>98</v>
      </c>
      <c r="B94" s="175">
        <v>26.2</v>
      </c>
      <c r="C94" s="58">
        <v>44.8</v>
      </c>
      <c r="D94" s="58">
        <v>20</v>
      </c>
      <c r="E94" s="58">
        <v>8.9</v>
      </c>
      <c r="F94" s="58">
        <v>12.3</v>
      </c>
      <c r="G94" s="114">
        <v>14.7</v>
      </c>
      <c r="H94" s="114">
        <v>20</v>
      </c>
      <c r="I94" s="114">
        <v>25.7</v>
      </c>
      <c r="J94" s="114">
        <v>21.5</v>
      </c>
      <c r="K94" s="114">
        <v>32.6</v>
      </c>
      <c r="L94" s="114">
        <v>63.8</v>
      </c>
      <c r="M94" s="113">
        <v>75</v>
      </c>
      <c r="N94" s="114">
        <v>72.5</v>
      </c>
      <c r="O94" s="114">
        <v>79</v>
      </c>
      <c r="P94" s="114">
        <v>64.8</v>
      </c>
      <c r="Q94" s="114">
        <v>56.7</v>
      </c>
      <c r="R94" s="114">
        <v>62.3</v>
      </c>
      <c r="S94" s="114">
        <v>35.5</v>
      </c>
      <c r="T94" s="114"/>
      <c r="U94" s="113">
        <v>43</v>
      </c>
      <c r="V94" s="113">
        <v>53.4</v>
      </c>
      <c r="W94" s="113">
        <v>42.8</v>
      </c>
      <c r="X94" s="114">
        <v>60.1</v>
      </c>
      <c r="Y94" s="114">
        <v>65.5</v>
      </c>
      <c r="Z94" s="114">
        <v>68.099999999999994</v>
      </c>
      <c r="AA94" s="114">
        <v>61.1</v>
      </c>
      <c r="AB94" s="113">
        <v>60.9</v>
      </c>
      <c r="AC94" s="113">
        <v>58.7</v>
      </c>
      <c r="AD94" s="113">
        <v>61</v>
      </c>
      <c r="AE94" s="113">
        <v>65.8</v>
      </c>
      <c r="AF94" s="113">
        <v>53.2</v>
      </c>
      <c r="AG94" s="115">
        <v>75</v>
      </c>
      <c r="AH94" s="54">
        <f>IF(ABS(MAX(C94:AF94))&gt;ABS(MIN(C94:AF94)),MAX(C94:AF94),MIN(C94:AF94))</f>
        <v>79</v>
      </c>
      <c r="AI94" s="116">
        <f>INDEX($C$9:$AF$9,1,MATCH(AH94,C94:AF94,0))</f>
        <v>0.41666666666666702</v>
      </c>
    </row>
    <row r="95" spans="1:88" x14ac:dyDescent="0.25">
      <c r="A95" s="117" t="s">
        <v>99</v>
      </c>
      <c r="B95" s="176">
        <f>-28.3-31</f>
        <v>-59.3</v>
      </c>
      <c r="C95" s="60">
        <f>-32.1-35.4</f>
        <v>-67.5</v>
      </c>
      <c r="D95" s="60">
        <v>-66</v>
      </c>
      <c r="E95" s="60">
        <v>-65.2</v>
      </c>
      <c r="F95" s="60">
        <v>-60</v>
      </c>
      <c r="G95" s="60">
        <v>-43.6</v>
      </c>
      <c r="H95" s="60">
        <v>-40</v>
      </c>
      <c r="I95" s="60">
        <v>-30</v>
      </c>
      <c r="J95" s="60">
        <v>-16.7</v>
      </c>
      <c r="K95" s="60">
        <v>-12</v>
      </c>
      <c r="L95" s="60">
        <v>9.6</v>
      </c>
      <c r="M95" s="60">
        <v>10</v>
      </c>
      <c r="N95" s="60">
        <v>11</v>
      </c>
      <c r="O95" s="60">
        <v>26</v>
      </c>
      <c r="P95" s="60">
        <v>40</v>
      </c>
      <c r="Q95" s="60">
        <v>40</v>
      </c>
      <c r="R95" s="60">
        <f>41.2+39.7</f>
        <v>80.900000000000006</v>
      </c>
      <c r="S95" s="60">
        <v>71.3</v>
      </c>
      <c r="T95" s="60"/>
      <c r="U95" s="60">
        <v>34</v>
      </c>
      <c r="V95" s="60">
        <v>19</v>
      </c>
      <c r="W95" s="60">
        <f>29+25</f>
        <v>54</v>
      </c>
      <c r="X95" s="60">
        <v>43</v>
      </c>
      <c r="Y95" s="60">
        <f>21.2+17.6</f>
        <v>38.799999999999997</v>
      </c>
      <c r="Z95" s="60">
        <v>25</v>
      </c>
      <c r="AA95" s="60">
        <f>16+12</f>
        <v>28</v>
      </c>
      <c r="AB95" s="73">
        <v>25.9</v>
      </c>
      <c r="AC95" s="73">
        <v>4.5</v>
      </c>
      <c r="AD95" s="73">
        <v>4.5</v>
      </c>
      <c r="AE95" s="73">
        <v>-38.299999999999997</v>
      </c>
      <c r="AF95" s="73">
        <v>-59.4</v>
      </c>
      <c r="AG95" s="115">
        <v>240</v>
      </c>
      <c r="AH95" s="54">
        <f>IF(ABS(MAX(C95:AF95))&gt;ABS(MIN(C95:AF95)),MAX(C95:AF95),MIN(C95:AF95))</f>
        <v>80.900000000000006</v>
      </c>
      <c r="AI95" s="116">
        <f>INDEX($C$9:$AF$9,1,MATCH(AH95,C95:AF95,0))</f>
        <v>0.54166666666666696</v>
      </c>
    </row>
    <row r="96" spans="1:88" x14ac:dyDescent="0.25">
      <c r="A96" s="117" t="s">
        <v>100</v>
      </c>
      <c r="B96" s="176">
        <v>-12.2</v>
      </c>
      <c r="C96" s="60">
        <v>-13.9</v>
      </c>
      <c r="D96" s="60">
        <v>-12.8</v>
      </c>
      <c r="E96" s="60">
        <v>-13.4</v>
      </c>
      <c r="F96" s="60">
        <v>-7.7</v>
      </c>
      <c r="G96" s="60">
        <v>-2.2000000000000002</v>
      </c>
      <c r="H96" s="60">
        <v>1.3</v>
      </c>
      <c r="I96" s="60">
        <v>2.2000000000000002</v>
      </c>
      <c r="J96" s="60">
        <v>9.4</v>
      </c>
      <c r="K96" s="60">
        <v>12</v>
      </c>
      <c r="L96" s="60">
        <v>20</v>
      </c>
      <c r="M96" s="60">
        <v>24</v>
      </c>
      <c r="N96" s="60">
        <v>25.5</v>
      </c>
      <c r="O96" s="60">
        <v>34</v>
      </c>
      <c r="P96" s="60">
        <v>31</v>
      </c>
      <c r="Q96" s="60">
        <v>59.8</v>
      </c>
      <c r="R96" s="60">
        <v>61.6</v>
      </c>
      <c r="S96" s="60">
        <v>64</v>
      </c>
      <c r="T96" s="60"/>
      <c r="U96" s="60">
        <v>66.5</v>
      </c>
      <c r="V96" s="60">
        <v>67.099999999999994</v>
      </c>
      <c r="W96" s="60">
        <v>64.3</v>
      </c>
      <c r="X96" s="60">
        <v>64.5</v>
      </c>
      <c r="Y96" s="60">
        <v>65</v>
      </c>
      <c r="Z96" s="60">
        <v>65</v>
      </c>
      <c r="AA96" s="60">
        <v>61.1</v>
      </c>
      <c r="AB96" s="73">
        <v>59.3</v>
      </c>
      <c r="AC96" s="73">
        <v>30.7</v>
      </c>
      <c r="AD96" s="73">
        <v>7.8</v>
      </c>
      <c r="AE96" s="73">
        <v>5.8</v>
      </c>
      <c r="AF96" s="73">
        <v>-2.4</v>
      </c>
      <c r="AG96" s="115">
        <v>60</v>
      </c>
      <c r="AH96" s="54">
        <f>IF(ABS(MAX(C96:AF96))&gt;ABS(MIN(C96:AF96)),MAX(C96:AF96),MIN(C96:AF96))</f>
        <v>67.099999999999994</v>
      </c>
      <c r="AI96" s="116">
        <f>INDEX($C$9:$AF$9,1,MATCH(AH96,C96:AF96,0))</f>
        <v>0.70833333333333304</v>
      </c>
    </row>
    <row r="97" spans="1:37" x14ac:dyDescent="0.25">
      <c r="A97" s="118" t="s">
        <v>101</v>
      </c>
      <c r="B97" s="177">
        <v>44.2</v>
      </c>
      <c r="C97" s="63">
        <v>16.100000000000001</v>
      </c>
      <c r="D97" s="63">
        <v>18</v>
      </c>
      <c r="E97" s="63">
        <v>45</v>
      </c>
      <c r="F97" s="63">
        <v>43.4</v>
      </c>
      <c r="G97" s="63">
        <v>47.7</v>
      </c>
      <c r="H97" s="63">
        <v>48.1</v>
      </c>
      <c r="I97" s="63">
        <v>58.8</v>
      </c>
      <c r="J97" s="63">
        <v>67.400000000000006</v>
      </c>
      <c r="K97" s="63">
        <v>86</v>
      </c>
      <c r="L97" s="63">
        <v>92.5</v>
      </c>
      <c r="M97" s="63">
        <v>88</v>
      </c>
      <c r="N97" s="63">
        <v>95</v>
      </c>
      <c r="O97" s="63">
        <v>102</v>
      </c>
      <c r="P97" s="63">
        <v>121</v>
      </c>
      <c r="Q97" s="63">
        <v>106.3</v>
      </c>
      <c r="R97" s="63">
        <v>109.4</v>
      </c>
      <c r="S97" s="63">
        <v>109.2</v>
      </c>
      <c r="T97" s="63"/>
      <c r="U97" s="63">
        <v>112.4</v>
      </c>
      <c r="V97" s="63">
        <v>95.7</v>
      </c>
      <c r="W97" s="63">
        <v>114.4</v>
      </c>
      <c r="X97" s="63">
        <v>116</v>
      </c>
      <c r="Y97" s="63">
        <v>105</v>
      </c>
      <c r="Z97" s="63">
        <v>106.8</v>
      </c>
      <c r="AA97" s="63">
        <v>111</v>
      </c>
      <c r="AB97" s="119">
        <v>98.7</v>
      </c>
      <c r="AC97" s="119">
        <v>99</v>
      </c>
      <c r="AD97" s="119">
        <v>81</v>
      </c>
      <c r="AE97" s="119">
        <v>50.3</v>
      </c>
      <c r="AF97" s="119">
        <v>30.6</v>
      </c>
      <c r="AG97" s="120">
        <v>120</v>
      </c>
      <c r="AH97" s="54">
        <f>IF(ABS(MAX(C97:AF97))&gt;ABS(MIN(C97:AF97)),MAX(C97:AF97),MIN(C97:AF97))</f>
        <v>121</v>
      </c>
      <c r="AI97" s="116">
        <f>INDEX($C$9:$AF$9,1,MATCH(AH97,C97:AF97,0))</f>
        <v>0.45833333333333298</v>
      </c>
    </row>
    <row r="98" spans="1:37" x14ac:dyDescent="0.25">
      <c r="A98" s="118" t="s">
        <v>102</v>
      </c>
      <c r="B98" s="177">
        <v>56.8</v>
      </c>
      <c r="C98" s="63">
        <v>31.7</v>
      </c>
      <c r="D98" s="63">
        <v>32</v>
      </c>
      <c r="E98" s="63">
        <v>50.5</v>
      </c>
      <c r="F98" s="63">
        <v>54</v>
      </c>
      <c r="G98" s="63">
        <v>51.9</v>
      </c>
      <c r="H98" s="63">
        <v>46.8</v>
      </c>
      <c r="I98" s="63">
        <v>51.8</v>
      </c>
      <c r="J98" s="63">
        <v>57.6</v>
      </c>
      <c r="K98" s="63">
        <v>64.599999999999994</v>
      </c>
      <c r="L98" s="63">
        <v>62.8</v>
      </c>
      <c r="M98" s="63">
        <v>57</v>
      </c>
      <c r="N98" s="63">
        <v>63</v>
      </c>
      <c r="O98" s="63">
        <v>74</v>
      </c>
      <c r="P98" s="63">
        <v>97</v>
      </c>
      <c r="Q98" s="63">
        <v>93.3</v>
      </c>
      <c r="R98" s="63">
        <v>102</v>
      </c>
      <c r="S98" s="63">
        <v>88.8</v>
      </c>
      <c r="T98" s="63"/>
      <c r="U98" s="63">
        <v>102</v>
      </c>
      <c r="V98" s="63">
        <v>44.4</v>
      </c>
      <c r="W98" s="63">
        <v>45.1</v>
      </c>
      <c r="X98" s="63">
        <v>58.2</v>
      </c>
      <c r="Y98" s="63">
        <v>88.8</v>
      </c>
      <c r="Z98" s="63">
        <v>88.7</v>
      </c>
      <c r="AA98" s="63">
        <v>90</v>
      </c>
      <c r="AB98" s="119">
        <v>97.8</v>
      </c>
      <c r="AC98" s="119">
        <v>92</v>
      </c>
      <c r="AD98" s="119">
        <v>76</v>
      </c>
      <c r="AE98" s="119">
        <v>50.4</v>
      </c>
      <c r="AF98" s="119">
        <v>39.1</v>
      </c>
      <c r="AG98" s="120"/>
      <c r="AH98" s="54">
        <f>IF(ABS(MAX(C98:AF98))&gt;ABS(MIN(C98:AF98)),MAX(C98:AF98),MIN(C98:AF98))</f>
        <v>102</v>
      </c>
      <c r="AI98" s="116">
        <f>INDEX($C$9:$AF$9,1,MATCH(AH98,C98:AF98,0))</f>
        <v>0.54166666666666696</v>
      </c>
    </row>
    <row r="99" spans="1:37" ht="15.75" thickBot="1" x14ac:dyDescent="0.3">
      <c r="A99" s="118" t="s">
        <v>217</v>
      </c>
      <c r="B99" s="177" t="s">
        <v>231</v>
      </c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>
        <v>33.1</v>
      </c>
      <c r="Y99" s="63">
        <v>28</v>
      </c>
      <c r="Z99" s="63">
        <v>25.7</v>
      </c>
      <c r="AA99" s="63">
        <v>26.2</v>
      </c>
      <c r="AB99" s="119">
        <v>34.4</v>
      </c>
      <c r="AC99" s="119">
        <v>45.7</v>
      </c>
      <c r="AD99" s="119">
        <v>35</v>
      </c>
      <c r="AE99" s="119">
        <v>31.8</v>
      </c>
      <c r="AF99" s="119">
        <v>25.7</v>
      </c>
      <c r="AG99" s="121"/>
      <c r="AH99" s="54"/>
      <c r="AI99" s="116"/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2">AF101</f>
        <v>9.9</v>
      </c>
      <c r="C101" s="53">
        <v>9.9</v>
      </c>
      <c r="D101" s="127">
        <f t="shared" ref="D101:S106" si="23">C101</f>
        <v>9.9</v>
      </c>
      <c r="E101" s="127">
        <f t="shared" si="23"/>
        <v>9.9</v>
      </c>
      <c r="F101" s="127">
        <f t="shared" si="23"/>
        <v>9.9</v>
      </c>
      <c r="G101" s="127">
        <f t="shared" si="23"/>
        <v>9.9</v>
      </c>
      <c r="H101" s="127">
        <f t="shared" si="23"/>
        <v>9.9</v>
      </c>
      <c r="I101" s="127">
        <f t="shared" si="23"/>
        <v>9.9</v>
      </c>
      <c r="J101" s="127">
        <f t="shared" si="23"/>
        <v>9.9</v>
      </c>
      <c r="K101" s="127">
        <f t="shared" si="23"/>
        <v>9.9</v>
      </c>
      <c r="L101" s="127">
        <f t="shared" si="23"/>
        <v>9.9</v>
      </c>
      <c r="M101" s="127">
        <f t="shared" si="23"/>
        <v>9.9</v>
      </c>
      <c r="N101" s="127">
        <f t="shared" si="23"/>
        <v>9.9</v>
      </c>
      <c r="O101" s="127">
        <f t="shared" si="23"/>
        <v>9.9</v>
      </c>
      <c r="P101" s="127">
        <f t="shared" si="23"/>
        <v>9.9</v>
      </c>
      <c r="Q101" s="127">
        <f t="shared" si="23"/>
        <v>9.9</v>
      </c>
      <c r="R101" s="127">
        <f t="shared" si="23"/>
        <v>9.9</v>
      </c>
      <c r="S101" s="127">
        <f t="shared" si="23"/>
        <v>9.9</v>
      </c>
      <c r="T101" s="127">
        <f t="shared" ref="T101:AF106" si="24">S101</f>
        <v>9.9</v>
      </c>
      <c r="U101" s="127">
        <f t="shared" si="24"/>
        <v>9.9</v>
      </c>
      <c r="V101" s="127">
        <f t="shared" si="24"/>
        <v>9.9</v>
      </c>
      <c r="W101" s="127">
        <f t="shared" si="24"/>
        <v>9.9</v>
      </c>
      <c r="X101" s="127">
        <f t="shared" si="24"/>
        <v>9.9</v>
      </c>
      <c r="Y101" s="127">
        <f t="shared" si="24"/>
        <v>9.9</v>
      </c>
      <c r="Z101" s="127">
        <f t="shared" si="24"/>
        <v>9.9</v>
      </c>
      <c r="AA101" s="127">
        <f t="shared" si="24"/>
        <v>9.9</v>
      </c>
      <c r="AB101" s="127">
        <f t="shared" si="24"/>
        <v>9.9</v>
      </c>
      <c r="AC101" s="127">
        <f t="shared" si="24"/>
        <v>9.9</v>
      </c>
      <c r="AD101" s="127">
        <f t="shared" si="24"/>
        <v>9.9</v>
      </c>
      <c r="AE101" s="127">
        <f t="shared" si="24"/>
        <v>9.9</v>
      </c>
      <c r="AF101" s="127">
        <f t="shared" si="24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2"/>
        <v>9.6</v>
      </c>
      <c r="C102" s="130">
        <v>9.6</v>
      </c>
      <c r="D102" s="129">
        <f t="shared" si="23"/>
        <v>9.6</v>
      </c>
      <c r="E102" s="129">
        <f t="shared" si="23"/>
        <v>9.6</v>
      </c>
      <c r="F102" s="129">
        <f t="shared" si="23"/>
        <v>9.6</v>
      </c>
      <c r="G102" s="129">
        <f t="shared" si="23"/>
        <v>9.6</v>
      </c>
      <c r="H102" s="129">
        <f t="shared" si="23"/>
        <v>9.6</v>
      </c>
      <c r="I102" s="129">
        <f t="shared" si="23"/>
        <v>9.6</v>
      </c>
      <c r="J102" s="129">
        <f t="shared" si="23"/>
        <v>9.6</v>
      </c>
      <c r="K102" s="129">
        <f t="shared" si="23"/>
        <v>9.6</v>
      </c>
      <c r="L102" s="129">
        <f t="shared" si="23"/>
        <v>9.6</v>
      </c>
      <c r="M102" s="129">
        <f t="shared" si="23"/>
        <v>9.6</v>
      </c>
      <c r="N102" s="129">
        <f t="shared" si="23"/>
        <v>9.6</v>
      </c>
      <c r="O102" s="129">
        <f t="shared" si="23"/>
        <v>9.6</v>
      </c>
      <c r="P102" s="129">
        <f t="shared" si="23"/>
        <v>9.6</v>
      </c>
      <c r="Q102" s="129">
        <f t="shared" si="23"/>
        <v>9.6</v>
      </c>
      <c r="R102" s="129">
        <f t="shared" si="23"/>
        <v>9.6</v>
      </c>
      <c r="S102" s="129">
        <f t="shared" si="23"/>
        <v>9.6</v>
      </c>
      <c r="T102" s="129">
        <f t="shared" si="24"/>
        <v>9.6</v>
      </c>
      <c r="U102" s="129">
        <f t="shared" si="24"/>
        <v>9.6</v>
      </c>
      <c r="V102" s="129">
        <f t="shared" si="24"/>
        <v>9.6</v>
      </c>
      <c r="W102" s="129">
        <f t="shared" si="24"/>
        <v>9.6</v>
      </c>
      <c r="X102" s="129">
        <f t="shared" si="24"/>
        <v>9.6</v>
      </c>
      <c r="Y102" s="129">
        <f t="shared" si="24"/>
        <v>9.6</v>
      </c>
      <c r="Z102" s="129">
        <f t="shared" si="24"/>
        <v>9.6</v>
      </c>
      <c r="AA102" s="129">
        <f t="shared" si="24"/>
        <v>9.6</v>
      </c>
      <c r="AB102" s="129">
        <f t="shared" si="24"/>
        <v>9.6</v>
      </c>
      <c r="AC102" s="129">
        <f t="shared" si="24"/>
        <v>9.6</v>
      </c>
      <c r="AD102" s="129">
        <f t="shared" si="24"/>
        <v>9.6</v>
      </c>
      <c r="AE102" s="129">
        <f t="shared" si="24"/>
        <v>9.6</v>
      </c>
      <c r="AF102" s="129">
        <f t="shared" si="24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2"/>
        <v>9.98</v>
      </c>
      <c r="C103" s="130">
        <v>9.98</v>
      </c>
      <c r="D103" s="129">
        <f t="shared" si="23"/>
        <v>9.98</v>
      </c>
      <c r="E103" s="129">
        <f t="shared" si="23"/>
        <v>9.98</v>
      </c>
      <c r="F103" s="129">
        <f t="shared" si="23"/>
        <v>9.98</v>
      </c>
      <c r="G103" s="129">
        <f t="shared" si="23"/>
        <v>9.98</v>
      </c>
      <c r="H103" s="129">
        <f t="shared" si="23"/>
        <v>9.98</v>
      </c>
      <c r="I103" s="129">
        <f t="shared" si="23"/>
        <v>9.98</v>
      </c>
      <c r="J103" s="129">
        <f t="shared" si="23"/>
        <v>9.98</v>
      </c>
      <c r="K103" s="129">
        <f t="shared" si="23"/>
        <v>9.98</v>
      </c>
      <c r="L103" s="129">
        <f t="shared" si="23"/>
        <v>9.98</v>
      </c>
      <c r="M103" s="129">
        <f t="shared" si="23"/>
        <v>9.98</v>
      </c>
      <c r="N103" s="129">
        <f t="shared" si="23"/>
        <v>9.98</v>
      </c>
      <c r="O103" s="129">
        <f t="shared" si="23"/>
        <v>9.98</v>
      </c>
      <c r="P103" s="129">
        <f t="shared" si="23"/>
        <v>9.98</v>
      </c>
      <c r="Q103" s="129">
        <f t="shared" si="23"/>
        <v>9.98</v>
      </c>
      <c r="R103" s="129">
        <f t="shared" si="23"/>
        <v>9.98</v>
      </c>
      <c r="S103" s="129">
        <f t="shared" si="23"/>
        <v>9.98</v>
      </c>
      <c r="T103" s="129">
        <f t="shared" si="24"/>
        <v>9.98</v>
      </c>
      <c r="U103" s="129">
        <f t="shared" si="24"/>
        <v>9.98</v>
      </c>
      <c r="V103" s="129">
        <f t="shared" si="24"/>
        <v>9.98</v>
      </c>
      <c r="W103" s="129">
        <f t="shared" si="24"/>
        <v>9.98</v>
      </c>
      <c r="X103" s="129">
        <f t="shared" si="24"/>
        <v>9.98</v>
      </c>
      <c r="Y103" s="129">
        <f t="shared" si="24"/>
        <v>9.98</v>
      </c>
      <c r="Z103" s="129">
        <f t="shared" si="24"/>
        <v>9.98</v>
      </c>
      <c r="AA103" s="129">
        <f t="shared" si="24"/>
        <v>9.98</v>
      </c>
      <c r="AB103" s="129">
        <f t="shared" si="24"/>
        <v>9.98</v>
      </c>
      <c r="AC103" s="129">
        <f t="shared" si="24"/>
        <v>9.98</v>
      </c>
      <c r="AD103" s="129">
        <f t="shared" si="24"/>
        <v>9.98</v>
      </c>
      <c r="AE103" s="129">
        <f t="shared" si="24"/>
        <v>9.98</v>
      </c>
      <c r="AF103" s="129">
        <f t="shared" si="24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2"/>
        <v>9.1</v>
      </c>
      <c r="C104" s="130">
        <v>9.1</v>
      </c>
      <c r="D104" s="129">
        <f t="shared" si="23"/>
        <v>9.1</v>
      </c>
      <c r="E104" s="129">
        <f t="shared" si="23"/>
        <v>9.1</v>
      </c>
      <c r="F104" s="129">
        <f t="shared" si="23"/>
        <v>9.1</v>
      </c>
      <c r="G104" s="129">
        <f t="shared" si="23"/>
        <v>9.1</v>
      </c>
      <c r="H104" s="129">
        <f t="shared" si="23"/>
        <v>9.1</v>
      </c>
      <c r="I104" s="129">
        <f t="shared" si="23"/>
        <v>9.1</v>
      </c>
      <c r="J104" s="129">
        <f t="shared" si="23"/>
        <v>9.1</v>
      </c>
      <c r="K104" s="129">
        <f t="shared" si="23"/>
        <v>9.1</v>
      </c>
      <c r="L104" s="129">
        <f t="shared" si="23"/>
        <v>9.1</v>
      </c>
      <c r="M104" s="129">
        <f t="shared" si="23"/>
        <v>9.1</v>
      </c>
      <c r="N104" s="129">
        <f t="shared" si="23"/>
        <v>9.1</v>
      </c>
      <c r="O104" s="129">
        <f t="shared" si="23"/>
        <v>9.1</v>
      </c>
      <c r="P104" s="129">
        <f t="shared" si="23"/>
        <v>9.1</v>
      </c>
      <c r="Q104" s="129">
        <f t="shared" si="23"/>
        <v>9.1</v>
      </c>
      <c r="R104" s="129">
        <f t="shared" si="23"/>
        <v>9.1</v>
      </c>
      <c r="S104" s="129">
        <f t="shared" si="23"/>
        <v>9.1</v>
      </c>
      <c r="T104" s="129">
        <f t="shared" si="24"/>
        <v>9.1</v>
      </c>
      <c r="U104" s="129">
        <f t="shared" si="24"/>
        <v>9.1</v>
      </c>
      <c r="V104" s="129">
        <f t="shared" si="24"/>
        <v>9.1</v>
      </c>
      <c r="W104" s="129">
        <f t="shared" si="24"/>
        <v>9.1</v>
      </c>
      <c r="X104" s="129">
        <f t="shared" si="24"/>
        <v>9.1</v>
      </c>
      <c r="Y104" s="129">
        <f t="shared" si="24"/>
        <v>9.1</v>
      </c>
      <c r="Z104" s="129">
        <f t="shared" si="24"/>
        <v>9.1</v>
      </c>
      <c r="AA104" s="129">
        <f t="shared" si="24"/>
        <v>9.1</v>
      </c>
      <c r="AB104" s="129">
        <f t="shared" si="24"/>
        <v>9.1</v>
      </c>
      <c r="AC104" s="129">
        <f t="shared" si="24"/>
        <v>9.1</v>
      </c>
      <c r="AD104" s="129">
        <f t="shared" si="24"/>
        <v>9.1</v>
      </c>
      <c r="AE104" s="129">
        <f t="shared" si="24"/>
        <v>9.1</v>
      </c>
      <c r="AF104" s="129">
        <f t="shared" si="24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2"/>
        <v>9.18</v>
      </c>
      <c r="C105" s="130">
        <v>9.18</v>
      </c>
      <c r="D105" s="129">
        <f t="shared" si="23"/>
        <v>9.18</v>
      </c>
      <c r="E105" s="129">
        <f t="shared" si="23"/>
        <v>9.18</v>
      </c>
      <c r="F105" s="129">
        <f t="shared" si="23"/>
        <v>9.18</v>
      </c>
      <c r="G105" s="129">
        <f t="shared" si="23"/>
        <v>9.18</v>
      </c>
      <c r="H105" s="129">
        <f t="shared" si="23"/>
        <v>9.18</v>
      </c>
      <c r="I105" s="129">
        <f t="shared" si="23"/>
        <v>9.18</v>
      </c>
      <c r="J105" s="129">
        <f t="shared" si="23"/>
        <v>9.18</v>
      </c>
      <c r="K105" s="129">
        <f t="shared" si="23"/>
        <v>9.18</v>
      </c>
      <c r="L105" s="129">
        <f t="shared" si="23"/>
        <v>9.18</v>
      </c>
      <c r="M105" s="129">
        <f t="shared" si="23"/>
        <v>9.18</v>
      </c>
      <c r="N105" s="129">
        <f t="shared" si="23"/>
        <v>9.18</v>
      </c>
      <c r="O105" s="129">
        <f t="shared" si="23"/>
        <v>9.18</v>
      </c>
      <c r="P105" s="129">
        <f t="shared" si="23"/>
        <v>9.18</v>
      </c>
      <c r="Q105" s="129">
        <f t="shared" si="23"/>
        <v>9.18</v>
      </c>
      <c r="R105" s="129">
        <f t="shared" si="23"/>
        <v>9.18</v>
      </c>
      <c r="S105" s="129">
        <f t="shared" si="23"/>
        <v>9.18</v>
      </c>
      <c r="T105" s="129">
        <f t="shared" si="24"/>
        <v>9.18</v>
      </c>
      <c r="U105" s="129">
        <f t="shared" si="24"/>
        <v>9.18</v>
      </c>
      <c r="V105" s="129">
        <f t="shared" si="24"/>
        <v>9.18</v>
      </c>
      <c r="W105" s="129">
        <f t="shared" si="24"/>
        <v>9.18</v>
      </c>
      <c r="X105" s="129">
        <f t="shared" si="24"/>
        <v>9.18</v>
      </c>
      <c r="Y105" s="129">
        <f t="shared" si="24"/>
        <v>9.18</v>
      </c>
      <c r="Z105" s="129">
        <f t="shared" si="24"/>
        <v>9.18</v>
      </c>
      <c r="AA105" s="129">
        <f t="shared" si="24"/>
        <v>9.18</v>
      </c>
      <c r="AB105" s="129">
        <f t="shared" si="24"/>
        <v>9.18</v>
      </c>
      <c r="AC105" s="129">
        <f t="shared" si="24"/>
        <v>9.18</v>
      </c>
      <c r="AD105" s="129">
        <f t="shared" si="24"/>
        <v>9.18</v>
      </c>
      <c r="AE105" s="129">
        <f t="shared" si="24"/>
        <v>9.18</v>
      </c>
      <c r="AF105" s="129">
        <f t="shared" si="24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2"/>
        <v>7</v>
      </c>
      <c r="C106" s="130">
        <v>7</v>
      </c>
      <c r="D106" s="129">
        <f t="shared" si="23"/>
        <v>7</v>
      </c>
      <c r="E106" s="129">
        <f t="shared" si="23"/>
        <v>7</v>
      </c>
      <c r="F106" s="129">
        <f t="shared" si="23"/>
        <v>7</v>
      </c>
      <c r="G106" s="129">
        <f t="shared" si="23"/>
        <v>7</v>
      </c>
      <c r="H106" s="129">
        <f t="shared" si="23"/>
        <v>7</v>
      </c>
      <c r="I106" s="129">
        <f t="shared" si="23"/>
        <v>7</v>
      </c>
      <c r="J106" s="129">
        <f t="shared" si="23"/>
        <v>7</v>
      </c>
      <c r="K106" s="129">
        <f t="shared" si="23"/>
        <v>7</v>
      </c>
      <c r="L106" s="129">
        <f t="shared" si="23"/>
        <v>7</v>
      </c>
      <c r="M106" s="129">
        <f t="shared" si="23"/>
        <v>7</v>
      </c>
      <c r="N106" s="129">
        <f t="shared" si="23"/>
        <v>7</v>
      </c>
      <c r="O106" s="129">
        <f t="shared" si="23"/>
        <v>7</v>
      </c>
      <c r="P106" s="129">
        <f t="shared" si="23"/>
        <v>7</v>
      </c>
      <c r="Q106" s="129">
        <f t="shared" si="23"/>
        <v>7</v>
      </c>
      <c r="R106" s="129">
        <f t="shared" si="23"/>
        <v>7</v>
      </c>
      <c r="S106" s="129">
        <f t="shared" si="23"/>
        <v>7</v>
      </c>
      <c r="T106" s="129">
        <f t="shared" si="24"/>
        <v>7</v>
      </c>
      <c r="U106" s="129">
        <f t="shared" si="24"/>
        <v>7</v>
      </c>
      <c r="V106" s="129">
        <f t="shared" si="24"/>
        <v>7</v>
      </c>
      <c r="W106" s="129">
        <f t="shared" si="24"/>
        <v>7</v>
      </c>
      <c r="X106" s="129">
        <f t="shared" si="24"/>
        <v>7</v>
      </c>
      <c r="Y106" s="129">
        <f t="shared" si="24"/>
        <v>7</v>
      </c>
      <c r="Z106" s="129">
        <f t="shared" si="24"/>
        <v>7</v>
      </c>
      <c r="AA106" s="129">
        <f t="shared" si="24"/>
        <v>7</v>
      </c>
      <c r="AB106" s="129">
        <f t="shared" si="24"/>
        <v>7</v>
      </c>
      <c r="AC106" s="129">
        <f t="shared" si="24"/>
        <v>7</v>
      </c>
      <c r="AD106" s="129">
        <f t="shared" si="24"/>
        <v>7</v>
      </c>
      <c r="AE106" s="129">
        <f t="shared" si="24"/>
        <v>7</v>
      </c>
      <c r="AF106" s="129">
        <f t="shared" si="24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5">C108</f>
        <v>2.25</v>
      </c>
      <c r="E108" s="129">
        <f t="shared" si="25"/>
        <v>2.25</v>
      </c>
      <c r="F108" s="129">
        <f t="shared" si="25"/>
        <v>2.25</v>
      </c>
      <c r="G108" s="129">
        <f t="shared" si="25"/>
        <v>2.25</v>
      </c>
      <c r="H108" s="129">
        <f t="shared" si="25"/>
        <v>2.25</v>
      </c>
      <c r="I108" s="129">
        <f t="shared" si="25"/>
        <v>2.25</v>
      </c>
      <c r="J108" s="129">
        <f t="shared" si="25"/>
        <v>2.25</v>
      </c>
      <c r="K108" s="129">
        <f t="shared" si="25"/>
        <v>2.25</v>
      </c>
      <c r="L108" s="129">
        <f t="shared" si="25"/>
        <v>2.25</v>
      </c>
      <c r="M108" s="129">
        <f t="shared" si="25"/>
        <v>2.25</v>
      </c>
      <c r="N108" s="129">
        <f t="shared" si="25"/>
        <v>2.25</v>
      </c>
      <c r="O108" s="129">
        <f t="shared" si="25"/>
        <v>2.25</v>
      </c>
      <c r="P108" s="129">
        <f t="shared" si="25"/>
        <v>2.25</v>
      </c>
      <c r="Q108" s="129">
        <f t="shared" si="25"/>
        <v>2.25</v>
      </c>
      <c r="R108" s="129">
        <f t="shared" si="25"/>
        <v>2.25</v>
      </c>
      <c r="S108" s="129">
        <f t="shared" si="25"/>
        <v>2.25</v>
      </c>
      <c r="T108" s="129">
        <f t="shared" ref="T108:AF109" si="26">S108</f>
        <v>2.25</v>
      </c>
      <c r="U108" s="129">
        <f t="shared" si="26"/>
        <v>2.25</v>
      </c>
      <c r="V108" s="129">
        <f t="shared" si="26"/>
        <v>2.25</v>
      </c>
      <c r="W108" s="129">
        <f t="shared" si="26"/>
        <v>2.25</v>
      </c>
      <c r="X108" s="129">
        <f t="shared" si="26"/>
        <v>2.25</v>
      </c>
      <c r="Y108" s="129">
        <f t="shared" si="26"/>
        <v>2.25</v>
      </c>
      <c r="Z108" s="129">
        <f t="shared" si="26"/>
        <v>2.25</v>
      </c>
      <c r="AA108" s="129">
        <f t="shared" si="26"/>
        <v>2.25</v>
      </c>
      <c r="AB108" s="129">
        <f t="shared" si="26"/>
        <v>2.25</v>
      </c>
      <c r="AC108" s="129">
        <f t="shared" si="26"/>
        <v>2.25</v>
      </c>
      <c r="AD108" s="129">
        <f t="shared" si="26"/>
        <v>2.25</v>
      </c>
      <c r="AE108" s="129">
        <f t="shared" si="26"/>
        <v>2.25</v>
      </c>
      <c r="AF108" s="129">
        <f t="shared" si="26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5"/>
        <v>1.64</v>
      </c>
      <c r="E109" s="129">
        <f t="shared" si="25"/>
        <v>1.64</v>
      </c>
      <c r="F109" s="129">
        <f t="shared" si="25"/>
        <v>1.64</v>
      </c>
      <c r="G109" s="129">
        <f t="shared" si="25"/>
        <v>1.64</v>
      </c>
      <c r="H109" s="129">
        <f t="shared" si="25"/>
        <v>1.64</v>
      </c>
      <c r="I109" s="129">
        <f t="shared" si="25"/>
        <v>1.64</v>
      </c>
      <c r="J109" s="129">
        <f t="shared" si="25"/>
        <v>1.64</v>
      </c>
      <c r="K109" s="129">
        <f t="shared" si="25"/>
        <v>1.64</v>
      </c>
      <c r="L109" s="129">
        <f t="shared" si="25"/>
        <v>1.64</v>
      </c>
      <c r="M109" s="129">
        <f t="shared" si="25"/>
        <v>1.64</v>
      </c>
      <c r="N109" s="129">
        <f t="shared" si="25"/>
        <v>1.64</v>
      </c>
      <c r="O109" s="129">
        <f t="shared" si="25"/>
        <v>1.64</v>
      </c>
      <c r="P109" s="129">
        <f t="shared" si="25"/>
        <v>1.64</v>
      </c>
      <c r="Q109" s="129">
        <f t="shared" si="25"/>
        <v>1.64</v>
      </c>
      <c r="R109" s="129">
        <f t="shared" si="25"/>
        <v>1.64</v>
      </c>
      <c r="S109" s="129">
        <f t="shared" si="25"/>
        <v>1.64</v>
      </c>
      <c r="T109" s="129">
        <f t="shared" si="26"/>
        <v>1.64</v>
      </c>
      <c r="U109" s="129">
        <f t="shared" si="26"/>
        <v>1.64</v>
      </c>
      <c r="V109" s="129">
        <f t="shared" si="26"/>
        <v>1.64</v>
      </c>
      <c r="W109" s="129">
        <f t="shared" si="26"/>
        <v>1.64</v>
      </c>
      <c r="X109" s="129">
        <f t="shared" si="26"/>
        <v>1.64</v>
      </c>
      <c r="Y109" s="129">
        <f t="shared" si="26"/>
        <v>1.64</v>
      </c>
      <c r="Z109" s="129">
        <f t="shared" si="26"/>
        <v>1.64</v>
      </c>
      <c r="AA109" s="129">
        <f t="shared" si="26"/>
        <v>1.64</v>
      </c>
      <c r="AB109" s="129">
        <f t="shared" si="26"/>
        <v>1.64</v>
      </c>
      <c r="AC109" s="129">
        <f t="shared" si="26"/>
        <v>1.64</v>
      </c>
      <c r="AD109" s="129">
        <f t="shared" si="26"/>
        <v>1.64</v>
      </c>
      <c r="AE109" s="129">
        <f t="shared" si="26"/>
        <v>1.64</v>
      </c>
      <c r="AF109" s="129">
        <f t="shared" si="26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7">AF111</f>
        <v>1.62</v>
      </c>
      <c r="C111" s="130">
        <v>1.62</v>
      </c>
      <c r="D111" s="129">
        <f t="shared" ref="D111:S118" si="28">C111</f>
        <v>1.62</v>
      </c>
      <c r="E111" s="129">
        <f t="shared" si="28"/>
        <v>1.62</v>
      </c>
      <c r="F111" s="129">
        <f t="shared" si="28"/>
        <v>1.62</v>
      </c>
      <c r="G111" s="129">
        <f t="shared" si="28"/>
        <v>1.62</v>
      </c>
      <c r="H111" s="129">
        <f t="shared" si="28"/>
        <v>1.62</v>
      </c>
      <c r="I111" s="129">
        <f t="shared" si="28"/>
        <v>1.62</v>
      </c>
      <c r="J111" s="129">
        <f t="shared" si="28"/>
        <v>1.62</v>
      </c>
      <c r="K111" s="129">
        <f t="shared" si="28"/>
        <v>1.62</v>
      </c>
      <c r="L111" s="129">
        <f t="shared" si="28"/>
        <v>1.62</v>
      </c>
      <c r="M111" s="129">
        <f t="shared" si="28"/>
        <v>1.62</v>
      </c>
      <c r="N111" s="129">
        <f t="shared" si="28"/>
        <v>1.62</v>
      </c>
      <c r="O111" s="129">
        <f t="shared" si="28"/>
        <v>1.62</v>
      </c>
      <c r="P111" s="129">
        <f t="shared" si="28"/>
        <v>1.62</v>
      </c>
      <c r="Q111" s="129">
        <f t="shared" si="28"/>
        <v>1.62</v>
      </c>
      <c r="R111" s="129">
        <f t="shared" si="28"/>
        <v>1.62</v>
      </c>
      <c r="S111" s="129">
        <f t="shared" si="28"/>
        <v>1.62</v>
      </c>
      <c r="T111" s="129">
        <f t="shared" ref="T111:AF126" si="29">S111</f>
        <v>1.62</v>
      </c>
      <c r="U111" s="129">
        <f t="shared" si="29"/>
        <v>1.62</v>
      </c>
      <c r="V111" s="129">
        <f t="shared" si="29"/>
        <v>1.62</v>
      </c>
      <c r="W111" s="129">
        <f t="shared" si="29"/>
        <v>1.62</v>
      </c>
      <c r="X111" s="129">
        <f t="shared" si="29"/>
        <v>1.62</v>
      </c>
      <c r="Y111" s="129">
        <f t="shared" si="29"/>
        <v>1.62</v>
      </c>
      <c r="Z111" s="129">
        <f t="shared" si="29"/>
        <v>1.62</v>
      </c>
      <c r="AA111" s="129">
        <f t="shared" si="29"/>
        <v>1.62</v>
      </c>
      <c r="AB111" s="129">
        <f t="shared" si="29"/>
        <v>1.62</v>
      </c>
      <c r="AC111" s="129">
        <f t="shared" si="29"/>
        <v>1.62</v>
      </c>
      <c r="AD111" s="129">
        <f t="shared" si="29"/>
        <v>1.62</v>
      </c>
      <c r="AE111" s="129">
        <f t="shared" si="29"/>
        <v>1.62</v>
      </c>
      <c r="AF111" s="129">
        <f t="shared" si="29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7"/>
        <v>8.36</v>
      </c>
      <c r="C112" s="130">
        <v>8.36</v>
      </c>
      <c r="D112" s="129">
        <f t="shared" si="28"/>
        <v>8.36</v>
      </c>
      <c r="E112" s="129">
        <f t="shared" si="28"/>
        <v>8.36</v>
      </c>
      <c r="F112" s="129">
        <f t="shared" si="28"/>
        <v>8.36</v>
      </c>
      <c r="G112" s="129">
        <f t="shared" si="28"/>
        <v>8.36</v>
      </c>
      <c r="H112" s="129">
        <f t="shared" si="28"/>
        <v>8.36</v>
      </c>
      <c r="I112" s="129">
        <f t="shared" si="28"/>
        <v>8.36</v>
      </c>
      <c r="J112" s="129">
        <f t="shared" si="28"/>
        <v>8.36</v>
      </c>
      <c r="K112" s="129">
        <f t="shared" si="28"/>
        <v>8.36</v>
      </c>
      <c r="L112" s="129">
        <f t="shared" si="28"/>
        <v>8.36</v>
      </c>
      <c r="M112" s="129">
        <f t="shared" si="28"/>
        <v>8.36</v>
      </c>
      <c r="N112" s="129">
        <f t="shared" si="28"/>
        <v>8.36</v>
      </c>
      <c r="O112" s="129">
        <f t="shared" si="28"/>
        <v>8.36</v>
      </c>
      <c r="P112" s="129">
        <f t="shared" si="28"/>
        <v>8.36</v>
      </c>
      <c r="Q112" s="129">
        <f t="shared" si="28"/>
        <v>8.36</v>
      </c>
      <c r="R112" s="129">
        <f t="shared" si="28"/>
        <v>8.36</v>
      </c>
      <c r="S112" s="129">
        <f t="shared" si="28"/>
        <v>8.36</v>
      </c>
      <c r="T112" s="129">
        <f t="shared" si="29"/>
        <v>8.36</v>
      </c>
      <c r="U112" s="129">
        <f t="shared" si="29"/>
        <v>8.36</v>
      </c>
      <c r="V112" s="129">
        <f t="shared" si="29"/>
        <v>8.36</v>
      </c>
      <c r="W112" s="129">
        <f t="shared" si="29"/>
        <v>8.36</v>
      </c>
      <c r="X112" s="129">
        <f t="shared" si="29"/>
        <v>8.36</v>
      </c>
      <c r="Y112" s="129">
        <f t="shared" si="29"/>
        <v>8.36</v>
      </c>
      <c r="Z112" s="129">
        <f t="shared" si="29"/>
        <v>8.36</v>
      </c>
      <c r="AA112" s="129">
        <f t="shared" si="29"/>
        <v>8.36</v>
      </c>
      <c r="AB112" s="129">
        <f t="shared" si="29"/>
        <v>8.36</v>
      </c>
      <c r="AC112" s="129">
        <f t="shared" si="29"/>
        <v>8.36</v>
      </c>
      <c r="AD112" s="129">
        <f t="shared" si="29"/>
        <v>8.36</v>
      </c>
      <c r="AE112" s="129">
        <f t="shared" si="29"/>
        <v>8.36</v>
      </c>
      <c r="AF112" s="129">
        <f t="shared" si="29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7"/>
        <v>5.4</v>
      </c>
      <c r="C113" s="130"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v>5.4</v>
      </c>
      <c r="K113" s="129">
        <f t="shared" si="28"/>
        <v>5.4</v>
      </c>
      <c r="L113" s="129">
        <f t="shared" si="28"/>
        <v>5.4</v>
      </c>
      <c r="M113" s="129">
        <f t="shared" si="28"/>
        <v>5.4</v>
      </c>
      <c r="N113" s="129">
        <f t="shared" si="28"/>
        <v>5.4</v>
      </c>
      <c r="O113" s="129">
        <f t="shared" si="28"/>
        <v>5.4</v>
      </c>
      <c r="P113" s="129">
        <f t="shared" si="28"/>
        <v>5.4</v>
      </c>
      <c r="Q113" s="129">
        <f t="shared" si="28"/>
        <v>5.4</v>
      </c>
      <c r="R113" s="129">
        <f t="shared" si="28"/>
        <v>5.4</v>
      </c>
      <c r="S113" s="129">
        <f t="shared" si="28"/>
        <v>5.4</v>
      </c>
      <c r="T113" s="129">
        <f t="shared" si="29"/>
        <v>5.4</v>
      </c>
      <c r="U113" s="129">
        <f t="shared" si="29"/>
        <v>5.4</v>
      </c>
      <c r="V113" s="129">
        <f t="shared" si="29"/>
        <v>5.4</v>
      </c>
      <c r="W113" s="129">
        <f t="shared" si="29"/>
        <v>5.4</v>
      </c>
      <c r="X113" s="129">
        <f t="shared" si="29"/>
        <v>5.4</v>
      </c>
      <c r="Y113" s="129">
        <f t="shared" si="29"/>
        <v>5.4</v>
      </c>
      <c r="Z113" s="129">
        <f t="shared" si="29"/>
        <v>5.4</v>
      </c>
      <c r="AA113" s="129">
        <f t="shared" si="29"/>
        <v>5.4</v>
      </c>
      <c r="AB113" s="129">
        <f t="shared" si="29"/>
        <v>5.4</v>
      </c>
      <c r="AC113" s="129">
        <f t="shared" si="29"/>
        <v>5.4</v>
      </c>
      <c r="AD113" s="129">
        <f t="shared" si="29"/>
        <v>5.4</v>
      </c>
      <c r="AE113" s="129">
        <f t="shared" si="29"/>
        <v>5.4</v>
      </c>
      <c r="AF113" s="129">
        <f t="shared" si="29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7"/>
        <v>6.57</v>
      </c>
      <c r="C114" s="130">
        <v>6.57</v>
      </c>
      <c r="D114" s="129">
        <f t="shared" si="28"/>
        <v>6.57</v>
      </c>
      <c r="E114" s="129">
        <f t="shared" si="28"/>
        <v>6.57</v>
      </c>
      <c r="F114" s="129">
        <f t="shared" si="28"/>
        <v>6.57</v>
      </c>
      <c r="G114" s="129">
        <f t="shared" si="28"/>
        <v>6.57</v>
      </c>
      <c r="H114" s="129">
        <f t="shared" si="28"/>
        <v>6.57</v>
      </c>
      <c r="I114" s="129">
        <f t="shared" si="28"/>
        <v>6.57</v>
      </c>
      <c r="J114" s="129">
        <f t="shared" si="28"/>
        <v>6.57</v>
      </c>
      <c r="K114" s="129">
        <f t="shared" si="28"/>
        <v>6.57</v>
      </c>
      <c r="L114" s="129">
        <f t="shared" si="28"/>
        <v>6.57</v>
      </c>
      <c r="M114" s="129">
        <f t="shared" si="28"/>
        <v>6.57</v>
      </c>
      <c r="N114" s="129">
        <f t="shared" si="28"/>
        <v>6.57</v>
      </c>
      <c r="O114" s="129">
        <f t="shared" si="28"/>
        <v>6.57</v>
      </c>
      <c r="P114" s="129">
        <f t="shared" si="28"/>
        <v>6.57</v>
      </c>
      <c r="Q114" s="129">
        <f t="shared" si="28"/>
        <v>6.57</v>
      </c>
      <c r="R114" s="129">
        <f t="shared" si="28"/>
        <v>6.57</v>
      </c>
      <c r="S114" s="129">
        <f t="shared" si="28"/>
        <v>6.57</v>
      </c>
      <c r="T114" s="129">
        <f t="shared" si="29"/>
        <v>6.57</v>
      </c>
      <c r="U114" s="129">
        <f t="shared" si="29"/>
        <v>6.57</v>
      </c>
      <c r="V114" s="129">
        <f t="shared" si="29"/>
        <v>6.57</v>
      </c>
      <c r="W114" s="129">
        <f t="shared" si="29"/>
        <v>6.57</v>
      </c>
      <c r="X114" s="129">
        <f t="shared" si="29"/>
        <v>6.57</v>
      </c>
      <c r="Y114" s="129">
        <f t="shared" si="29"/>
        <v>6.57</v>
      </c>
      <c r="Z114" s="129">
        <f t="shared" si="29"/>
        <v>6.57</v>
      </c>
      <c r="AA114" s="129">
        <f t="shared" si="29"/>
        <v>6.57</v>
      </c>
      <c r="AB114" s="129">
        <f t="shared" si="29"/>
        <v>6.57</v>
      </c>
      <c r="AC114" s="129">
        <f t="shared" si="29"/>
        <v>6.57</v>
      </c>
      <c r="AD114" s="129">
        <f t="shared" si="29"/>
        <v>6.57</v>
      </c>
      <c r="AE114" s="129">
        <f t="shared" si="29"/>
        <v>6.57</v>
      </c>
      <c r="AF114" s="129">
        <f t="shared" si="29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7"/>
        <v>3.43</v>
      </c>
      <c r="C115" s="130">
        <v>3.43</v>
      </c>
      <c r="D115" s="129">
        <f t="shared" si="28"/>
        <v>3.43</v>
      </c>
      <c r="E115" s="129">
        <f t="shared" si="28"/>
        <v>3.43</v>
      </c>
      <c r="F115" s="129">
        <f t="shared" si="28"/>
        <v>3.43</v>
      </c>
      <c r="G115" s="129">
        <f t="shared" si="28"/>
        <v>3.43</v>
      </c>
      <c r="H115" s="129">
        <f t="shared" si="28"/>
        <v>3.43</v>
      </c>
      <c r="I115" s="129">
        <f t="shared" si="28"/>
        <v>3.43</v>
      </c>
      <c r="J115" s="129">
        <f t="shared" si="28"/>
        <v>3.43</v>
      </c>
      <c r="K115" s="129">
        <f t="shared" si="28"/>
        <v>3.43</v>
      </c>
      <c r="L115" s="129">
        <f t="shared" si="28"/>
        <v>3.43</v>
      </c>
      <c r="M115" s="129">
        <f t="shared" si="28"/>
        <v>3.43</v>
      </c>
      <c r="N115" s="129">
        <f t="shared" si="28"/>
        <v>3.43</v>
      </c>
      <c r="O115" s="129">
        <f t="shared" si="28"/>
        <v>3.43</v>
      </c>
      <c r="P115" s="129">
        <f t="shared" si="28"/>
        <v>3.43</v>
      </c>
      <c r="Q115" s="129">
        <f t="shared" si="28"/>
        <v>3.43</v>
      </c>
      <c r="R115" s="129">
        <f t="shared" si="28"/>
        <v>3.43</v>
      </c>
      <c r="S115" s="129">
        <f t="shared" si="28"/>
        <v>3.43</v>
      </c>
      <c r="T115" s="129">
        <f t="shared" si="29"/>
        <v>3.43</v>
      </c>
      <c r="U115" s="129">
        <f t="shared" si="29"/>
        <v>3.43</v>
      </c>
      <c r="V115" s="129">
        <f t="shared" si="29"/>
        <v>3.43</v>
      </c>
      <c r="W115" s="129">
        <f t="shared" si="29"/>
        <v>3.43</v>
      </c>
      <c r="X115" s="129">
        <f t="shared" si="29"/>
        <v>3.43</v>
      </c>
      <c r="Y115" s="129">
        <f t="shared" si="29"/>
        <v>3.43</v>
      </c>
      <c r="Z115" s="129">
        <f t="shared" si="29"/>
        <v>3.43</v>
      </c>
      <c r="AA115" s="129">
        <f t="shared" si="29"/>
        <v>3.43</v>
      </c>
      <c r="AB115" s="129">
        <f t="shared" si="29"/>
        <v>3.43</v>
      </c>
      <c r="AC115" s="129">
        <f t="shared" si="29"/>
        <v>3.43</v>
      </c>
      <c r="AD115" s="129">
        <f t="shared" si="29"/>
        <v>3.43</v>
      </c>
      <c r="AE115" s="129">
        <f t="shared" si="29"/>
        <v>3.43</v>
      </c>
      <c r="AF115" s="129">
        <f t="shared" si="29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7"/>
        <v>2.96</v>
      </c>
      <c r="C116" s="130">
        <v>2.96</v>
      </c>
      <c r="D116" s="129">
        <f t="shared" si="28"/>
        <v>2.96</v>
      </c>
      <c r="E116" s="129">
        <f t="shared" si="28"/>
        <v>2.96</v>
      </c>
      <c r="F116" s="129">
        <f t="shared" si="28"/>
        <v>2.96</v>
      </c>
      <c r="G116" s="129">
        <f t="shared" si="28"/>
        <v>2.96</v>
      </c>
      <c r="H116" s="129">
        <f t="shared" si="28"/>
        <v>2.96</v>
      </c>
      <c r="I116" s="129">
        <f t="shared" si="28"/>
        <v>2.96</v>
      </c>
      <c r="J116" s="129">
        <f t="shared" si="28"/>
        <v>2.96</v>
      </c>
      <c r="K116" s="129">
        <f t="shared" si="28"/>
        <v>2.96</v>
      </c>
      <c r="L116" s="129">
        <f t="shared" si="28"/>
        <v>2.96</v>
      </c>
      <c r="M116" s="129">
        <f t="shared" si="28"/>
        <v>2.96</v>
      </c>
      <c r="N116" s="129">
        <f t="shared" si="28"/>
        <v>2.96</v>
      </c>
      <c r="O116" s="129">
        <f t="shared" si="28"/>
        <v>2.96</v>
      </c>
      <c r="P116" s="129">
        <f t="shared" si="28"/>
        <v>2.96</v>
      </c>
      <c r="Q116" s="129">
        <f t="shared" si="28"/>
        <v>2.96</v>
      </c>
      <c r="R116" s="129">
        <f t="shared" si="28"/>
        <v>2.96</v>
      </c>
      <c r="S116" s="129">
        <f t="shared" si="28"/>
        <v>2.96</v>
      </c>
      <c r="T116" s="129">
        <f t="shared" si="29"/>
        <v>2.96</v>
      </c>
      <c r="U116" s="129">
        <f t="shared" si="29"/>
        <v>2.96</v>
      </c>
      <c r="V116" s="129">
        <f t="shared" si="29"/>
        <v>2.96</v>
      </c>
      <c r="W116" s="129">
        <f t="shared" si="29"/>
        <v>2.96</v>
      </c>
      <c r="X116" s="129">
        <f t="shared" si="29"/>
        <v>2.96</v>
      </c>
      <c r="Y116" s="129">
        <f t="shared" si="29"/>
        <v>2.96</v>
      </c>
      <c r="Z116" s="129">
        <f t="shared" si="29"/>
        <v>2.96</v>
      </c>
      <c r="AA116" s="129">
        <f t="shared" si="29"/>
        <v>2.96</v>
      </c>
      <c r="AB116" s="129">
        <f t="shared" si="29"/>
        <v>2.96</v>
      </c>
      <c r="AC116" s="129">
        <f t="shared" si="29"/>
        <v>2.96</v>
      </c>
      <c r="AD116" s="129">
        <f t="shared" si="29"/>
        <v>2.96</v>
      </c>
      <c r="AE116" s="129">
        <f t="shared" si="29"/>
        <v>2.96</v>
      </c>
      <c r="AF116" s="129">
        <f t="shared" si="29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7"/>
        <v>8</v>
      </c>
      <c r="C117" s="130">
        <v>8</v>
      </c>
      <c r="D117" s="129">
        <f t="shared" si="28"/>
        <v>8</v>
      </c>
      <c r="E117" s="129">
        <f t="shared" si="28"/>
        <v>8</v>
      </c>
      <c r="F117" s="129">
        <f t="shared" si="28"/>
        <v>8</v>
      </c>
      <c r="G117" s="129">
        <f t="shared" si="28"/>
        <v>8</v>
      </c>
      <c r="H117" s="129">
        <f t="shared" si="28"/>
        <v>8</v>
      </c>
      <c r="I117" s="129">
        <f t="shared" si="28"/>
        <v>8</v>
      </c>
      <c r="J117" s="129">
        <f t="shared" si="28"/>
        <v>8</v>
      </c>
      <c r="K117" s="129">
        <f t="shared" si="28"/>
        <v>8</v>
      </c>
      <c r="L117" s="129">
        <f t="shared" si="28"/>
        <v>8</v>
      </c>
      <c r="M117" s="129">
        <f t="shared" si="28"/>
        <v>8</v>
      </c>
      <c r="N117" s="129">
        <f t="shared" si="28"/>
        <v>8</v>
      </c>
      <c r="O117" s="129">
        <f t="shared" si="28"/>
        <v>8</v>
      </c>
      <c r="P117" s="129">
        <f t="shared" si="28"/>
        <v>8</v>
      </c>
      <c r="Q117" s="129">
        <f t="shared" si="28"/>
        <v>8</v>
      </c>
      <c r="R117" s="129">
        <f t="shared" si="28"/>
        <v>8</v>
      </c>
      <c r="S117" s="129">
        <f t="shared" si="28"/>
        <v>8</v>
      </c>
      <c r="T117" s="129">
        <f t="shared" si="29"/>
        <v>8</v>
      </c>
      <c r="U117" s="129">
        <f t="shared" si="29"/>
        <v>8</v>
      </c>
      <c r="V117" s="129">
        <f t="shared" si="29"/>
        <v>8</v>
      </c>
      <c r="W117" s="129">
        <f t="shared" si="29"/>
        <v>8</v>
      </c>
      <c r="X117" s="129">
        <f t="shared" si="29"/>
        <v>8</v>
      </c>
      <c r="Y117" s="129">
        <f t="shared" si="29"/>
        <v>8</v>
      </c>
      <c r="Z117" s="129">
        <f t="shared" si="29"/>
        <v>8</v>
      </c>
      <c r="AA117" s="129">
        <f t="shared" si="29"/>
        <v>8</v>
      </c>
      <c r="AB117" s="129">
        <f t="shared" si="29"/>
        <v>8</v>
      </c>
      <c r="AC117" s="129">
        <f t="shared" si="29"/>
        <v>8</v>
      </c>
      <c r="AD117" s="129">
        <f t="shared" si="29"/>
        <v>8</v>
      </c>
      <c r="AE117" s="129">
        <f t="shared" si="29"/>
        <v>8</v>
      </c>
      <c r="AF117" s="129">
        <f t="shared" si="29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7"/>
        <v>7</v>
      </c>
      <c r="C118" s="130">
        <v>7</v>
      </c>
      <c r="D118" s="129">
        <f>C118</f>
        <v>7</v>
      </c>
      <c r="E118" s="129">
        <f t="shared" si="28"/>
        <v>7</v>
      </c>
      <c r="F118" s="129">
        <f t="shared" si="28"/>
        <v>7</v>
      </c>
      <c r="G118" s="129">
        <f t="shared" si="28"/>
        <v>7</v>
      </c>
      <c r="H118" s="129">
        <f t="shared" si="28"/>
        <v>7</v>
      </c>
      <c r="I118" s="129">
        <f t="shared" si="28"/>
        <v>7</v>
      </c>
      <c r="J118" s="129">
        <f t="shared" si="28"/>
        <v>7</v>
      </c>
      <c r="K118" s="129">
        <f t="shared" si="28"/>
        <v>7</v>
      </c>
      <c r="L118" s="129">
        <f t="shared" si="28"/>
        <v>7</v>
      </c>
      <c r="M118" s="129">
        <f t="shared" si="28"/>
        <v>7</v>
      </c>
      <c r="N118" s="129">
        <f t="shared" si="28"/>
        <v>7</v>
      </c>
      <c r="O118" s="129">
        <f t="shared" si="28"/>
        <v>7</v>
      </c>
      <c r="P118" s="129">
        <f t="shared" si="28"/>
        <v>7</v>
      </c>
      <c r="Q118" s="129">
        <f t="shared" si="28"/>
        <v>7</v>
      </c>
      <c r="R118" s="129">
        <f t="shared" si="28"/>
        <v>7</v>
      </c>
      <c r="S118" s="129">
        <f t="shared" si="28"/>
        <v>7</v>
      </c>
      <c r="T118" s="129">
        <f t="shared" si="29"/>
        <v>7</v>
      </c>
      <c r="U118" s="129">
        <f t="shared" si="29"/>
        <v>7</v>
      </c>
      <c r="V118" s="129">
        <f t="shared" si="29"/>
        <v>7</v>
      </c>
      <c r="W118" s="129">
        <f t="shared" si="29"/>
        <v>7</v>
      </c>
      <c r="X118" s="129">
        <f t="shared" si="29"/>
        <v>7</v>
      </c>
      <c r="Y118" s="129">
        <f t="shared" si="29"/>
        <v>7</v>
      </c>
      <c r="Z118" s="129">
        <f t="shared" si="29"/>
        <v>7</v>
      </c>
      <c r="AA118" s="129">
        <f t="shared" si="29"/>
        <v>7</v>
      </c>
      <c r="AB118" s="129">
        <f t="shared" si="29"/>
        <v>7</v>
      </c>
      <c r="AC118" s="129">
        <f t="shared" si="29"/>
        <v>7</v>
      </c>
      <c r="AD118" s="129">
        <f t="shared" si="29"/>
        <v>7</v>
      </c>
      <c r="AE118" s="129">
        <f t="shared" si="29"/>
        <v>7</v>
      </c>
      <c r="AF118" s="129">
        <f t="shared" si="29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7"/>
        <v>3.47</v>
      </c>
      <c r="C119" s="130">
        <v>3.47</v>
      </c>
      <c r="D119" s="129">
        <f t="shared" ref="D119:S128" si="30">C119</f>
        <v>3.47</v>
      </c>
      <c r="E119" s="129">
        <f t="shared" si="30"/>
        <v>3.47</v>
      </c>
      <c r="F119" s="129">
        <f t="shared" si="30"/>
        <v>3.47</v>
      </c>
      <c r="G119" s="129">
        <f t="shared" si="30"/>
        <v>3.47</v>
      </c>
      <c r="H119" s="129">
        <f t="shared" si="30"/>
        <v>3.47</v>
      </c>
      <c r="I119" s="129">
        <f t="shared" si="30"/>
        <v>3.47</v>
      </c>
      <c r="J119" s="129">
        <f t="shared" si="30"/>
        <v>3.47</v>
      </c>
      <c r="K119" s="129">
        <f t="shared" si="30"/>
        <v>3.47</v>
      </c>
      <c r="L119" s="129">
        <f t="shared" si="30"/>
        <v>3.47</v>
      </c>
      <c r="M119" s="129">
        <f t="shared" si="30"/>
        <v>3.47</v>
      </c>
      <c r="N119" s="129">
        <f t="shared" si="30"/>
        <v>3.47</v>
      </c>
      <c r="O119" s="129">
        <f t="shared" si="30"/>
        <v>3.47</v>
      </c>
      <c r="P119" s="129">
        <f t="shared" si="30"/>
        <v>3.47</v>
      </c>
      <c r="Q119" s="129">
        <f t="shared" si="30"/>
        <v>3.47</v>
      </c>
      <c r="R119" s="129">
        <f t="shared" si="30"/>
        <v>3.47</v>
      </c>
      <c r="S119" s="129">
        <f t="shared" si="30"/>
        <v>3.47</v>
      </c>
      <c r="T119" s="129">
        <f t="shared" si="29"/>
        <v>3.47</v>
      </c>
      <c r="U119" s="129">
        <f t="shared" si="29"/>
        <v>3.47</v>
      </c>
      <c r="V119" s="129">
        <f t="shared" si="29"/>
        <v>3.47</v>
      </c>
      <c r="W119" s="129">
        <f t="shared" si="29"/>
        <v>3.47</v>
      </c>
      <c r="X119" s="129">
        <f t="shared" si="29"/>
        <v>3.47</v>
      </c>
      <c r="Y119" s="129">
        <f t="shared" si="29"/>
        <v>3.47</v>
      </c>
      <c r="Z119" s="129">
        <f t="shared" si="29"/>
        <v>3.47</v>
      </c>
      <c r="AA119" s="129">
        <f t="shared" si="29"/>
        <v>3.47</v>
      </c>
      <c r="AB119" s="129">
        <f t="shared" si="29"/>
        <v>3.47</v>
      </c>
      <c r="AC119" s="129">
        <f t="shared" si="29"/>
        <v>3.47</v>
      </c>
      <c r="AD119" s="129">
        <f t="shared" si="29"/>
        <v>3.47</v>
      </c>
      <c r="AE119" s="129">
        <f t="shared" si="29"/>
        <v>3.47</v>
      </c>
      <c r="AF119" s="129">
        <f t="shared" si="29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7"/>
        <v>2.1</v>
      </c>
      <c r="C120" s="130">
        <v>2.1</v>
      </c>
      <c r="D120" s="129">
        <f t="shared" si="30"/>
        <v>2.1</v>
      </c>
      <c r="E120" s="129">
        <f t="shared" si="30"/>
        <v>2.1</v>
      </c>
      <c r="F120" s="129">
        <f t="shared" si="30"/>
        <v>2.1</v>
      </c>
      <c r="G120" s="129">
        <f t="shared" si="30"/>
        <v>2.1</v>
      </c>
      <c r="H120" s="129">
        <f t="shared" si="30"/>
        <v>2.1</v>
      </c>
      <c r="I120" s="129">
        <f t="shared" si="30"/>
        <v>2.1</v>
      </c>
      <c r="J120" s="129">
        <f t="shared" si="30"/>
        <v>2.1</v>
      </c>
      <c r="K120" s="129">
        <f t="shared" si="30"/>
        <v>2.1</v>
      </c>
      <c r="L120" s="129">
        <f t="shared" si="30"/>
        <v>2.1</v>
      </c>
      <c r="M120" s="129">
        <f t="shared" si="30"/>
        <v>2.1</v>
      </c>
      <c r="N120" s="129">
        <f t="shared" si="30"/>
        <v>2.1</v>
      </c>
      <c r="O120" s="129">
        <f t="shared" si="30"/>
        <v>2.1</v>
      </c>
      <c r="P120" s="129">
        <f t="shared" si="30"/>
        <v>2.1</v>
      </c>
      <c r="Q120" s="129">
        <f t="shared" si="30"/>
        <v>2.1</v>
      </c>
      <c r="R120" s="129">
        <f t="shared" si="30"/>
        <v>2.1</v>
      </c>
      <c r="S120" s="129">
        <f t="shared" si="30"/>
        <v>2.1</v>
      </c>
      <c r="T120" s="129">
        <f t="shared" si="29"/>
        <v>2.1</v>
      </c>
      <c r="U120" s="129">
        <f t="shared" si="29"/>
        <v>2.1</v>
      </c>
      <c r="V120" s="129">
        <f t="shared" si="29"/>
        <v>2.1</v>
      </c>
      <c r="W120" s="129">
        <f t="shared" si="29"/>
        <v>2.1</v>
      </c>
      <c r="X120" s="129">
        <f t="shared" si="29"/>
        <v>2.1</v>
      </c>
      <c r="Y120" s="129">
        <f t="shared" si="29"/>
        <v>2.1</v>
      </c>
      <c r="Z120" s="129">
        <f t="shared" si="29"/>
        <v>2.1</v>
      </c>
      <c r="AA120" s="129">
        <f t="shared" si="29"/>
        <v>2.1</v>
      </c>
      <c r="AB120" s="129">
        <f t="shared" si="29"/>
        <v>2.1</v>
      </c>
      <c r="AC120" s="129">
        <f t="shared" si="29"/>
        <v>2.1</v>
      </c>
      <c r="AD120" s="129">
        <f t="shared" si="29"/>
        <v>2.1</v>
      </c>
      <c r="AE120" s="129">
        <f t="shared" si="29"/>
        <v>2.1</v>
      </c>
      <c r="AF120" s="129">
        <f t="shared" si="29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7"/>
        <v>9.3000000000000007</v>
      </c>
      <c r="C121" s="130">
        <v>9.3000000000000007</v>
      </c>
      <c r="D121" s="129">
        <f t="shared" si="30"/>
        <v>9.3000000000000007</v>
      </c>
      <c r="E121" s="129">
        <f t="shared" si="30"/>
        <v>9.3000000000000007</v>
      </c>
      <c r="F121" s="129">
        <f t="shared" si="30"/>
        <v>9.3000000000000007</v>
      </c>
      <c r="G121" s="129">
        <f t="shared" si="30"/>
        <v>9.3000000000000007</v>
      </c>
      <c r="H121" s="129">
        <f t="shared" si="30"/>
        <v>9.3000000000000007</v>
      </c>
      <c r="I121" s="129">
        <f t="shared" si="30"/>
        <v>9.3000000000000007</v>
      </c>
      <c r="J121" s="129">
        <f t="shared" si="30"/>
        <v>9.3000000000000007</v>
      </c>
      <c r="K121" s="129">
        <f t="shared" si="30"/>
        <v>9.3000000000000007</v>
      </c>
      <c r="L121" s="129">
        <f t="shared" si="30"/>
        <v>9.3000000000000007</v>
      </c>
      <c r="M121" s="129">
        <f t="shared" si="30"/>
        <v>9.3000000000000007</v>
      </c>
      <c r="N121" s="129">
        <f t="shared" si="30"/>
        <v>9.3000000000000007</v>
      </c>
      <c r="O121" s="129">
        <f t="shared" si="30"/>
        <v>9.3000000000000007</v>
      </c>
      <c r="P121" s="129">
        <f t="shared" si="30"/>
        <v>9.3000000000000007</v>
      </c>
      <c r="Q121" s="129">
        <f t="shared" si="30"/>
        <v>9.3000000000000007</v>
      </c>
      <c r="R121" s="129">
        <f t="shared" si="30"/>
        <v>9.3000000000000007</v>
      </c>
      <c r="S121" s="129">
        <f t="shared" si="30"/>
        <v>9.3000000000000007</v>
      </c>
      <c r="T121" s="129">
        <f t="shared" si="29"/>
        <v>9.3000000000000007</v>
      </c>
      <c r="U121" s="129">
        <f t="shared" si="29"/>
        <v>9.3000000000000007</v>
      </c>
      <c r="V121" s="129">
        <f t="shared" si="29"/>
        <v>9.3000000000000007</v>
      </c>
      <c r="W121" s="129">
        <f t="shared" si="29"/>
        <v>9.3000000000000007</v>
      </c>
      <c r="X121" s="129">
        <f t="shared" si="29"/>
        <v>9.3000000000000007</v>
      </c>
      <c r="Y121" s="129">
        <f t="shared" si="29"/>
        <v>9.3000000000000007</v>
      </c>
      <c r="Z121" s="129">
        <f t="shared" si="29"/>
        <v>9.3000000000000007</v>
      </c>
      <c r="AA121" s="129">
        <f t="shared" si="29"/>
        <v>9.3000000000000007</v>
      </c>
      <c r="AB121" s="129">
        <f t="shared" si="29"/>
        <v>9.3000000000000007</v>
      </c>
      <c r="AC121" s="129">
        <f t="shared" si="29"/>
        <v>9.3000000000000007</v>
      </c>
      <c r="AD121" s="129">
        <f t="shared" si="29"/>
        <v>9.3000000000000007</v>
      </c>
      <c r="AE121" s="129">
        <f t="shared" si="29"/>
        <v>9.3000000000000007</v>
      </c>
      <c r="AF121" s="129">
        <f t="shared" si="29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7"/>
        <v>0</v>
      </c>
      <c r="C122" s="130">
        <v>0</v>
      </c>
      <c r="D122" s="129">
        <f t="shared" si="30"/>
        <v>0</v>
      </c>
      <c r="E122" s="129">
        <f t="shared" si="30"/>
        <v>0</v>
      </c>
      <c r="F122" s="129">
        <f t="shared" si="30"/>
        <v>0</v>
      </c>
      <c r="G122" s="129">
        <f t="shared" si="30"/>
        <v>0</v>
      </c>
      <c r="H122" s="129">
        <f t="shared" si="30"/>
        <v>0</v>
      </c>
      <c r="I122" s="129">
        <f t="shared" si="30"/>
        <v>0</v>
      </c>
      <c r="J122" s="129">
        <f t="shared" si="30"/>
        <v>0</v>
      </c>
      <c r="K122" s="129">
        <f t="shared" si="30"/>
        <v>0</v>
      </c>
      <c r="L122" s="129">
        <f t="shared" si="30"/>
        <v>0</v>
      </c>
      <c r="M122" s="129">
        <f t="shared" si="30"/>
        <v>0</v>
      </c>
      <c r="N122" s="129">
        <f t="shared" si="30"/>
        <v>0</v>
      </c>
      <c r="O122" s="129">
        <f t="shared" si="30"/>
        <v>0</v>
      </c>
      <c r="P122" s="129">
        <f t="shared" si="30"/>
        <v>0</v>
      </c>
      <c r="Q122" s="129">
        <f t="shared" si="30"/>
        <v>0</v>
      </c>
      <c r="R122" s="129">
        <f t="shared" si="30"/>
        <v>0</v>
      </c>
      <c r="S122" s="129">
        <f t="shared" si="30"/>
        <v>0</v>
      </c>
      <c r="T122" s="129">
        <f t="shared" si="29"/>
        <v>0</v>
      </c>
      <c r="U122" s="129">
        <f t="shared" si="29"/>
        <v>0</v>
      </c>
      <c r="V122" s="129">
        <f t="shared" si="29"/>
        <v>0</v>
      </c>
      <c r="W122" s="129">
        <f t="shared" si="29"/>
        <v>0</v>
      </c>
      <c r="X122" s="129">
        <f t="shared" si="29"/>
        <v>0</v>
      </c>
      <c r="Y122" s="129">
        <f t="shared" si="29"/>
        <v>0</v>
      </c>
      <c r="Z122" s="129">
        <f t="shared" si="29"/>
        <v>0</v>
      </c>
      <c r="AA122" s="129">
        <f t="shared" si="29"/>
        <v>0</v>
      </c>
      <c r="AB122" s="129">
        <f t="shared" si="29"/>
        <v>0</v>
      </c>
      <c r="AC122" s="129">
        <f t="shared" si="29"/>
        <v>0</v>
      </c>
      <c r="AD122" s="129">
        <f t="shared" si="29"/>
        <v>0</v>
      </c>
      <c r="AE122" s="129">
        <f t="shared" si="29"/>
        <v>0</v>
      </c>
      <c r="AF122" s="129">
        <f t="shared" si="29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7"/>
        <v>0</v>
      </c>
      <c r="C123" s="130">
        <v>0</v>
      </c>
      <c r="D123" s="129">
        <f t="shared" si="30"/>
        <v>0</v>
      </c>
      <c r="E123" s="129">
        <f t="shared" si="30"/>
        <v>0</v>
      </c>
      <c r="F123" s="129">
        <f t="shared" si="30"/>
        <v>0</v>
      </c>
      <c r="G123" s="129">
        <f t="shared" si="30"/>
        <v>0</v>
      </c>
      <c r="H123" s="129">
        <f t="shared" si="30"/>
        <v>0</v>
      </c>
      <c r="I123" s="129">
        <f t="shared" si="30"/>
        <v>0</v>
      </c>
      <c r="J123" s="129">
        <f t="shared" si="30"/>
        <v>0</v>
      </c>
      <c r="K123" s="129">
        <f t="shared" si="30"/>
        <v>0</v>
      </c>
      <c r="L123" s="129">
        <f t="shared" si="30"/>
        <v>0</v>
      </c>
      <c r="M123" s="129">
        <f t="shared" si="30"/>
        <v>0</v>
      </c>
      <c r="N123" s="129">
        <f t="shared" si="30"/>
        <v>0</v>
      </c>
      <c r="O123" s="129">
        <f t="shared" si="30"/>
        <v>0</v>
      </c>
      <c r="P123" s="129">
        <f t="shared" si="30"/>
        <v>0</v>
      </c>
      <c r="Q123" s="129">
        <f t="shared" si="30"/>
        <v>0</v>
      </c>
      <c r="R123" s="129">
        <f t="shared" si="30"/>
        <v>0</v>
      </c>
      <c r="S123" s="129">
        <f t="shared" si="30"/>
        <v>0</v>
      </c>
      <c r="T123" s="129">
        <f t="shared" si="29"/>
        <v>0</v>
      </c>
      <c r="U123" s="129">
        <f t="shared" si="29"/>
        <v>0</v>
      </c>
      <c r="V123" s="129">
        <f t="shared" si="29"/>
        <v>0</v>
      </c>
      <c r="W123" s="129">
        <f t="shared" si="29"/>
        <v>0</v>
      </c>
      <c r="X123" s="129">
        <f t="shared" si="29"/>
        <v>0</v>
      </c>
      <c r="Y123" s="129">
        <f t="shared" si="29"/>
        <v>0</v>
      </c>
      <c r="Z123" s="129">
        <f t="shared" si="29"/>
        <v>0</v>
      </c>
      <c r="AA123" s="129">
        <f t="shared" si="29"/>
        <v>0</v>
      </c>
      <c r="AB123" s="129">
        <f t="shared" si="29"/>
        <v>0</v>
      </c>
      <c r="AC123" s="129">
        <f t="shared" si="29"/>
        <v>0</v>
      </c>
      <c r="AD123" s="129">
        <f t="shared" si="29"/>
        <v>0</v>
      </c>
      <c r="AE123" s="129">
        <f t="shared" si="29"/>
        <v>0</v>
      </c>
      <c r="AF123" s="129">
        <f t="shared" si="29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7"/>
        <v>5</v>
      </c>
      <c r="C124" s="130">
        <v>5</v>
      </c>
      <c r="D124" s="129">
        <f t="shared" si="30"/>
        <v>5</v>
      </c>
      <c r="E124" s="129">
        <f t="shared" si="30"/>
        <v>5</v>
      </c>
      <c r="F124" s="129">
        <f t="shared" si="30"/>
        <v>5</v>
      </c>
      <c r="G124" s="129">
        <f t="shared" si="30"/>
        <v>5</v>
      </c>
      <c r="H124" s="129">
        <f t="shared" si="30"/>
        <v>5</v>
      </c>
      <c r="I124" s="129">
        <f t="shared" si="30"/>
        <v>5</v>
      </c>
      <c r="J124" s="129">
        <f t="shared" si="30"/>
        <v>5</v>
      </c>
      <c r="K124" s="129">
        <f t="shared" si="30"/>
        <v>5</v>
      </c>
      <c r="L124" s="129">
        <f t="shared" si="30"/>
        <v>5</v>
      </c>
      <c r="M124" s="129">
        <f t="shared" si="30"/>
        <v>5</v>
      </c>
      <c r="N124" s="129">
        <f t="shared" si="30"/>
        <v>5</v>
      </c>
      <c r="O124" s="129">
        <f t="shared" si="30"/>
        <v>5</v>
      </c>
      <c r="P124" s="129">
        <f t="shared" si="30"/>
        <v>5</v>
      </c>
      <c r="Q124" s="129">
        <f t="shared" si="30"/>
        <v>5</v>
      </c>
      <c r="R124" s="129">
        <f t="shared" si="30"/>
        <v>5</v>
      </c>
      <c r="S124" s="129">
        <f t="shared" si="30"/>
        <v>5</v>
      </c>
      <c r="T124" s="129">
        <f t="shared" si="29"/>
        <v>5</v>
      </c>
      <c r="U124" s="129">
        <f t="shared" si="29"/>
        <v>5</v>
      </c>
      <c r="V124" s="129">
        <f t="shared" si="29"/>
        <v>5</v>
      </c>
      <c r="W124" s="129">
        <f t="shared" si="29"/>
        <v>5</v>
      </c>
      <c r="X124" s="129">
        <f t="shared" si="29"/>
        <v>5</v>
      </c>
      <c r="Y124" s="129">
        <f t="shared" si="29"/>
        <v>5</v>
      </c>
      <c r="Z124" s="129">
        <f t="shared" si="29"/>
        <v>5</v>
      </c>
      <c r="AA124" s="129">
        <f t="shared" si="29"/>
        <v>5</v>
      </c>
      <c r="AB124" s="129">
        <f t="shared" si="29"/>
        <v>5</v>
      </c>
      <c r="AC124" s="129">
        <f t="shared" si="29"/>
        <v>5</v>
      </c>
      <c r="AD124" s="129">
        <f t="shared" si="29"/>
        <v>5</v>
      </c>
      <c r="AE124" s="129">
        <f t="shared" si="29"/>
        <v>5</v>
      </c>
      <c r="AF124" s="129">
        <f t="shared" si="29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7"/>
        <v>1</v>
      </c>
      <c r="C125" s="130">
        <v>1</v>
      </c>
      <c r="D125" s="129">
        <f t="shared" si="30"/>
        <v>1</v>
      </c>
      <c r="E125" s="129">
        <f t="shared" si="30"/>
        <v>1</v>
      </c>
      <c r="F125" s="129">
        <f t="shared" si="30"/>
        <v>1</v>
      </c>
      <c r="G125" s="129">
        <f t="shared" si="30"/>
        <v>1</v>
      </c>
      <c r="H125" s="129">
        <f t="shared" si="30"/>
        <v>1</v>
      </c>
      <c r="I125" s="129">
        <f t="shared" si="30"/>
        <v>1</v>
      </c>
      <c r="J125" s="129">
        <f t="shared" si="30"/>
        <v>1</v>
      </c>
      <c r="K125" s="129">
        <f t="shared" si="30"/>
        <v>1</v>
      </c>
      <c r="L125" s="129">
        <f t="shared" si="30"/>
        <v>1</v>
      </c>
      <c r="M125" s="129">
        <f t="shared" si="30"/>
        <v>1</v>
      </c>
      <c r="N125" s="129">
        <f t="shared" si="30"/>
        <v>1</v>
      </c>
      <c r="O125" s="129">
        <f t="shared" si="30"/>
        <v>1</v>
      </c>
      <c r="P125" s="129">
        <f t="shared" si="30"/>
        <v>1</v>
      </c>
      <c r="Q125" s="129">
        <f t="shared" si="30"/>
        <v>1</v>
      </c>
      <c r="R125" s="129">
        <f t="shared" si="30"/>
        <v>1</v>
      </c>
      <c r="S125" s="129">
        <f t="shared" si="30"/>
        <v>1</v>
      </c>
      <c r="T125" s="129">
        <f t="shared" si="29"/>
        <v>1</v>
      </c>
      <c r="U125" s="129">
        <f t="shared" si="29"/>
        <v>1</v>
      </c>
      <c r="V125" s="129">
        <f t="shared" si="29"/>
        <v>1</v>
      </c>
      <c r="W125" s="129">
        <f t="shared" si="29"/>
        <v>1</v>
      </c>
      <c r="X125" s="129">
        <f t="shared" si="29"/>
        <v>1</v>
      </c>
      <c r="Y125" s="129">
        <f t="shared" si="29"/>
        <v>1</v>
      </c>
      <c r="Z125" s="129">
        <f t="shared" si="29"/>
        <v>1</v>
      </c>
      <c r="AA125" s="129">
        <f t="shared" si="29"/>
        <v>1</v>
      </c>
      <c r="AB125" s="129">
        <f t="shared" si="29"/>
        <v>1</v>
      </c>
      <c r="AC125" s="129">
        <f t="shared" si="29"/>
        <v>1</v>
      </c>
      <c r="AD125" s="129">
        <f t="shared" si="29"/>
        <v>1</v>
      </c>
      <c r="AE125" s="129">
        <f t="shared" si="29"/>
        <v>1</v>
      </c>
      <c r="AF125" s="129">
        <f t="shared" si="29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7"/>
        <v>1.58</v>
      </c>
      <c r="C126" s="130">
        <v>1.58</v>
      </c>
      <c r="D126" s="129">
        <f t="shared" si="30"/>
        <v>1.58</v>
      </c>
      <c r="E126" s="129">
        <f t="shared" si="30"/>
        <v>1.58</v>
      </c>
      <c r="F126" s="129">
        <f t="shared" si="30"/>
        <v>1.58</v>
      </c>
      <c r="G126" s="129">
        <f t="shared" si="30"/>
        <v>1.58</v>
      </c>
      <c r="H126" s="129">
        <f t="shared" si="30"/>
        <v>1.58</v>
      </c>
      <c r="I126" s="129">
        <f t="shared" si="30"/>
        <v>1.58</v>
      </c>
      <c r="J126" s="129">
        <f t="shared" si="30"/>
        <v>1.58</v>
      </c>
      <c r="K126" s="129">
        <f t="shared" si="30"/>
        <v>1.58</v>
      </c>
      <c r="L126" s="129">
        <f t="shared" si="30"/>
        <v>1.58</v>
      </c>
      <c r="M126" s="129">
        <f t="shared" si="30"/>
        <v>1.58</v>
      </c>
      <c r="N126" s="129">
        <f t="shared" si="30"/>
        <v>1.58</v>
      </c>
      <c r="O126" s="129">
        <f t="shared" si="30"/>
        <v>1.58</v>
      </c>
      <c r="P126" s="129">
        <f t="shared" si="30"/>
        <v>1.58</v>
      </c>
      <c r="Q126" s="129">
        <f t="shared" si="30"/>
        <v>1.58</v>
      </c>
      <c r="R126" s="129">
        <f t="shared" si="30"/>
        <v>1.58</v>
      </c>
      <c r="S126" s="129">
        <f t="shared" si="30"/>
        <v>1.58</v>
      </c>
      <c r="T126" s="129">
        <f t="shared" si="29"/>
        <v>1.58</v>
      </c>
      <c r="U126" s="129">
        <f t="shared" si="29"/>
        <v>1.58</v>
      </c>
      <c r="V126" s="129">
        <f t="shared" si="29"/>
        <v>1.58</v>
      </c>
      <c r="W126" s="129">
        <f t="shared" si="29"/>
        <v>1.58</v>
      </c>
      <c r="X126" s="129">
        <f t="shared" si="29"/>
        <v>1.58</v>
      </c>
      <c r="Y126" s="129">
        <f t="shared" si="29"/>
        <v>1.58</v>
      </c>
      <c r="Z126" s="129">
        <f t="shared" si="29"/>
        <v>1.58</v>
      </c>
      <c r="AA126" s="129">
        <f t="shared" si="29"/>
        <v>1.58</v>
      </c>
      <c r="AB126" s="129">
        <f t="shared" si="29"/>
        <v>1.58</v>
      </c>
      <c r="AC126" s="129">
        <f t="shared" si="29"/>
        <v>1.58</v>
      </c>
      <c r="AD126" s="129">
        <f t="shared" si="29"/>
        <v>1.58</v>
      </c>
      <c r="AE126" s="129">
        <f t="shared" si="29"/>
        <v>1.58</v>
      </c>
      <c r="AF126" s="129">
        <f t="shared" si="29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7"/>
        <v>1.46</v>
      </c>
      <c r="C127" s="130">
        <v>1.46</v>
      </c>
      <c r="D127" s="129">
        <f t="shared" si="30"/>
        <v>1.46</v>
      </c>
      <c r="E127" s="129">
        <f t="shared" si="30"/>
        <v>1.46</v>
      </c>
      <c r="F127" s="129">
        <f t="shared" si="30"/>
        <v>1.46</v>
      </c>
      <c r="G127" s="129">
        <f t="shared" si="30"/>
        <v>1.46</v>
      </c>
      <c r="H127" s="129">
        <f t="shared" si="30"/>
        <v>1.46</v>
      </c>
      <c r="I127" s="129">
        <f t="shared" si="30"/>
        <v>1.46</v>
      </c>
      <c r="J127" s="129">
        <f t="shared" si="30"/>
        <v>1.46</v>
      </c>
      <c r="K127" s="129">
        <f t="shared" si="30"/>
        <v>1.46</v>
      </c>
      <c r="L127" s="129">
        <f t="shared" si="30"/>
        <v>1.46</v>
      </c>
      <c r="M127" s="129">
        <f t="shared" si="30"/>
        <v>1.46</v>
      </c>
      <c r="N127" s="129">
        <f t="shared" si="30"/>
        <v>1.46</v>
      </c>
      <c r="O127" s="129">
        <f t="shared" si="30"/>
        <v>1.46</v>
      </c>
      <c r="P127" s="129">
        <f t="shared" si="30"/>
        <v>1.46</v>
      </c>
      <c r="Q127" s="129">
        <f t="shared" si="30"/>
        <v>1.46</v>
      </c>
      <c r="R127" s="129">
        <f t="shared" si="30"/>
        <v>1.46</v>
      </c>
      <c r="S127" s="129">
        <f t="shared" si="30"/>
        <v>1.46</v>
      </c>
      <c r="T127" s="129">
        <f t="shared" ref="T127:AF128" si="31">S127</f>
        <v>1.46</v>
      </c>
      <c r="U127" s="129">
        <f t="shared" si="31"/>
        <v>1.46</v>
      </c>
      <c r="V127" s="129">
        <f t="shared" si="31"/>
        <v>1.46</v>
      </c>
      <c r="W127" s="129">
        <f t="shared" si="31"/>
        <v>1.46</v>
      </c>
      <c r="X127" s="129">
        <f t="shared" si="31"/>
        <v>1.46</v>
      </c>
      <c r="Y127" s="129">
        <f t="shared" si="31"/>
        <v>1.46</v>
      </c>
      <c r="Z127" s="129">
        <f t="shared" si="31"/>
        <v>1.46</v>
      </c>
      <c r="AA127" s="129">
        <f t="shared" si="31"/>
        <v>1.46</v>
      </c>
      <c r="AB127" s="129">
        <f t="shared" si="31"/>
        <v>1.46</v>
      </c>
      <c r="AC127" s="129">
        <f t="shared" si="31"/>
        <v>1.46</v>
      </c>
      <c r="AD127" s="129">
        <f t="shared" si="31"/>
        <v>1.46</v>
      </c>
      <c r="AE127" s="129">
        <f t="shared" si="31"/>
        <v>1.46</v>
      </c>
      <c r="AF127" s="129">
        <f t="shared" si="31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7"/>
        <v>1.48</v>
      </c>
      <c r="C128" s="130">
        <v>1.48</v>
      </c>
      <c r="D128" s="129">
        <f t="shared" si="30"/>
        <v>1.48</v>
      </c>
      <c r="E128" s="129">
        <f t="shared" si="30"/>
        <v>1.48</v>
      </c>
      <c r="F128" s="129">
        <f t="shared" si="30"/>
        <v>1.48</v>
      </c>
      <c r="G128" s="129">
        <f t="shared" si="30"/>
        <v>1.48</v>
      </c>
      <c r="H128" s="129">
        <f t="shared" si="30"/>
        <v>1.48</v>
      </c>
      <c r="I128" s="129">
        <f t="shared" si="30"/>
        <v>1.48</v>
      </c>
      <c r="J128" s="129">
        <f t="shared" si="30"/>
        <v>1.48</v>
      </c>
      <c r="K128" s="129">
        <f t="shared" si="30"/>
        <v>1.48</v>
      </c>
      <c r="L128" s="129">
        <f t="shared" si="30"/>
        <v>1.48</v>
      </c>
      <c r="M128" s="129">
        <f t="shared" si="30"/>
        <v>1.48</v>
      </c>
      <c r="N128" s="129">
        <f t="shared" si="30"/>
        <v>1.48</v>
      </c>
      <c r="O128" s="129">
        <f t="shared" si="30"/>
        <v>1.48</v>
      </c>
      <c r="P128" s="129">
        <f t="shared" si="30"/>
        <v>1.48</v>
      </c>
      <c r="Q128" s="129">
        <f t="shared" si="30"/>
        <v>1.48</v>
      </c>
      <c r="R128" s="129">
        <f t="shared" si="30"/>
        <v>1.48</v>
      </c>
      <c r="S128" s="129">
        <f t="shared" si="30"/>
        <v>1.48</v>
      </c>
      <c r="T128" s="129">
        <f t="shared" si="31"/>
        <v>1.48</v>
      </c>
      <c r="U128" s="129">
        <f t="shared" si="31"/>
        <v>1.48</v>
      </c>
      <c r="V128" s="129">
        <f t="shared" si="31"/>
        <v>1.48</v>
      </c>
      <c r="W128" s="129">
        <f t="shared" si="31"/>
        <v>1.48</v>
      </c>
      <c r="X128" s="129">
        <f t="shared" si="31"/>
        <v>1.48</v>
      </c>
      <c r="Y128" s="129">
        <f t="shared" si="31"/>
        <v>1.48</v>
      </c>
      <c r="Z128" s="129">
        <f t="shared" si="31"/>
        <v>1.48</v>
      </c>
      <c r="AA128" s="129">
        <f t="shared" si="31"/>
        <v>1.48</v>
      </c>
      <c r="AB128" s="129">
        <f t="shared" si="31"/>
        <v>1.48</v>
      </c>
      <c r="AC128" s="129">
        <f t="shared" si="31"/>
        <v>1.48</v>
      </c>
      <c r="AD128" s="129">
        <f t="shared" si="31"/>
        <v>1.48</v>
      </c>
      <c r="AE128" s="129">
        <f t="shared" si="31"/>
        <v>1.48</v>
      </c>
      <c r="AF128" s="129">
        <f t="shared" si="31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2">AF130</f>
        <v>2.2000000000000002</v>
      </c>
      <c r="C130" s="130">
        <v>2.2000000000000002</v>
      </c>
      <c r="D130" s="129">
        <f t="shared" ref="D130:S137" si="33">C130</f>
        <v>2.2000000000000002</v>
      </c>
      <c r="E130" s="129">
        <f t="shared" si="33"/>
        <v>2.2000000000000002</v>
      </c>
      <c r="F130" s="129">
        <f t="shared" si="33"/>
        <v>2.2000000000000002</v>
      </c>
      <c r="G130" s="129">
        <f t="shared" si="33"/>
        <v>2.2000000000000002</v>
      </c>
      <c r="H130" s="129">
        <f t="shared" si="33"/>
        <v>2.2000000000000002</v>
      </c>
      <c r="I130" s="129">
        <f t="shared" si="33"/>
        <v>2.2000000000000002</v>
      </c>
      <c r="J130" s="129">
        <f t="shared" si="33"/>
        <v>2.2000000000000002</v>
      </c>
      <c r="K130" s="129">
        <f t="shared" si="33"/>
        <v>2.2000000000000002</v>
      </c>
      <c r="L130" s="129">
        <f t="shared" si="33"/>
        <v>2.2000000000000002</v>
      </c>
      <c r="M130" s="129">
        <f t="shared" si="33"/>
        <v>2.2000000000000002</v>
      </c>
      <c r="N130" s="129">
        <f t="shared" si="33"/>
        <v>2.2000000000000002</v>
      </c>
      <c r="O130" s="129">
        <f t="shared" si="33"/>
        <v>2.2000000000000002</v>
      </c>
      <c r="P130" s="129">
        <f t="shared" si="33"/>
        <v>2.2000000000000002</v>
      </c>
      <c r="Q130" s="129">
        <f t="shared" si="33"/>
        <v>2.2000000000000002</v>
      </c>
      <c r="R130" s="129">
        <f t="shared" si="33"/>
        <v>2.2000000000000002</v>
      </c>
      <c r="S130" s="129">
        <f t="shared" si="33"/>
        <v>2.2000000000000002</v>
      </c>
      <c r="T130" s="129">
        <f t="shared" ref="T130:AF137" si="34">S130</f>
        <v>2.2000000000000002</v>
      </c>
      <c r="U130" s="129">
        <f t="shared" si="34"/>
        <v>2.2000000000000002</v>
      </c>
      <c r="V130" s="129">
        <f t="shared" si="34"/>
        <v>2.2000000000000002</v>
      </c>
      <c r="W130" s="129">
        <f t="shared" si="34"/>
        <v>2.2000000000000002</v>
      </c>
      <c r="X130" s="129">
        <f t="shared" si="34"/>
        <v>2.2000000000000002</v>
      </c>
      <c r="Y130" s="129">
        <f t="shared" si="34"/>
        <v>2.2000000000000002</v>
      </c>
      <c r="Z130" s="129">
        <f t="shared" si="34"/>
        <v>2.2000000000000002</v>
      </c>
      <c r="AA130" s="129">
        <f t="shared" si="34"/>
        <v>2.2000000000000002</v>
      </c>
      <c r="AB130" s="129">
        <f t="shared" si="34"/>
        <v>2.2000000000000002</v>
      </c>
      <c r="AC130" s="129">
        <f t="shared" si="34"/>
        <v>2.2000000000000002</v>
      </c>
      <c r="AD130" s="129">
        <f t="shared" si="34"/>
        <v>2.2000000000000002</v>
      </c>
      <c r="AE130" s="129">
        <f t="shared" si="34"/>
        <v>2.2000000000000002</v>
      </c>
      <c r="AF130" s="129">
        <f t="shared" si="34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2"/>
        <v>2</v>
      </c>
      <c r="C131" s="130">
        <v>2</v>
      </c>
      <c r="D131" s="129">
        <f t="shared" si="33"/>
        <v>2</v>
      </c>
      <c r="E131" s="129">
        <f t="shared" si="33"/>
        <v>2</v>
      </c>
      <c r="F131" s="129">
        <f t="shared" si="33"/>
        <v>2</v>
      </c>
      <c r="G131" s="129">
        <f t="shared" si="33"/>
        <v>2</v>
      </c>
      <c r="H131" s="129">
        <f t="shared" si="33"/>
        <v>2</v>
      </c>
      <c r="I131" s="129">
        <f t="shared" si="33"/>
        <v>2</v>
      </c>
      <c r="J131" s="129">
        <f t="shared" si="33"/>
        <v>2</v>
      </c>
      <c r="K131" s="129">
        <f t="shared" si="33"/>
        <v>2</v>
      </c>
      <c r="L131" s="129">
        <f t="shared" si="33"/>
        <v>2</v>
      </c>
      <c r="M131" s="129">
        <f t="shared" si="33"/>
        <v>2</v>
      </c>
      <c r="N131" s="129">
        <f t="shared" si="33"/>
        <v>2</v>
      </c>
      <c r="O131" s="129">
        <f t="shared" si="33"/>
        <v>2</v>
      </c>
      <c r="P131" s="129">
        <f t="shared" si="33"/>
        <v>2</v>
      </c>
      <c r="Q131" s="129">
        <f t="shared" si="33"/>
        <v>2</v>
      </c>
      <c r="R131" s="129">
        <f t="shared" si="33"/>
        <v>2</v>
      </c>
      <c r="S131" s="129">
        <f t="shared" si="33"/>
        <v>2</v>
      </c>
      <c r="T131" s="129">
        <f t="shared" si="34"/>
        <v>2</v>
      </c>
      <c r="U131" s="129">
        <f t="shared" si="34"/>
        <v>2</v>
      </c>
      <c r="V131" s="129">
        <f t="shared" si="34"/>
        <v>2</v>
      </c>
      <c r="W131" s="129">
        <f t="shared" si="34"/>
        <v>2</v>
      </c>
      <c r="X131" s="129">
        <f t="shared" si="34"/>
        <v>2</v>
      </c>
      <c r="Y131" s="129">
        <f t="shared" si="34"/>
        <v>2</v>
      </c>
      <c r="Z131" s="129">
        <f t="shared" si="34"/>
        <v>2</v>
      </c>
      <c r="AA131" s="129">
        <f t="shared" si="34"/>
        <v>2</v>
      </c>
      <c r="AB131" s="129">
        <f t="shared" si="34"/>
        <v>2</v>
      </c>
      <c r="AC131" s="129">
        <f t="shared" si="34"/>
        <v>2</v>
      </c>
      <c r="AD131" s="129">
        <f t="shared" si="34"/>
        <v>2</v>
      </c>
      <c r="AE131" s="129">
        <f t="shared" si="34"/>
        <v>2</v>
      </c>
      <c r="AF131" s="129">
        <f t="shared" si="34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2"/>
        <v>1.25</v>
      </c>
      <c r="C132" s="130">
        <v>1.25</v>
      </c>
      <c r="D132" s="129">
        <f t="shared" si="33"/>
        <v>1.25</v>
      </c>
      <c r="E132" s="129">
        <f t="shared" si="33"/>
        <v>1.25</v>
      </c>
      <c r="F132" s="129">
        <f t="shared" si="33"/>
        <v>1.25</v>
      </c>
      <c r="G132" s="129">
        <f t="shared" si="33"/>
        <v>1.25</v>
      </c>
      <c r="H132" s="129">
        <f t="shared" si="33"/>
        <v>1.25</v>
      </c>
      <c r="I132" s="129">
        <f t="shared" si="33"/>
        <v>1.25</v>
      </c>
      <c r="J132" s="129">
        <f t="shared" si="33"/>
        <v>1.25</v>
      </c>
      <c r="K132" s="129">
        <f t="shared" si="33"/>
        <v>1.25</v>
      </c>
      <c r="L132" s="129">
        <f t="shared" si="33"/>
        <v>1.25</v>
      </c>
      <c r="M132" s="129">
        <f t="shared" si="33"/>
        <v>1.25</v>
      </c>
      <c r="N132" s="129">
        <f t="shared" si="33"/>
        <v>1.25</v>
      </c>
      <c r="O132" s="129">
        <f t="shared" si="33"/>
        <v>1.25</v>
      </c>
      <c r="P132" s="129">
        <f t="shared" si="33"/>
        <v>1.25</v>
      </c>
      <c r="Q132" s="129">
        <f t="shared" si="33"/>
        <v>1.25</v>
      </c>
      <c r="R132" s="129">
        <f t="shared" si="33"/>
        <v>1.25</v>
      </c>
      <c r="S132" s="129">
        <f t="shared" si="33"/>
        <v>1.25</v>
      </c>
      <c r="T132" s="129">
        <f t="shared" si="34"/>
        <v>1.25</v>
      </c>
      <c r="U132" s="129">
        <f t="shared" si="34"/>
        <v>1.25</v>
      </c>
      <c r="V132" s="129">
        <f t="shared" si="34"/>
        <v>1.25</v>
      </c>
      <c r="W132" s="129">
        <f t="shared" si="34"/>
        <v>1.25</v>
      </c>
      <c r="X132" s="129">
        <f t="shared" si="34"/>
        <v>1.25</v>
      </c>
      <c r="Y132" s="129">
        <f t="shared" si="34"/>
        <v>1.25</v>
      </c>
      <c r="Z132" s="129">
        <f t="shared" si="34"/>
        <v>1.25</v>
      </c>
      <c r="AA132" s="129">
        <f t="shared" si="34"/>
        <v>1.25</v>
      </c>
      <c r="AB132" s="129">
        <f t="shared" si="34"/>
        <v>1.25</v>
      </c>
      <c r="AC132" s="129">
        <f t="shared" si="34"/>
        <v>1.25</v>
      </c>
      <c r="AD132" s="129">
        <f t="shared" si="34"/>
        <v>1.25</v>
      </c>
      <c r="AE132" s="129">
        <f t="shared" si="34"/>
        <v>1.25</v>
      </c>
      <c r="AF132" s="129">
        <f t="shared" si="34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2"/>
        <v>1.1499999999999999</v>
      </c>
      <c r="C133" s="130">
        <v>1.1499999999999999</v>
      </c>
      <c r="D133" s="129">
        <f t="shared" si="33"/>
        <v>1.1499999999999999</v>
      </c>
      <c r="E133" s="129">
        <f t="shared" si="33"/>
        <v>1.1499999999999999</v>
      </c>
      <c r="F133" s="129">
        <f t="shared" si="33"/>
        <v>1.1499999999999999</v>
      </c>
      <c r="G133" s="129">
        <f t="shared" si="33"/>
        <v>1.1499999999999999</v>
      </c>
      <c r="H133" s="129">
        <f t="shared" si="33"/>
        <v>1.1499999999999999</v>
      </c>
      <c r="I133" s="129">
        <f t="shared" si="33"/>
        <v>1.1499999999999999</v>
      </c>
      <c r="J133" s="129">
        <f t="shared" si="33"/>
        <v>1.1499999999999999</v>
      </c>
      <c r="K133" s="129">
        <f t="shared" si="33"/>
        <v>1.1499999999999999</v>
      </c>
      <c r="L133" s="129">
        <f t="shared" si="33"/>
        <v>1.1499999999999999</v>
      </c>
      <c r="M133" s="129">
        <f t="shared" si="33"/>
        <v>1.1499999999999999</v>
      </c>
      <c r="N133" s="129">
        <f t="shared" si="33"/>
        <v>1.1499999999999999</v>
      </c>
      <c r="O133" s="129">
        <f t="shared" si="33"/>
        <v>1.1499999999999999</v>
      </c>
      <c r="P133" s="129">
        <f t="shared" si="33"/>
        <v>1.1499999999999999</v>
      </c>
      <c r="Q133" s="129">
        <f t="shared" si="33"/>
        <v>1.1499999999999999</v>
      </c>
      <c r="R133" s="129">
        <f t="shared" si="33"/>
        <v>1.1499999999999999</v>
      </c>
      <c r="S133" s="129">
        <f t="shared" si="33"/>
        <v>1.1499999999999999</v>
      </c>
      <c r="T133" s="129">
        <f t="shared" si="34"/>
        <v>1.1499999999999999</v>
      </c>
      <c r="U133" s="129">
        <f t="shared" si="34"/>
        <v>1.1499999999999999</v>
      </c>
      <c r="V133" s="129">
        <f t="shared" si="34"/>
        <v>1.1499999999999999</v>
      </c>
      <c r="W133" s="129">
        <f t="shared" si="34"/>
        <v>1.1499999999999999</v>
      </c>
      <c r="X133" s="129">
        <f t="shared" si="34"/>
        <v>1.1499999999999999</v>
      </c>
      <c r="Y133" s="129">
        <f t="shared" si="34"/>
        <v>1.1499999999999999</v>
      </c>
      <c r="Z133" s="129">
        <f t="shared" si="34"/>
        <v>1.1499999999999999</v>
      </c>
      <c r="AA133" s="129">
        <f t="shared" si="34"/>
        <v>1.1499999999999999</v>
      </c>
      <c r="AB133" s="129">
        <f t="shared" si="34"/>
        <v>1.1499999999999999</v>
      </c>
      <c r="AC133" s="129">
        <f t="shared" si="34"/>
        <v>1.1499999999999999</v>
      </c>
      <c r="AD133" s="129">
        <f t="shared" si="34"/>
        <v>1.1499999999999999</v>
      </c>
      <c r="AE133" s="129">
        <f t="shared" si="34"/>
        <v>1.1499999999999999</v>
      </c>
      <c r="AF133" s="129">
        <f t="shared" si="34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2"/>
        <v>2.133</v>
      </c>
      <c r="C134" s="130">
        <v>2.133</v>
      </c>
      <c r="D134" s="129">
        <f t="shared" si="33"/>
        <v>2.133</v>
      </c>
      <c r="E134" s="129">
        <f t="shared" si="33"/>
        <v>2.133</v>
      </c>
      <c r="F134" s="129">
        <f t="shared" si="33"/>
        <v>2.133</v>
      </c>
      <c r="G134" s="129">
        <f t="shared" si="33"/>
        <v>2.133</v>
      </c>
      <c r="H134" s="129">
        <f t="shared" si="33"/>
        <v>2.133</v>
      </c>
      <c r="I134" s="129">
        <f t="shared" si="33"/>
        <v>2.133</v>
      </c>
      <c r="J134" s="129">
        <f t="shared" si="33"/>
        <v>2.133</v>
      </c>
      <c r="K134" s="129">
        <f t="shared" si="33"/>
        <v>2.133</v>
      </c>
      <c r="L134" s="129">
        <f t="shared" si="33"/>
        <v>2.133</v>
      </c>
      <c r="M134" s="129">
        <f t="shared" si="33"/>
        <v>2.133</v>
      </c>
      <c r="N134" s="129">
        <f t="shared" si="33"/>
        <v>2.133</v>
      </c>
      <c r="O134" s="129">
        <f t="shared" si="33"/>
        <v>2.133</v>
      </c>
      <c r="P134" s="129">
        <f t="shared" si="33"/>
        <v>2.133</v>
      </c>
      <c r="Q134" s="129">
        <f t="shared" si="33"/>
        <v>2.133</v>
      </c>
      <c r="R134" s="129">
        <f t="shared" si="33"/>
        <v>2.133</v>
      </c>
      <c r="S134" s="129">
        <f t="shared" si="33"/>
        <v>2.133</v>
      </c>
      <c r="T134" s="129">
        <f t="shared" si="34"/>
        <v>2.133</v>
      </c>
      <c r="U134" s="129">
        <f t="shared" si="34"/>
        <v>2.133</v>
      </c>
      <c r="V134" s="129">
        <f t="shared" si="34"/>
        <v>2.133</v>
      </c>
      <c r="W134" s="129">
        <f t="shared" si="34"/>
        <v>2.133</v>
      </c>
      <c r="X134" s="129">
        <f t="shared" si="34"/>
        <v>2.133</v>
      </c>
      <c r="Y134" s="129">
        <f t="shared" si="34"/>
        <v>2.133</v>
      </c>
      <c r="Z134" s="129">
        <f t="shared" si="34"/>
        <v>2.133</v>
      </c>
      <c r="AA134" s="129">
        <f t="shared" si="34"/>
        <v>2.133</v>
      </c>
      <c r="AB134" s="129">
        <f t="shared" si="34"/>
        <v>2.133</v>
      </c>
      <c r="AC134" s="129">
        <f t="shared" si="34"/>
        <v>2.133</v>
      </c>
      <c r="AD134" s="129">
        <f t="shared" si="34"/>
        <v>2.133</v>
      </c>
      <c r="AE134" s="129">
        <f t="shared" si="34"/>
        <v>2.133</v>
      </c>
      <c r="AF134" s="129">
        <f t="shared" si="34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2"/>
        <v>2.09</v>
      </c>
      <c r="C135" s="130">
        <v>2.09</v>
      </c>
      <c r="D135" s="129">
        <f t="shared" si="33"/>
        <v>2.09</v>
      </c>
      <c r="E135" s="129">
        <f t="shared" si="33"/>
        <v>2.09</v>
      </c>
      <c r="F135" s="129">
        <f t="shared" si="33"/>
        <v>2.09</v>
      </c>
      <c r="G135" s="129">
        <f t="shared" si="33"/>
        <v>2.09</v>
      </c>
      <c r="H135" s="129">
        <f t="shared" si="33"/>
        <v>2.09</v>
      </c>
      <c r="I135" s="129">
        <f t="shared" si="33"/>
        <v>2.09</v>
      </c>
      <c r="J135" s="129">
        <f t="shared" si="33"/>
        <v>2.09</v>
      </c>
      <c r="K135" s="129">
        <f t="shared" si="33"/>
        <v>2.09</v>
      </c>
      <c r="L135" s="129">
        <f t="shared" si="33"/>
        <v>2.09</v>
      </c>
      <c r="M135" s="129">
        <f t="shared" si="33"/>
        <v>2.09</v>
      </c>
      <c r="N135" s="129">
        <f t="shared" si="33"/>
        <v>2.09</v>
      </c>
      <c r="O135" s="129">
        <f t="shared" si="33"/>
        <v>2.09</v>
      </c>
      <c r="P135" s="129">
        <f t="shared" si="33"/>
        <v>2.09</v>
      </c>
      <c r="Q135" s="129">
        <f t="shared" si="33"/>
        <v>2.09</v>
      </c>
      <c r="R135" s="129">
        <f t="shared" si="33"/>
        <v>2.09</v>
      </c>
      <c r="S135" s="129">
        <f t="shared" si="33"/>
        <v>2.09</v>
      </c>
      <c r="T135" s="129">
        <f t="shared" si="34"/>
        <v>2.09</v>
      </c>
      <c r="U135" s="129">
        <f t="shared" si="34"/>
        <v>2.09</v>
      </c>
      <c r="V135" s="129">
        <f t="shared" si="34"/>
        <v>2.09</v>
      </c>
      <c r="W135" s="129">
        <f t="shared" si="34"/>
        <v>2.09</v>
      </c>
      <c r="X135" s="129">
        <f t="shared" si="34"/>
        <v>2.09</v>
      </c>
      <c r="Y135" s="129">
        <f t="shared" si="34"/>
        <v>2.09</v>
      </c>
      <c r="Z135" s="129">
        <f t="shared" si="34"/>
        <v>2.09</v>
      </c>
      <c r="AA135" s="129">
        <f t="shared" si="34"/>
        <v>2.09</v>
      </c>
      <c r="AB135" s="129">
        <f t="shared" si="34"/>
        <v>2.09</v>
      </c>
      <c r="AC135" s="129">
        <f t="shared" si="34"/>
        <v>2.09</v>
      </c>
      <c r="AD135" s="129">
        <f t="shared" si="34"/>
        <v>2.09</v>
      </c>
      <c r="AE135" s="129">
        <f t="shared" si="34"/>
        <v>2.09</v>
      </c>
      <c r="AF135" s="129">
        <f t="shared" si="34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2"/>
        <v>1.1399999999999999</v>
      </c>
      <c r="C136" s="130">
        <v>1.1399999999999999</v>
      </c>
      <c r="D136" s="129">
        <f t="shared" si="33"/>
        <v>1.1399999999999999</v>
      </c>
      <c r="E136" s="129">
        <f t="shared" si="33"/>
        <v>1.1399999999999999</v>
      </c>
      <c r="F136" s="129">
        <f t="shared" si="33"/>
        <v>1.1399999999999999</v>
      </c>
      <c r="G136" s="129">
        <f t="shared" si="33"/>
        <v>1.1399999999999999</v>
      </c>
      <c r="H136" s="129">
        <f t="shared" si="33"/>
        <v>1.1399999999999999</v>
      </c>
      <c r="I136" s="129">
        <f t="shared" si="33"/>
        <v>1.1399999999999999</v>
      </c>
      <c r="J136" s="129">
        <f t="shared" si="33"/>
        <v>1.1399999999999999</v>
      </c>
      <c r="K136" s="129">
        <f t="shared" si="33"/>
        <v>1.1399999999999999</v>
      </c>
      <c r="L136" s="129">
        <f t="shared" si="33"/>
        <v>1.1399999999999999</v>
      </c>
      <c r="M136" s="129">
        <f t="shared" si="33"/>
        <v>1.1399999999999999</v>
      </c>
      <c r="N136" s="129">
        <f t="shared" si="33"/>
        <v>1.1399999999999999</v>
      </c>
      <c r="O136" s="129">
        <f t="shared" si="33"/>
        <v>1.1399999999999999</v>
      </c>
      <c r="P136" s="129">
        <f t="shared" si="33"/>
        <v>1.1399999999999999</v>
      </c>
      <c r="Q136" s="129">
        <f t="shared" si="33"/>
        <v>1.1399999999999999</v>
      </c>
      <c r="R136" s="129">
        <f t="shared" si="33"/>
        <v>1.1399999999999999</v>
      </c>
      <c r="S136" s="129">
        <f t="shared" si="33"/>
        <v>1.1399999999999999</v>
      </c>
      <c r="T136" s="129">
        <f t="shared" si="34"/>
        <v>1.1399999999999999</v>
      </c>
      <c r="U136" s="129">
        <f t="shared" si="34"/>
        <v>1.1399999999999999</v>
      </c>
      <c r="V136" s="129">
        <f t="shared" si="34"/>
        <v>1.1399999999999999</v>
      </c>
      <c r="W136" s="129">
        <f t="shared" si="34"/>
        <v>1.1399999999999999</v>
      </c>
      <c r="X136" s="129">
        <f t="shared" si="34"/>
        <v>1.1399999999999999</v>
      </c>
      <c r="Y136" s="129">
        <f t="shared" si="34"/>
        <v>1.1399999999999999</v>
      </c>
      <c r="Z136" s="129">
        <f t="shared" si="34"/>
        <v>1.1399999999999999</v>
      </c>
      <c r="AA136" s="129">
        <f t="shared" si="34"/>
        <v>1.1399999999999999</v>
      </c>
      <c r="AB136" s="129">
        <f t="shared" si="34"/>
        <v>1.1399999999999999</v>
      </c>
      <c r="AC136" s="129">
        <f t="shared" si="34"/>
        <v>1.1399999999999999</v>
      </c>
      <c r="AD136" s="129">
        <f t="shared" si="34"/>
        <v>1.1399999999999999</v>
      </c>
      <c r="AE136" s="129">
        <f t="shared" si="34"/>
        <v>1.1399999999999999</v>
      </c>
      <c r="AF136" s="129">
        <f t="shared" si="34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2"/>
        <v>0.82</v>
      </c>
      <c r="C137" s="130">
        <v>0.82</v>
      </c>
      <c r="D137" s="129">
        <f t="shared" si="33"/>
        <v>0.82</v>
      </c>
      <c r="E137" s="129">
        <f t="shared" si="33"/>
        <v>0.82</v>
      </c>
      <c r="F137" s="129">
        <f t="shared" si="33"/>
        <v>0.82</v>
      </c>
      <c r="G137" s="129">
        <f t="shared" si="33"/>
        <v>0.82</v>
      </c>
      <c r="H137" s="129">
        <f t="shared" si="33"/>
        <v>0.82</v>
      </c>
      <c r="I137" s="129">
        <f t="shared" si="33"/>
        <v>0.82</v>
      </c>
      <c r="J137" s="129">
        <f t="shared" si="33"/>
        <v>0.82</v>
      </c>
      <c r="K137" s="129">
        <f t="shared" si="33"/>
        <v>0.82</v>
      </c>
      <c r="L137" s="129">
        <f t="shared" si="33"/>
        <v>0.82</v>
      </c>
      <c r="M137" s="129">
        <f t="shared" si="33"/>
        <v>0.82</v>
      </c>
      <c r="N137" s="129">
        <f t="shared" si="33"/>
        <v>0.82</v>
      </c>
      <c r="O137" s="129">
        <f t="shared" si="33"/>
        <v>0.82</v>
      </c>
      <c r="P137" s="129">
        <f t="shared" si="33"/>
        <v>0.82</v>
      </c>
      <c r="Q137" s="129">
        <f t="shared" si="33"/>
        <v>0.82</v>
      </c>
      <c r="R137" s="129">
        <f t="shared" si="33"/>
        <v>0.82</v>
      </c>
      <c r="S137" s="129">
        <f t="shared" si="33"/>
        <v>0.82</v>
      </c>
      <c r="T137" s="129">
        <f t="shared" si="34"/>
        <v>0.82</v>
      </c>
      <c r="U137" s="129">
        <f t="shared" si="34"/>
        <v>0.82</v>
      </c>
      <c r="V137" s="129">
        <f t="shared" si="34"/>
        <v>0.82</v>
      </c>
      <c r="W137" s="129">
        <f t="shared" si="34"/>
        <v>0.82</v>
      </c>
      <c r="X137" s="129">
        <f t="shared" si="34"/>
        <v>0.82</v>
      </c>
      <c r="Y137" s="129">
        <f t="shared" si="34"/>
        <v>0.82</v>
      </c>
      <c r="Z137" s="129">
        <f t="shared" si="34"/>
        <v>0.82</v>
      </c>
      <c r="AA137" s="129">
        <f t="shared" si="34"/>
        <v>0.82</v>
      </c>
      <c r="AB137" s="129">
        <f t="shared" si="34"/>
        <v>0.82</v>
      </c>
      <c r="AC137" s="129">
        <f t="shared" si="34"/>
        <v>0.82</v>
      </c>
      <c r="AD137" s="129">
        <f t="shared" si="34"/>
        <v>0.82</v>
      </c>
      <c r="AE137" s="129">
        <f t="shared" si="34"/>
        <v>0.82</v>
      </c>
      <c r="AF137" s="129">
        <f t="shared" si="34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5">AF139</f>
        <v>2</v>
      </c>
      <c r="C139" s="130">
        <v>2</v>
      </c>
      <c r="D139" s="129">
        <f t="shared" ref="D139:S145" si="36">C139</f>
        <v>2</v>
      </c>
      <c r="E139" s="129">
        <f t="shared" si="36"/>
        <v>2</v>
      </c>
      <c r="F139" s="129">
        <f t="shared" si="36"/>
        <v>2</v>
      </c>
      <c r="G139" s="129">
        <f t="shared" si="36"/>
        <v>2</v>
      </c>
      <c r="H139" s="129">
        <f t="shared" si="36"/>
        <v>2</v>
      </c>
      <c r="I139" s="129">
        <f t="shared" si="36"/>
        <v>2</v>
      </c>
      <c r="J139" s="129">
        <f t="shared" si="36"/>
        <v>2</v>
      </c>
      <c r="K139" s="129">
        <f t="shared" si="36"/>
        <v>2</v>
      </c>
      <c r="L139" s="129">
        <f t="shared" si="36"/>
        <v>2</v>
      </c>
      <c r="M139" s="129">
        <f t="shared" si="36"/>
        <v>2</v>
      </c>
      <c r="N139" s="129">
        <f t="shared" si="36"/>
        <v>2</v>
      </c>
      <c r="O139" s="129">
        <f t="shared" si="36"/>
        <v>2</v>
      </c>
      <c r="P139" s="129">
        <f t="shared" si="36"/>
        <v>2</v>
      </c>
      <c r="Q139" s="129">
        <f t="shared" si="36"/>
        <v>2</v>
      </c>
      <c r="R139" s="129">
        <f t="shared" si="36"/>
        <v>2</v>
      </c>
      <c r="S139" s="129">
        <f t="shared" si="36"/>
        <v>2</v>
      </c>
      <c r="T139" s="129">
        <f t="shared" ref="T139:AF145" si="37">S139</f>
        <v>2</v>
      </c>
      <c r="U139" s="129">
        <f t="shared" si="37"/>
        <v>2</v>
      </c>
      <c r="V139" s="129">
        <f t="shared" si="37"/>
        <v>2</v>
      </c>
      <c r="W139" s="129">
        <f t="shared" si="37"/>
        <v>2</v>
      </c>
      <c r="X139" s="129">
        <f t="shared" si="37"/>
        <v>2</v>
      </c>
      <c r="Y139" s="129">
        <f t="shared" si="37"/>
        <v>2</v>
      </c>
      <c r="Z139" s="129">
        <f t="shared" si="37"/>
        <v>2</v>
      </c>
      <c r="AA139" s="129">
        <f t="shared" si="37"/>
        <v>2</v>
      </c>
      <c r="AB139" s="129">
        <f t="shared" si="37"/>
        <v>2</v>
      </c>
      <c r="AC139" s="129">
        <f t="shared" si="37"/>
        <v>2</v>
      </c>
      <c r="AD139" s="129">
        <f t="shared" si="37"/>
        <v>2</v>
      </c>
      <c r="AE139" s="129">
        <f t="shared" si="37"/>
        <v>2</v>
      </c>
      <c r="AF139" s="129">
        <f t="shared" si="37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5"/>
        <v>5.61</v>
      </c>
      <c r="C140" s="130">
        <v>5.61</v>
      </c>
      <c r="D140" s="129">
        <f t="shared" si="36"/>
        <v>5.61</v>
      </c>
      <c r="E140" s="129">
        <f t="shared" si="36"/>
        <v>5.61</v>
      </c>
      <c r="F140" s="129">
        <f t="shared" si="36"/>
        <v>5.61</v>
      </c>
      <c r="G140" s="129">
        <f t="shared" si="36"/>
        <v>5.61</v>
      </c>
      <c r="H140" s="129">
        <f t="shared" si="36"/>
        <v>5.61</v>
      </c>
      <c r="I140" s="129">
        <f t="shared" si="36"/>
        <v>5.61</v>
      </c>
      <c r="J140" s="129">
        <f t="shared" si="36"/>
        <v>5.61</v>
      </c>
      <c r="K140" s="129">
        <f t="shared" si="36"/>
        <v>5.61</v>
      </c>
      <c r="L140" s="129">
        <f t="shared" si="36"/>
        <v>5.61</v>
      </c>
      <c r="M140" s="129">
        <f t="shared" si="36"/>
        <v>5.61</v>
      </c>
      <c r="N140" s="129">
        <f t="shared" si="36"/>
        <v>5.61</v>
      </c>
      <c r="O140" s="129">
        <f t="shared" si="36"/>
        <v>5.61</v>
      </c>
      <c r="P140" s="129">
        <f t="shared" si="36"/>
        <v>5.61</v>
      </c>
      <c r="Q140" s="129">
        <f t="shared" si="36"/>
        <v>5.61</v>
      </c>
      <c r="R140" s="129">
        <f t="shared" si="36"/>
        <v>5.61</v>
      </c>
      <c r="S140" s="129">
        <f t="shared" si="36"/>
        <v>5.61</v>
      </c>
      <c r="T140" s="129">
        <f t="shared" si="37"/>
        <v>5.61</v>
      </c>
      <c r="U140" s="129">
        <f t="shared" si="37"/>
        <v>5.61</v>
      </c>
      <c r="V140" s="129">
        <f t="shared" si="37"/>
        <v>5.61</v>
      </c>
      <c r="W140" s="129">
        <f t="shared" si="37"/>
        <v>5.61</v>
      </c>
      <c r="X140" s="129">
        <f t="shared" si="37"/>
        <v>5.61</v>
      </c>
      <c r="Y140" s="129">
        <f t="shared" si="37"/>
        <v>5.61</v>
      </c>
      <c r="Z140" s="129">
        <f t="shared" si="37"/>
        <v>5.61</v>
      </c>
      <c r="AA140" s="129">
        <f t="shared" si="37"/>
        <v>5.61</v>
      </c>
      <c r="AB140" s="129">
        <f t="shared" si="37"/>
        <v>5.61</v>
      </c>
      <c r="AC140" s="129">
        <f t="shared" si="37"/>
        <v>5.61</v>
      </c>
      <c r="AD140" s="129">
        <f t="shared" si="37"/>
        <v>5.61</v>
      </c>
      <c r="AE140" s="129">
        <f t="shared" si="37"/>
        <v>5.61</v>
      </c>
      <c r="AF140" s="129">
        <f t="shared" si="37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5"/>
        <v>1.25</v>
      </c>
      <c r="C141" s="130">
        <v>1.25</v>
      </c>
      <c r="D141" s="129">
        <f t="shared" si="36"/>
        <v>1.25</v>
      </c>
      <c r="E141" s="129">
        <f t="shared" si="36"/>
        <v>1.25</v>
      </c>
      <c r="F141" s="129">
        <f t="shared" si="36"/>
        <v>1.25</v>
      </c>
      <c r="G141" s="129">
        <f t="shared" si="36"/>
        <v>1.25</v>
      </c>
      <c r="H141" s="129">
        <f t="shared" si="36"/>
        <v>1.25</v>
      </c>
      <c r="I141" s="129">
        <f t="shared" si="36"/>
        <v>1.25</v>
      </c>
      <c r="J141" s="129">
        <f t="shared" si="36"/>
        <v>1.25</v>
      </c>
      <c r="K141" s="129">
        <f t="shared" si="36"/>
        <v>1.25</v>
      </c>
      <c r="L141" s="129">
        <f t="shared" si="36"/>
        <v>1.25</v>
      </c>
      <c r="M141" s="129">
        <f t="shared" si="36"/>
        <v>1.25</v>
      </c>
      <c r="N141" s="129">
        <f t="shared" si="36"/>
        <v>1.25</v>
      </c>
      <c r="O141" s="129">
        <f t="shared" si="36"/>
        <v>1.25</v>
      </c>
      <c r="P141" s="129">
        <f t="shared" si="36"/>
        <v>1.25</v>
      </c>
      <c r="Q141" s="129">
        <f t="shared" si="36"/>
        <v>1.25</v>
      </c>
      <c r="R141" s="129">
        <f t="shared" si="36"/>
        <v>1.25</v>
      </c>
      <c r="S141" s="129">
        <f t="shared" si="36"/>
        <v>1.25</v>
      </c>
      <c r="T141" s="129">
        <f t="shared" si="37"/>
        <v>1.25</v>
      </c>
      <c r="U141" s="129">
        <f t="shared" si="37"/>
        <v>1.25</v>
      </c>
      <c r="V141" s="129">
        <f t="shared" si="37"/>
        <v>1.25</v>
      </c>
      <c r="W141" s="129">
        <f t="shared" si="37"/>
        <v>1.25</v>
      </c>
      <c r="X141" s="129">
        <f t="shared" si="37"/>
        <v>1.25</v>
      </c>
      <c r="Y141" s="129">
        <f t="shared" si="37"/>
        <v>1.25</v>
      </c>
      <c r="Z141" s="129">
        <f t="shared" si="37"/>
        <v>1.25</v>
      </c>
      <c r="AA141" s="129">
        <f t="shared" si="37"/>
        <v>1.25</v>
      </c>
      <c r="AB141" s="129">
        <f t="shared" si="37"/>
        <v>1.25</v>
      </c>
      <c r="AC141" s="129">
        <f t="shared" si="37"/>
        <v>1.25</v>
      </c>
      <c r="AD141" s="129">
        <f t="shared" si="37"/>
        <v>1.25</v>
      </c>
      <c r="AE141" s="129">
        <f t="shared" si="37"/>
        <v>1.25</v>
      </c>
      <c r="AF141" s="129">
        <f t="shared" si="37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5"/>
        <v>1.25</v>
      </c>
      <c r="C142" s="130">
        <v>1.25</v>
      </c>
      <c r="D142" s="129">
        <f t="shared" si="36"/>
        <v>1.25</v>
      </c>
      <c r="E142" s="129">
        <f t="shared" si="36"/>
        <v>1.25</v>
      </c>
      <c r="F142" s="129">
        <f t="shared" si="36"/>
        <v>1.25</v>
      </c>
      <c r="G142" s="129">
        <f t="shared" si="36"/>
        <v>1.25</v>
      </c>
      <c r="H142" s="129">
        <f t="shared" si="36"/>
        <v>1.25</v>
      </c>
      <c r="I142" s="129">
        <f t="shared" si="36"/>
        <v>1.25</v>
      </c>
      <c r="J142" s="129">
        <f t="shared" si="36"/>
        <v>1.25</v>
      </c>
      <c r="K142" s="129">
        <f t="shared" si="36"/>
        <v>1.25</v>
      </c>
      <c r="L142" s="129">
        <f t="shared" si="36"/>
        <v>1.25</v>
      </c>
      <c r="M142" s="129">
        <f t="shared" si="36"/>
        <v>1.25</v>
      </c>
      <c r="N142" s="129">
        <f t="shared" si="36"/>
        <v>1.25</v>
      </c>
      <c r="O142" s="129">
        <f t="shared" si="36"/>
        <v>1.25</v>
      </c>
      <c r="P142" s="129">
        <f t="shared" si="36"/>
        <v>1.25</v>
      </c>
      <c r="Q142" s="129">
        <f t="shared" si="36"/>
        <v>1.25</v>
      </c>
      <c r="R142" s="129">
        <f t="shared" si="36"/>
        <v>1.25</v>
      </c>
      <c r="S142" s="129">
        <f t="shared" si="36"/>
        <v>1.25</v>
      </c>
      <c r="T142" s="129">
        <f t="shared" si="37"/>
        <v>1.25</v>
      </c>
      <c r="U142" s="129">
        <f t="shared" si="37"/>
        <v>1.25</v>
      </c>
      <c r="V142" s="129">
        <f t="shared" si="37"/>
        <v>1.25</v>
      </c>
      <c r="W142" s="129">
        <f t="shared" si="37"/>
        <v>1.25</v>
      </c>
      <c r="X142" s="129">
        <f t="shared" si="37"/>
        <v>1.25</v>
      </c>
      <c r="Y142" s="129">
        <f t="shared" si="37"/>
        <v>1.25</v>
      </c>
      <c r="Z142" s="129">
        <f t="shared" si="37"/>
        <v>1.25</v>
      </c>
      <c r="AA142" s="129">
        <f t="shared" si="37"/>
        <v>1.25</v>
      </c>
      <c r="AB142" s="129">
        <f t="shared" si="37"/>
        <v>1.25</v>
      </c>
      <c r="AC142" s="129">
        <f t="shared" si="37"/>
        <v>1.25</v>
      </c>
      <c r="AD142" s="129">
        <f t="shared" si="37"/>
        <v>1.25</v>
      </c>
      <c r="AE142" s="129">
        <f t="shared" si="37"/>
        <v>1.25</v>
      </c>
      <c r="AF142" s="129">
        <f t="shared" si="37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5"/>
        <v>1.46</v>
      </c>
      <c r="C143" s="130">
        <v>1.46</v>
      </c>
      <c r="D143" s="129">
        <f t="shared" si="36"/>
        <v>1.46</v>
      </c>
      <c r="E143" s="129">
        <f t="shared" si="36"/>
        <v>1.46</v>
      </c>
      <c r="F143" s="129">
        <f t="shared" si="36"/>
        <v>1.46</v>
      </c>
      <c r="G143" s="129">
        <f t="shared" si="36"/>
        <v>1.46</v>
      </c>
      <c r="H143" s="129">
        <f t="shared" si="36"/>
        <v>1.46</v>
      </c>
      <c r="I143" s="129">
        <f t="shared" si="36"/>
        <v>1.46</v>
      </c>
      <c r="J143" s="129">
        <f t="shared" si="36"/>
        <v>1.46</v>
      </c>
      <c r="K143" s="129">
        <f t="shared" si="36"/>
        <v>1.46</v>
      </c>
      <c r="L143" s="129">
        <f t="shared" si="36"/>
        <v>1.46</v>
      </c>
      <c r="M143" s="129">
        <f t="shared" si="36"/>
        <v>1.46</v>
      </c>
      <c r="N143" s="129">
        <f t="shared" si="36"/>
        <v>1.46</v>
      </c>
      <c r="O143" s="129">
        <f t="shared" si="36"/>
        <v>1.46</v>
      </c>
      <c r="P143" s="129">
        <f t="shared" si="36"/>
        <v>1.46</v>
      </c>
      <c r="Q143" s="129">
        <f t="shared" si="36"/>
        <v>1.46</v>
      </c>
      <c r="R143" s="129">
        <f t="shared" si="36"/>
        <v>1.46</v>
      </c>
      <c r="S143" s="129">
        <f t="shared" si="36"/>
        <v>1.46</v>
      </c>
      <c r="T143" s="129">
        <f t="shared" si="37"/>
        <v>1.46</v>
      </c>
      <c r="U143" s="129">
        <f t="shared" si="37"/>
        <v>1.46</v>
      </c>
      <c r="V143" s="129">
        <f t="shared" si="37"/>
        <v>1.46</v>
      </c>
      <c r="W143" s="129">
        <f t="shared" si="37"/>
        <v>1.46</v>
      </c>
      <c r="X143" s="129">
        <f t="shared" si="37"/>
        <v>1.46</v>
      </c>
      <c r="Y143" s="129">
        <f t="shared" si="37"/>
        <v>1.46</v>
      </c>
      <c r="Z143" s="129">
        <f t="shared" si="37"/>
        <v>1.46</v>
      </c>
      <c r="AA143" s="129">
        <f t="shared" si="37"/>
        <v>1.46</v>
      </c>
      <c r="AB143" s="129">
        <f t="shared" si="37"/>
        <v>1.46</v>
      </c>
      <c r="AC143" s="129">
        <f t="shared" si="37"/>
        <v>1.46</v>
      </c>
      <c r="AD143" s="129">
        <f t="shared" si="37"/>
        <v>1.46</v>
      </c>
      <c r="AE143" s="129">
        <f t="shared" si="37"/>
        <v>1.46</v>
      </c>
      <c r="AF143" s="129">
        <f t="shared" si="37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5"/>
        <v>3</v>
      </c>
      <c r="C144" s="130">
        <v>3</v>
      </c>
      <c r="D144" s="129">
        <f t="shared" si="36"/>
        <v>3</v>
      </c>
      <c r="E144" s="129">
        <f t="shared" si="36"/>
        <v>3</v>
      </c>
      <c r="F144" s="129">
        <f t="shared" si="36"/>
        <v>3</v>
      </c>
      <c r="G144" s="129">
        <f t="shared" si="36"/>
        <v>3</v>
      </c>
      <c r="H144" s="129">
        <f t="shared" si="36"/>
        <v>3</v>
      </c>
      <c r="I144" s="129">
        <f t="shared" si="36"/>
        <v>3</v>
      </c>
      <c r="J144" s="129">
        <f t="shared" si="36"/>
        <v>3</v>
      </c>
      <c r="K144" s="129">
        <f t="shared" si="36"/>
        <v>3</v>
      </c>
      <c r="L144" s="129">
        <f t="shared" si="36"/>
        <v>3</v>
      </c>
      <c r="M144" s="129">
        <f t="shared" si="36"/>
        <v>3</v>
      </c>
      <c r="N144" s="129">
        <f t="shared" si="36"/>
        <v>3</v>
      </c>
      <c r="O144" s="129">
        <f t="shared" si="36"/>
        <v>3</v>
      </c>
      <c r="P144" s="129">
        <f t="shared" si="36"/>
        <v>3</v>
      </c>
      <c r="Q144" s="129">
        <f t="shared" si="36"/>
        <v>3</v>
      </c>
      <c r="R144" s="129">
        <f t="shared" si="36"/>
        <v>3</v>
      </c>
      <c r="S144" s="129">
        <f t="shared" si="36"/>
        <v>3</v>
      </c>
      <c r="T144" s="129">
        <f t="shared" si="37"/>
        <v>3</v>
      </c>
      <c r="U144" s="129">
        <f t="shared" si="37"/>
        <v>3</v>
      </c>
      <c r="V144" s="129">
        <f t="shared" si="37"/>
        <v>3</v>
      </c>
      <c r="W144" s="129">
        <f t="shared" si="37"/>
        <v>3</v>
      </c>
      <c r="X144" s="129">
        <f t="shared" si="37"/>
        <v>3</v>
      </c>
      <c r="Y144" s="129">
        <f t="shared" si="37"/>
        <v>3</v>
      </c>
      <c r="Z144" s="129">
        <f t="shared" si="37"/>
        <v>3</v>
      </c>
      <c r="AA144" s="129">
        <f t="shared" si="37"/>
        <v>3</v>
      </c>
      <c r="AB144" s="129">
        <f t="shared" si="37"/>
        <v>3</v>
      </c>
      <c r="AC144" s="129">
        <f t="shared" si="37"/>
        <v>3</v>
      </c>
      <c r="AD144" s="129">
        <f t="shared" si="37"/>
        <v>3</v>
      </c>
      <c r="AE144" s="129">
        <f t="shared" si="37"/>
        <v>3</v>
      </c>
      <c r="AF144" s="129">
        <f t="shared" si="37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5"/>
        <v>3.3</v>
      </c>
      <c r="C145" s="130">
        <v>3.3</v>
      </c>
      <c r="D145" s="129">
        <f t="shared" si="36"/>
        <v>3.3</v>
      </c>
      <c r="E145" s="129">
        <f t="shared" si="36"/>
        <v>3.3</v>
      </c>
      <c r="F145" s="129">
        <f t="shared" si="36"/>
        <v>3.3</v>
      </c>
      <c r="G145" s="129">
        <f t="shared" si="36"/>
        <v>3.3</v>
      </c>
      <c r="H145" s="129">
        <f t="shared" si="36"/>
        <v>3.3</v>
      </c>
      <c r="I145" s="129">
        <f t="shared" si="36"/>
        <v>3.3</v>
      </c>
      <c r="J145" s="129">
        <f t="shared" si="36"/>
        <v>3.3</v>
      </c>
      <c r="K145" s="129">
        <f t="shared" si="36"/>
        <v>3.3</v>
      </c>
      <c r="L145" s="129">
        <f t="shared" si="36"/>
        <v>3.3</v>
      </c>
      <c r="M145" s="129">
        <f t="shared" si="36"/>
        <v>3.3</v>
      </c>
      <c r="N145" s="129">
        <f t="shared" si="36"/>
        <v>3.3</v>
      </c>
      <c r="O145" s="129">
        <f t="shared" si="36"/>
        <v>3.3</v>
      </c>
      <c r="P145" s="129">
        <f t="shared" si="36"/>
        <v>3.3</v>
      </c>
      <c r="Q145" s="129">
        <f t="shared" si="36"/>
        <v>3.3</v>
      </c>
      <c r="R145" s="129">
        <f t="shared" si="36"/>
        <v>3.3</v>
      </c>
      <c r="S145" s="129">
        <f t="shared" si="36"/>
        <v>3.3</v>
      </c>
      <c r="T145" s="129">
        <f t="shared" si="37"/>
        <v>3.3</v>
      </c>
      <c r="U145" s="129">
        <f t="shared" si="37"/>
        <v>3.3</v>
      </c>
      <c r="V145" s="129">
        <f t="shared" si="37"/>
        <v>3.3</v>
      </c>
      <c r="W145" s="129">
        <f t="shared" si="37"/>
        <v>3.3</v>
      </c>
      <c r="X145" s="129">
        <f t="shared" si="37"/>
        <v>3.3</v>
      </c>
      <c r="Y145" s="129">
        <f t="shared" si="37"/>
        <v>3.3</v>
      </c>
      <c r="Z145" s="129">
        <f t="shared" si="37"/>
        <v>3.3</v>
      </c>
      <c r="AA145" s="129">
        <f t="shared" si="37"/>
        <v>3.3</v>
      </c>
      <c r="AB145" s="129">
        <f t="shared" si="37"/>
        <v>3.3</v>
      </c>
      <c r="AC145" s="129">
        <f t="shared" si="37"/>
        <v>3.3</v>
      </c>
      <c r="AD145" s="129">
        <f t="shared" si="37"/>
        <v>3.3</v>
      </c>
      <c r="AE145" s="129">
        <f t="shared" si="37"/>
        <v>3.3</v>
      </c>
      <c r="AF145" s="129">
        <f t="shared" si="37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38">C147</f>
        <v>1.76</v>
      </c>
      <c r="E147" s="129">
        <f t="shared" si="38"/>
        <v>1.76</v>
      </c>
      <c r="F147" s="129">
        <f t="shared" si="38"/>
        <v>1.76</v>
      </c>
      <c r="G147" s="129">
        <f t="shared" si="38"/>
        <v>1.76</v>
      </c>
      <c r="H147" s="129">
        <f t="shared" si="38"/>
        <v>1.76</v>
      </c>
      <c r="I147" s="129">
        <f t="shared" si="38"/>
        <v>1.76</v>
      </c>
      <c r="J147" s="129">
        <f t="shared" si="38"/>
        <v>1.76</v>
      </c>
      <c r="K147" s="129">
        <f t="shared" si="38"/>
        <v>1.76</v>
      </c>
      <c r="L147" s="129">
        <f t="shared" si="38"/>
        <v>1.76</v>
      </c>
      <c r="M147" s="129">
        <f t="shared" si="38"/>
        <v>1.76</v>
      </c>
      <c r="N147" s="129">
        <f t="shared" si="38"/>
        <v>1.76</v>
      </c>
      <c r="O147" s="129">
        <f t="shared" si="38"/>
        <v>1.76</v>
      </c>
      <c r="P147" s="129">
        <f t="shared" si="38"/>
        <v>1.76</v>
      </c>
      <c r="Q147" s="129">
        <f t="shared" si="38"/>
        <v>1.76</v>
      </c>
      <c r="R147" s="129">
        <f t="shared" si="38"/>
        <v>1.76</v>
      </c>
      <c r="S147" s="129">
        <f t="shared" si="38"/>
        <v>1.76</v>
      </c>
      <c r="T147" s="129">
        <f t="shared" ref="T147:AF148" si="39">S147</f>
        <v>1.76</v>
      </c>
      <c r="U147" s="129">
        <f t="shared" si="39"/>
        <v>1.76</v>
      </c>
      <c r="V147" s="129">
        <f t="shared" si="39"/>
        <v>1.76</v>
      </c>
      <c r="W147" s="129">
        <f t="shared" si="39"/>
        <v>1.76</v>
      </c>
      <c r="X147" s="129">
        <f t="shared" si="39"/>
        <v>1.76</v>
      </c>
      <c r="Y147" s="129">
        <f t="shared" si="39"/>
        <v>1.76</v>
      </c>
      <c r="Z147" s="129">
        <f t="shared" si="39"/>
        <v>1.76</v>
      </c>
      <c r="AA147" s="129">
        <f t="shared" si="39"/>
        <v>1.76</v>
      </c>
      <c r="AB147" s="129">
        <f t="shared" si="39"/>
        <v>1.76</v>
      </c>
      <c r="AC147" s="129">
        <f t="shared" si="39"/>
        <v>1.76</v>
      </c>
      <c r="AD147" s="129">
        <f t="shared" si="39"/>
        <v>1.76</v>
      </c>
      <c r="AE147" s="129">
        <f t="shared" si="39"/>
        <v>1.76</v>
      </c>
      <c r="AF147" s="129">
        <f t="shared" si="39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38"/>
        <v>0</v>
      </c>
      <c r="E148" s="129">
        <f t="shared" si="38"/>
        <v>0</v>
      </c>
      <c r="F148" s="129">
        <f t="shared" si="38"/>
        <v>0</v>
      </c>
      <c r="G148" s="129">
        <f t="shared" si="38"/>
        <v>0</v>
      </c>
      <c r="H148" s="129">
        <f t="shared" si="38"/>
        <v>0</v>
      </c>
      <c r="I148" s="129">
        <f t="shared" si="38"/>
        <v>0</v>
      </c>
      <c r="J148" s="129">
        <f t="shared" si="38"/>
        <v>0</v>
      </c>
      <c r="K148" s="129">
        <f t="shared" si="38"/>
        <v>0</v>
      </c>
      <c r="L148" s="129">
        <f t="shared" si="38"/>
        <v>0</v>
      </c>
      <c r="M148" s="129">
        <f t="shared" si="38"/>
        <v>0</v>
      </c>
      <c r="N148" s="129">
        <f t="shared" si="38"/>
        <v>0</v>
      </c>
      <c r="O148" s="129">
        <f t="shared" si="38"/>
        <v>0</v>
      </c>
      <c r="P148" s="129">
        <f t="shared" si="38"/>
        <v>0</v>
      </c>
      <c r="Q148" s="129">
        <f t="shared" si="38"/>
        <v>0</v>
      </c>
      <c r="R148" s="129">
        <f t="shared" si="38"/>
        <v>0</v>
      </c>
      <c r="S148" s="129">
        <f t="shared" si="38"/>
        <v>0</v>
      </c>
      <c r="T148" s="129">
        <f t="shared" si="39"/>
        <v>0</v>
      </c>
      <c r="U148" s="129">
        <f t="shared" si="39"/>
        <v>0</v>
      </c>
      <c r="V148" s="129">
        <f t="shared" si="39"/>
        <v>0</v>
      </c>
      <c r="W148" s="129">
        <f t="shared" si="39"/>
        <v>0</v>
      </c>
      <c r="X148" s="129">
        <f t="shared" si="39"/>
        <v>0</v>
      </c>
      <c r="Y148" s="129">
        <f t="shared" si="39"/>
        <v>0</v>
      </c>
      <c r="Z148" s="129">
        <f t="shared" si="39"/>
        <v>0</v>
      </c>
      <c r="AA148" s="129">
        <f t="shared" si="39"/>
        <v>0</v>
      </c>
      <c r="AB148" s="129">
        <f t="shared" si="39"/>
        <v>0</v>
      </c>
      <c r="AC148" s="129">
        <f t="shared" si="39"/>
        <v>0</v>
      </c>
      <c r="AD148" s="129">
        <f t="shared" si="39"/>
        <v>0</v>
      </c>
      <c r="AE148" s="129">
        <f t="shared" si="39"/>
        <v>0</v>
      </c>
      <c r="AF148" s="129">
        <f t="shared" si="39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0">C150</f>
        <v>0.1</v>
      </c>
      <c r="E150" s="129">
        <f t="shared" si="40"/>
        <v>0.1</v>
      </c>
      <c r="F150" s="129">
        <f t="shared" si="40"/>
        <v>0.1</v>
      </c>
      <c r="G150" s="129">
        <f t="shared" si="40"/>
        <v>0.1</v>
      </c>
      <c r="H150" s="129">
        <f t="shared" si="40"/>
        <v>0.1</v>
      </c>
      <c r="I150" s="129">
        <f t="shared" si="40"/>
        <v>0.1</v>
      </c>
      <c r="J150" s="129">
        <f t="shared" si="40"/>
        <v>0.1</v>
      </c>
      <c r="K150" s="129">
        <f t="shared" si="40"/>
        <v>0.1</v>
      </c>
      <c r="L150" s="129">
        <f t="shared" si="40"/>
        <v>0.1</v>
      </c>
      <c r="M150" s="129">
        <f t="shared" si="40"/>
        <v>0.1</v>
      </c>
      <c r="N150" s="129">
        <f t="shared" si="40"/>
        <v>0.1</v>
      </c>
      <c r="O150" s="129">
        <f t="shared" si="40"/>
        <v>0.1</v>
      </c>
      <c r="P150" s="129">
        <f t="shared" si="40"/>
        <v>0.1</v>
      </c>
      <c r="Q150" s="129">
        <f t="shared" si="40"/>
        <v>0.1</v>
      </c>
      <c r="R150" s="129">
        <f t="shared" si="40"/>
        <v>0.1</v>
      </c>
      <c r="S150" s="129">
        <f t="shared" si="40"/>
        <v>0.1</v>
      </c>
      <c r="T150" s="129">
        <f t="shared" ref="T150:AF153" si="41">S150</f>
        <v>0.1</v>
      </c>
      <c r="U150" s="129">
        <f t="shared" si="41"/>
        <v>0.1</v>
      </c>
      <c r="V150" s="129">
        <f t="shared" si="41"/>
        <v>0.1</v>
      </c>
      <c r="W150" s="129">
        <f t="shared" si="41"/>
        <v>0.1</v>
      </c>
      <c r="X150" s="129">
        <f t="shared" si="41"/>
        <v>0.1</v>
      </c>
      <c r="Y150" s="129">
        <f t="shared" si="41"/>
        <v>0.1</v>
      </c>
      <c r="Z150" s="129">
        <f t="shared" si="41"/>
        <v>0.1</v>
      </c>
      <c r="AA150" s="129">
        <f t="shared" si="41"/>
        <v>0.1</v>
      </c>
      <c r="AB150" s="129">
        <f t="shared" si="41"/>
        <v>0.1</v>
      </c>
      <c r="AC150" s="129">
        <f t="shared" si="41"/>
        <v>0.1</v>
      </c>
      <c r="AD150" s="129">
        <f t="shared" si="41"/>
        <v>0.1</v>
      </c>
      <c r="AE150" s="129">
        <f t="shared" si="41"/>
        <v>0.1</v>
      </c>
      <c r="AF150" s="129">
        <f t="shared" si="41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0"/>
        <v>2.0499999999999998</v>
      </c>
      <c r="E151" s="129">
        <f t="shared" si="40"/>
        <v>2.0499999999999998</v>
      </c>
      <c r="F151" s="129">
        <f t="shared" si="40"/>
        <v>2.0499999999999998</v>
      </c>
      <c r="G151" s="129">
        <f t="shared" si="40"/>
        <v>2.0499999999999998</v>
      </c>
      <c r="H151" s="129">
        <f t="shared" si="40"/>
        <v>2.0499999999999998</v>
      </c>
      <c r="I151" s="129">
        <f t="shared" si="40"/>
        <v>2.0499999999999998</v>
      </c>
      <c r="J151" s="129">
        <f t="shared" si="40"/>
        <v>2.0499999999999998</v>
      </c>
      <c r="K151" s="129">
        <f t="shared" si="40"/>
        <v>2.0499999999999998</v>
      </c>
      <c r="L151" s="129">
        <f t="shared" si="40"/>
        <v>2.0499999999999998</v>
      </c>
      <c r="M151" s="129">
        <f t="shared" si="40"/>
        <v>2.0499999999999998</v>
      </c>
      <c r="N151" s="129">
        <f t="shared" si="40"/>
        <v>2.0499999999999998</v>
      </c>
      <c r="O151" s="129">
        <f t="shared" si="40"/>
        <v>2.0499999999999998</v>
      </c>
      <c r="P151" s="129">
        <f t="shared" si="40"/>
        <v>2.0499999999999998</v>
      </c>
      <c r="Q151" s="129">
        <f t="shared" si="40"/>
        <v>2.0499999999999998</v>
      </c>
      <c r="R151" s="129">
        <f t="shared" si="40"/>
        <v>2.0499999999999998</v>
      </c>
      <c r="S151" s="129">
        <f t="shared" si="40"/>
        <v>2.0499999999999998</v>
      </c>
      <c r="T151" s="129">
        <f t="shared" si="41"/>
        <v>2.0499999999999998</v>
      </c>
      <c r="U151" s="129">
        <f t="shared" si="41"/>
        <v>2.0499999999999998</v>
      </c>
      <c r="V151" s="129">
        <f t="shared" si="41"/>
        <v>2.0499999999999998</v>
      </c>
      <c r="W151" s="129">
        <f t="shared" si="41"/>
        <v>2.0499999999999998</v>
      </c>
      <c r="X151" s="129">
        <f t="shared" si="41"/>
        <v>2.0499999999999998</v>
      </c>
      <c r="Y151" s="129">
        <f t="shared" si="41"/>
        <v>2.0499999999999998</v>
      </c>
      <c r="Z151" s="129">
        <f t="shared" si="41"/>
        <v>2.0499999999999998</v>
      </c>
      <c r="AA151" s="129">
        <f t="shared" si="41"/>
        <v>2.0499999999999998</v>
      </c>
      <c r="AB151" s="129">
        <f t="shared" si="41"/>
        <v>2.0499999999999998</v>
      </c>
      <c r="AC151" s="129">
        <f t="shared" si="41"/>
        <v>2.0499999999999998</v>
      </c>
      <c r="AD151" s="129">
        <f t="shared" si="41"/>
        <v>2.0499999999999998</v>
      </c>
      <c r="AE151" s="129">
        <f t="shared" si="41"/>
        <v>2.0499999999999998</v>
      </c>
      <c r="AF151" s="129">
        <f t="shared" si="41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0"/>
        <v>2.7</v>
      </c>
      <c r="E152" s="129">
        <f t="shared" si="40"/>
        <v>2.7</v>
      </c>
      <c r="F152" s="129">
        <f t="shared" si="40"/>
        <v>2.7</v>
      </c>
      <c r="G152" s="129">
        <f t="shared" si="40"/>
        <v>2.7</v>
      </c>
      <c r="H152" s="129">
        <f t="shared" si="40"/>
        <v>2.7</v>
      </c>
      <c r="I152" s="129">
        <f t="shared" si="40"/>
        <v>2.7</v>
      </c>
      <c r="J152" s="129">
        <f t="shared" si="40"/>
        <v>2.7</v>
      </c>
      <c r="K152" s="129">
        <f t="shared" si="40"/>
        <v>2.7</v>
      </c>
      <c r="L152" s="129">
        <f t="shared" si="40"/>
        <v>2.7</v>
      </c>
      <c r="M152" s="129">
        <f t="shared" si="40"/>
        <v>2.7</v>
      </c>
      <c r="N152" s="129">
        <f t="shared" si="40"/>
        <v>2.7</v>
      </c>
      <c r="O152" s="129">
        <f t="shared" si="40"/>
        <v>2.7</v>
      </c>
      <c r="P152" s="129">
        <f t="shared" si="40"/>
        <v>2.7</v>
      </c>
      <c r="Q152" s="129">
        <f t="shared" si="40"/>
        <v>2.7</v>
      </c>
      <c r="R152" s="129">
        <f t="shared" si="40"/>
        <v>2.7</v>
      </c>
      <c r="S152" s="129">
        <f t="shared" si="40"/>
        <v>2.7</v>
      </c>
      <c r="T152" s="129">
        <f t="shared" si="41"/>
        <v>2.7</v>
      </c>
      <c r="U152" s="129">
        <f t="shared" si="41"/>
        <v>2.7</v>
      </c>
      <c r="V152" s="129">
        <f t="shared" si="41"/>
        <v>2.7</v>
      </c>
      <c r="W152" s="129">
        <f t="shared" si="41"/>
        <v>2.7</v>
      </c>
      <c r="X152" s="129">
        <f t="shared" si="41"/>
        <v>2.7</v>
      </c>
      <c r="Y152" s="129">
        <f t="shared" si="41"/>
        <v>2.7</v>
      </c>
      <c r="Z152" s="129">
        <f t="shared" si="41"/>
        <v>2.7</v>
      </c>
      <c r="AA152" s="129">
        <f t="shared" si="41"/>
        <v>2.7</v>
      </c>
      <c r="AB152" s="129">
        <f t="shared" si="41"/>
        <v>2.7</v>
      </c>
      <c r="AC152" s="129">
        <f t="shared" si="41"/>
        <v>2.7</v>
      </c>
      <c r="AD152" s="129">
        <f t="shared" si="41"/>
        <v>2.7</v>
      </c>
      <c r="AE152" s="129">
        <f t="shared" si="41"/>
        <v>2.7</v>
      </c>
      <c r="AF152" s="129">
        <f t="shared" si="41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0"/>
        <v>2.15</v>
      </c>
      <c r="E153" s="129">
        <f t="shared" si="40"/>
        <v>2.15</v>
      </c>
      <c r="F153" s="129">
        <f t="shared" si="40"/>
        <v>2.15</v>
      </c>
      <c r="G153" s="129">
        <f t="shared" si="40"/>
        <v>2.15</v>
      </c>
      <c r="H153" s="129">
        <f t="shared" si="40"/>
        <v>2.15</v>
      </c>
      <c r="I153" s="129">
        <f t="shared" si="40"/>
        <v>2.15</v>
      </c>
      <c r="J153" s="129">
        <f t="shared" si="40"/>
        <v>2.15</v>
      </c>
      <c r="K153" s="129">
        <f t="shared" si="40"/>
        <v>2.15</v>
      </c>
      <c r="L153" s="129">
        <f t="shared" si="40"/>
        <v>2.15</v>
      </c>
      <c r="M153" s="129">
        <f t="shared" si="40"/>
        <v>2.15</v>
      </c>
      <c r="N153" s="129">
        <f t="shared" si="40"/>
        <v>2.15</v>
      </c>
      <c r="O153" s="129">
        <f t="shared" si="40"/>
        <v>2.15</v>
      </c>
      <c r="P153" s="129">
        <f t="shared" si="40"/>
        <v>2.15</v>
      </c>
      <c r="Q153" s="129">
        <f t="shared" si="40"/>
        <v>2.15</v>
      </c>
      <c r="R153" s="129">
        <f t="shared" si="40"/>
        <v>2.15</v>
      </c>
      <c r="S153" s="129">
        <f t="shared" si="40"/>
        <v>2.15</v>
      </c>
      <c r="T153" s="129">
        <f t="shared" si="41"/>
        <v>2.15</v>
      </c>
      <c r="U153" s="129">
        <f t="shared" si="41"/>
        <v>2.15</v>
      </c>
      <c r="V153" s="129">
        <f t="shared" si="41"/>
        <v>2.15</v>
      </c>
      <c r="W153" s="129">
        <f t="shared" si="41"/>
        <v>2.15</v>
      </c>
      <c r="X153" s="129">
        <f t="shared" si="41"/>
        <v>2.15</v>
      </c>
      <c r="Y153" s="129">
        <f t="shared" si="41"/>
        <v>2.15</v>
      </c>
      <c r="Z153" s="129">
        <f t="shared" si="41"/>
        <v>2.15</v>
      </c>
      <c r="AA153" s="129">
        <f t="shared" si="41"/>
        <v>2.15</v>
      </c>
      <c r="AB153" s="129">
        <f t="shared" si="41"/>
        <v>2.15</v>
      </c>
      <c r="AC153" s="129">
        <f t="shared" si="41"/>
        <v>2.15</v>
      </c>
      <c r="AD153" s="129">
        <f t="shared" si="41"/>
        <v>2.15</v>
      </c>
      <c r="AE153" s="129">
        <f t="shared" si="41"/>
        <v>2.15</v>
      </c>
      <c r="AF153" s="129">
        <f t="shared" si="41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2">AF155</f>
        <v>0.9</v>
      </c>
      <c r="C155" s="130">
        <v>0.9</v>
      </c>
      <c r="D155" s="129">
        <f t="shared" ref="D155:S167" si="43">C155</f>
        <v>0.9</v>
      </c>
      <c r="E155" s="129">
        <f t="shared" si="43"/>
        <v>0.9</v>
      </c>
      <c r="F155" s="129">
        <f t="shared" si="43"/>
        <v>0.9</v>
      </c>
      <c r="G155" s="129">
        <f t="shared" si="43"/>
        <v>0.9</v>
      </c>
      <c r="H155" s="129">
        <f t="shared" si="43"/>
        <v>0.9</v>
      </c>
      <c r="I155" s="129">
        <f t="shared" si="43"/>
        <v>0.9</v>
      </c>
      <c r="J155" s="129">
        <f t="shared" si="43"/>
        <v>0.9</v>
      </c>
      <c r="K155" s="129">
        <f t="shared" si="43"/>
        <v>0.9</v>
      </c>
      <c r="L155" s="129">
        <f t="shared" si="43"/>
        <v>0.9</v>
      </c>
      <c r="M155" s="129">
        <f t="shared" si="43"/>
        <v>0.9</v>
      </c>
      <c r="N155" s="129">
        <f t="shared" si="43"/>
        <v>0.9</v>
      </c>
      <c r="O155" s="129">
        <f t="shared" si="43"/>
        <v>0.9</v>
      </c>
      <c r="P155" s="129">
        <f t="shared" si="43"/>
        <v>0.9</v>
      </c>
      <c r="Q155" s="129">
        <f t="shared" si="43"/>
        <v>0.9</v>
      </c>
      <c r="R155" s="129">
        <f t="shared" si="43"/>
        <v>0.9</v>
      </c>
      <c r="S155" s="129">
        <f t="shared" si="43"/>
        <v>0.9</v>
      </c>
      <c r="T155" s="129">
        <f t="shared" ref="S155:AF167" si="44">S155</f>
        <v>0.9</v>
      </c>
      <c r="U155" s="129">
        <f t="shared" si="44"/>
        <v>0.9</v>
      </c>
      <c r="V155" s="129">
        <f t="shared" si="44"/>
        <v>0.9</v>
      </c>
      <c r="W155" s="129">
        <f t="shared" si="44"/>
        <v>0.9</v>
      </c>
      <c r="X155" s="129">
        <f t="shared" si="44"/>
        <v>0.9</v>
      </c>
      <c r="Y155" s="129">
        <f t="shared" si="44"/>
        <v>0.9</v>
      </c>
      <c r="Z155" s="129">
        <f t="shared" si="44"/>
        <v>0.9</v>
      </c>
      <c r="AA155" s="129">
        <f t="shared" si="44"/>
        <v>0.9</v>
      </c>
      <c r="AB155" s="129">
        <f t="shared" si="44"/>
        <v>0.9</v>
      </c>
      <c r="AC155" s="129">
        <f t="shared" si="44"/>
        <v>0.9</v>
      </c>
      <c r="AD155" s="129">
        <f t="shared" si="44"/>
        <v>0.9</v>
      </c>
      <c r="AE155" s="129">
        <f t="shared" si="44"/>
        <v>0.9</v>
      </c>
      <c r="AF155" s="129">
        <f t="shared" si="44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2"/>
        <v>1.08</v>
      </c>
      <c r="C156" s="130">
        <v>1.08</v>
      </c>
      <c r="D156" s="129">
        <f t="shared" si="43"/>
        <v>1.08</v>
      </c>
      <c r="E156" s="129">
        <f t="shared" si="43"/>
        <v>1.08</v>
      </c>
      <c r="F156" s="129">
        <f t="shared" si="43"/>
        <v>1.08</v>
      </c>
      <c r="G156" s="129">
        <f t="shared" si="43"/>
        <v>1.08</v>
      </c>
      <c r="H156" s="129">
        <f t="shared" si="43"/>
        <v>1.08</v>
      </c>
      <c r="I156" s="129">
        <f t="shared" si="43"/>
        <v>1.08</v>
      </c>
      <c r="J156" s="129">
        <f t="shared" si="43"/>
        <v>1.08</v>
      </c>
      <c r="K156" s="129">
        <f t="shared" si="43"/>
        <v>1.08</v>
      </c>
      <c r="L156" s="129">
        <f t="shared" si="43"/>
        <v>1.08</v>
      </c>
      <c r="M156" s="129">
        <f t="shared" si="43"/>
        <v>1.08</v>
      </c>
      <c r="N156" s="129">
        <f t="shared" si="43"/>
        <v>1.08</v>
      </c>
      <c r="O156" s="129">
        <f t="shared" si="43"/>
        <v>1.08</v>
      </c>
      <c r="P156" s="129">
        <f t="shared" si="43"/>
        <v>1.08</v>
      </c>
      <c r="Q156" s="129">
        <f t="shared" si="43"/>
        <v>1.08</v>
      </c>
      <c r="R156" s="129">
        <f t="shared" si="43"/>
        <v>1.08</v>
      </c>
      <c r="S156" s="129">
        <f t="shared" si="43"/>
        <v>1.08</v>
      </c>
      <c r="T156" s="129">
        <f t="shared" si="44"/>
        <v>1.08</v>
      </c>
      <c r="U156" s="129">
        <f t="shared" si="44"/>
        <v>1.08</v>
      </c>
      <c r="V156" s="129">
        <f t="shared" si="44"/>
        <v>1.08</v>
      </c>
      <c r="W156" s="129">
        <f t="shared" si="44"/>
        <v>1.08</v>
      </c>
      <c r="X156" s="129">
        <f t="shared" si="44"/>
        <v>1.08</v>
      </c>
      <c r="Y156" s="129">
        <f t="shared" si="44"/>
        <v>1.08</v>
      </c>
      <c r="Z156" s="129">
        <f t="shared" si="44"/>
        <v>1.08</v>
      </c>
      <c r="AA156" s="129">
        <f t="shared" si="44"/>
        <v>1.08</v>
      </c>
      <c r="AB156" s="129">
        <f t="shared" si="44"/>
        <v>1.08</v>
      </c>
      <c r="AC156" s="129">
        <f t="shared" si="44"/>
        <v>1.08</v>
      </c>
      <c r="AD156" s="129">
        <f t="shared" si="44"/>
        <v>1.08</v>
      </c>
      <c r="AE156" s="129">
        <f t="shared" si="44"/>
        <v>1.08</v>
      </c>
      <c r="AF156" s="129">
        <f t="shared" si="44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2"/>
        <v>2.37</v>
      </c>
      <c r="C157" s="130">
        <v>2.37</v>
      </c>
      <c r="D157" s="129">
        <f t="shared" si="43"/>
        <v>2.37</v>
      </c>
      <c r="E157" s="129">
        <f t="shared" si="43"/>
        <v>2.37</v>
      </c>
      <c r="F157" s="129">
        <f t="shared" si="43"/>
        <v>2.37</v>
      </c>
      <c r="G157" s="129">
        <f t="shared" si="43"/>
        <v>2.37</v>
      </c>
      <c r="H157" s="129">
        <f t="shared" si="43"/>
        <v>2.37</v>
      </c>
      <c r="I157" s="129">
        <f t="shared" si="43"/>
        <v>2.37</v>
      </c>
      <c r="J157" s="129">
        <f t="shared" si="43"/>
        <v>2.37</v>
      </c>
      <c r="K157" s="129">
        <f t="shared" si="43"/>
        <v>2.37</v>
      </c>
      <c r="L157" s="129">
        <f t="shared" si="43"/>
        <v>2.37</v>
      </c>
      <c r="M157" s="129">
        <f t="shared" si="43"/>
        <v>2.37</v>
      </c>
      <c r="N157" s="129">
        <f t="shared" si="43"/>
        <v>2.37</v>
      </c>
      <c r="O157" s="129">
        <f t="shared" si="43"/>
        <v>2.37</v>
      </c>
      <c r="P157" s="129">
        <f t="shared" si="43"/>
        <v>2.37</v>
      </c>
      <c r="Q157" s="129">
        <f t="shared" si="43"/>
        <v>2.37</v>
      </c>
      <c r="R157" s="129">
        <f t="shared" si="43"/>
        <v>2.37</v>
      </c>
      <c r="S157" s="129">
        <f t="shared" si="43"/>
        <v>2.37</v>
      </c>
      <c r="T157" s="129">
        <f t="shared" si="44"/>
        <v>2.37</v>
      </c>
      <c r="U157" s="129">
        <f t="shared" si="44"/>
        <v>2.37</v>
      </c>
      <c r="V157" s="129">
        <f t="shared" si="44"/>
        <v>2.37</v>
      </c>
      <c r="W157" s="129">
        <f t="shared" si="44"/>
        <v>2.37</v>
      </c>
      <c r="X157" s="129">
        <f t="shared" si="44"/>
        <v>2.37</v>
      </c>
      <c r="Y157" s="129">
        <f t="shared" si="44"/>
        <v>2.37</v>
      </c>
      <c r="Z157" s="129">
        <f t="shared" si="44"/>
        <v>2.37</v>
      </c>
      <c r="AA157" s="129">
        <f t="shared" si="44"/>
        <v>2.37</v>
      </c>
      <c r="AB157" s="129">
        <f t="shared" si="44"/>
        <v>2.37</v>
      </c>
      <c r="AC157" s="129">
        <f t="shared" si="44"/>
        <v>2.37</v>
      </c>
      <c r="AD157" s="129">
        <f t="shared" si="44"/>
        <v>2.37</v>
      </c>
      <c r="AE157" s="129">
        <f t="shared" si="44"/>
        <v>2.37</v>
      </c>
      <c r="AF157" s="129">
        <f t="shared" si="44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2"/>
        <v>1.81</v>
      </c>
      <c r="C158" s="130">
        <v>1.81</v>
      </c>
      <c r="D158" s="129">
        <f t="shared" si="43"/>
        <v>1.81</v>
      </c>
      <c r="E158" s="129">
        <f t="shared" si="43"/>
        <v>1.81</v>
      </c>
      <c r="F158" s="129">
        <f t="shared" si="43"/>
        <v>1.81</v>
      </c>
      <c r="G158" s="129">
        <f t="shared" si="43"/>
        <v>1.81</v>
      </c>
      <c r="H158" s="129">
        <f t="shared" si="43"/>
        <v>1.81</v>
      </c>
      <c r="I158" s="129">
        <f t="shared" si="43"/>
        <v>1.81</v>
      </c>
      <c r="J158" s="129">
        <f t="shared" si="43"/>
        <v>1.81</v>
      </c>
      <c r="K158" s="129">
        <f t="shared" si="43"/>
        <v>1.81</v>
      </c>
      <c r="L158" s="129">
        <f t="shared" si="43"/>
        <v>1.81</v>
      </c>
      <c r="M158" s="129">
        <f t="shared" si="43"/>
        <v>1.81</v>
      </c>
      <c r="N158" s="129">
        <f t="shared" si="43"/>
        <v>1.81</v>
      </c>
      <c r="O158" s="129">
        <f t="shared" si="43"/>
        <v>1.81</v>
      </c>
      <c r="P158" s="129">
        <f t="shared" si="43"/>
        <v>1.81</v>
      </c>
      <c r="Q158" s="129">
        <f t="shared" si="43"/>
        <v>1.81</v>
      </c>
      <c r="R158" s="129">
        <f t="shared" si="43"/>
        <v>1.81</v>
      </c>
      <c r="S158" s="129">
        <f t="shared" si="43"/>
        <v>1.81</v>
      </c>
      <c r="T158" s="129">
        <f t="shared" si="44"/>
        <v>1.81</v>
      </c>
      <c r="U158" s="129">
        <f t="shared" si="44"/>
        <v>1.81</v>
      </c>
      <c r="V158" s="129">
        <f t="shared" si="44"/>
        <v>1.81</v>
      </c>
      <c r="W158" s="129">
        <f t="shared" si="44"/>
        <v>1.81</v>
      </c>
      <c r="X158" s="129">
        <f t="shared" si="44"/>
        <v>1.81</v>
      </c>
      <c r="Y158" s="129">
        <f t="shared" si="44"/>
        <v>1.81</v>
      </c>
      <c r="Z158" s="129">
        <f t="shared" si="44"/>
        <v>1.81</v>
      </c>
      <c r="AA158" s="129">
        <f t="shared" si="44"/>
        <v>1.81</v>
      </c>
      <c r="AB158" s="129">
        <f t="shared" si="44"/>
        <v>1.81</v>
      </c>
      <c r="AC158" s="129">
        <f t="shared" si="44"/>
        <v>1.81</v>
      </c>
      <c r="AD158" s="129">
        <f t="shared" si="44"/>
        <v>1.81</v>
      </c>
      <c r="AE158" s="129">
        <f t="shared" si="44"/>
        <v>1.81</v>
      </c>
      <c r="AF158" s="129">
        <f t="shared" si="44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2"/>
        <v>1.0900000000000001</v>
      </c>
      <c r="C159" s="130">
        <v>1.0900000000000001</v>
      </c>
      <c r="D159" s="129">
        <f t="shared" si="43"/>
        <v>1.0900000000000001</v>
      </c>
      <c r="E159" s="129">
        <f t="shared" si="43"/>
        <v>1.0900000000000001</v>
      </c>
      <c r="F159" s="129">
        <f t="shared" si="43"/>
        <v>1.0900000000000001</v>
      </c>
      <c r="G159" s="129">
        <f t="shared" si="43"/>
        <v>1.0900000000000001</v>
      </c>
      <c r="H159" s="129">
        <f t="shared" si="43"/>
        <v>1.0900000000000001</v>
      </c>
      <c r="I159" s="129">
        <f t="shared" si="43"/>
        <v>1.0900000000000001</v>
      </c>
      <c r="J159" s="129">
        <f t="shared" si="43"/>
        <v>1.0900000000000001</v>
      </c>
      <c r="K159" s="129">
        <f t="shared" si="43"/>
        <v>1.0900000000000001</v>
      </c>
      <c r="L159" s="129">
        <f t="shared" si="43"/>
        <v>1.0900000000000001</v>
      </c>
      <c r="M159" s="129">
        <f t="shared" si="43"/>
        <v>1.0900000000000001</v>
      </c>
      <c r="N159" s="129">
        <f t="shared" si="43"/>
        <v>1.0900000000000001</v>
      </c>
      <c r="O159" s="129">
        <f t="shared" si="43"/>
        <v>1.0900000000000001</v>
      </c>
      <c r="P159" s="129">
        <f t="shared" si="43"/>
        <v>1.0900000000000001</v>
      </c>
      <c r="Q159" s="129">
        <f t="shared" si="43"/>
        <v>1.0900000000000001</v>
      </c>
      <c r="R159" s="129">
        <f t="shared" si="43"/>
        <v>1.0900000000000001</v>
      </c>
      <c r="S159" s="129">
        <f t="shared" si="43"/>
        <v>1.0900000000000001</v>
      </c>
      <c r="T159" s="129">
        <f t="shared" si="44"/>
        <v>1.0900000000000001</v>
      </c>
      <c r="U159" s="129">
        <f t="shared" si="44"/>
        <v>1.0900000000000001</v>
      </c>
      <c r="V159" s="129">
        <f t="shared" si="44"/>
        <v>1.0900000000000001</v>
      </c>
      <c r="W159" s="129">
        <f t="shared" si="44"/>
        <v>1.0900000000000001</v>
      </c>
      <c r="X159" s="129">
        <f t="shared" si="44"/>
        <v>1.0900000000000001</v>
      </c>
      <c r="Y159" s="129">
        <f t="shared" si="44"/>
        <v>1.0900000000000001</v>
      </c>
      <c r="Z159" s="129">
        <f t="shared" si="44"/>
        <v>1.0900000000000001</v>
      </c>
      <c r="AA159" s="129">
        <f t="shared" si="44"/>
        <v>1.0900000000000001</v>
      </c>
      <c r="AB159" s="129">
        <f t="shared" si="44"/>
        <v>1.0900000000000001</v>
      </c>
      <c r="AC159" s="129">
        <f t="shared" si="44"/>
        <v>1.0900000000000001</v>
      </c>
      <c r="AD159" s="129">
        <f t="shared" si="44"/>
        <v>1.0900000000000001</v>
      </c>
      <c r="AE159" s="129">
        <f t="shared" si="44"/>
        <v>1.0900000000000001</v>
      </c>
      <c r="AF159" s="129">
        <f t="shared" si="44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2"/>
        <v>1.58</v>
      </c>
      <c r="C160" s="130">
        <v>1.58</v>
      </c>
      <c r="D160" s="129">
        <f t="shared" si="43"/>
        <v>1.58</v>
      </c>
      <c r="E160" s="129">
        <f t="shared" si="43"/>
        <v>1.58</v>
      </c>
      <c r="F160" s="129">
        <f t="shared" si="43"/>
        <v>1.58</v>
      </c>
      <c r="G160" s="129">
        <f t="shared" si="43"/>
        <v>1.58</v>
      </c>
      <c r="H160" s="129">
        <f t="shared" si="43"/>
        <v>1.58</v>
      </c>
      <c r="I160" s="129">
        <f t="shared" si="43"/>
        <v>1.58</v>
      </c>
      <c r="J160" s="129">
        <f t="shared" si="43"/>
        <v>1.58</v>
      </c>
      <c r="K160" s="129">
        <f t="shared" si="43"/>
        <v>1.58</v>
      </c>
      <c r="L160" s="129">
        <f t="shared" si="43"/>
        <v>1.58</v>
      </c>
      <c r="M160" s="129">
        <f t="shared" si="43"/>
        <v>1.58</v>
      </c>
      <c r="N160" s="129">
        <f t="shared" si="43"/>
        <v>1.58</v>
      </c>
      <c r="O160" s="129">
        <f t="shared" si="43"/>
        <v>1.58</v>
      </c>
      <c r="P160" s="129">
        <f t="shared" si="43"/>
        <v>1.58</v>
      </c>
      <c r="Q160" s="129">
        <f t="shared" si="43"/>
        <v>1.58</v>
      </c>
      <c r="R160" s="129">
        <f t="shared" si="43"/>
        <v>1.58</v>
      </c>
      <c r="S160" s="129">
        <f t="shared" si="43"/>
        <v>1.58</v>
      </c>
      <c r="T160" s="129">
        <f t="shared" si="44"/>
        <v>1.58</v>
      </c>
      <c r="U160" s="129">
        <f t="shared" si="44"/>
        <v>1.58</v>
      </c>
      <c r="V160" s="129">
        <f t="shared" si="44"/>
        <v>1.58</v>
      </c>
      <c r="W160" s="129">
        <f t="shared" si="44"/>
        <v>1.58</v>
      </c>
      <c r="X160" s="129">
        <f t="shared" si="44"/>
        <v>1.58</v>
      </c>
      <c r="Y160" s="129">
        <f t="shared" si="44"/>
        <v>1.58</v>
      </c>
      <c r="Z160" s="129">
        <f t="shared" si="44"/>
        <v>1.58</v>
      </c>
      <c r="AA160" s="129">
        <f t="shared" si="44"/>
        <v>1.58</v>
      </c>
      <c r="AB160" s="129">
        <f t="shared" si="44"/>
        <v>1.58</v>
      </c>
      <c r="AC160" s="129">
        <f t="shared" si="44"/>
        <v>1.58</v>
      </c>
      <c r="AD160" s="129">
        <f t="shared" si="44"/>
        <v>1.58</v>
      </c>
      <c r="AE160" s="129">
        <f t="shared" si="44"/>
        <v>1.58</v>
      </c>
      <c r="AF160" s="129">
        <f t="shared" si="44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2"/>
        <v>2</v>
      </c>
      <c r="C161" s="130">
        <v>2</v>
      </c>
      <c r="D161" s="129">
        <f t="shared" si="43"/>
        <v>2</v>
      </c>
      <c r="E161" s="129">
        <f t="shared" si="43"/>
        <v>2</v>
      </c>
      <c r="F161" s="129">
        <f t="shared" si="43"/>
        <v>2</v>
      </c>
      <c r="G161" s="129">
        <f t="shared" si="43"/>
        <v>2</v>
      </c>
      <c r="H161" s="129">
        <f t="shared" si="43"/>
        <v>2</v>
      </c>
      <c r="I161" s="129">
        <f t="shared" si="43"/>
        <v>2</v>
      </c>
      <c r="J161" s="129">
        <f t="shared" si="43"/>
        <v>2</v>
      </c>
      <c r="K161" s="129">
        <f t="shared" si="43"/>
        <v>2</v>
      </c>
      <c r="L161" s="129">
        <f t="shared" si="43"/>
        <v>2</v>
      </c>
      <c r="M161" s="129">
        <f t="shared" si="43"/>
        <v>2</v>
      </c>
      <c r="N161" s="129">
        <f t="shared" si="43"/>
        <v>2</v>
      </c>
      <c r="O161" s="129">
        <f t="shared" si="43"/>
        <v>2</v>
      </c>
      <c r="P161" s="129">
        <f t="shared" si="43"/>
        <v>2</v>
      </c>
      <c r="Q161" s="129">
        <f t="shared" si="43"/>
        <v>2</v>
      </c>
      <c r="R161" s="129">
        <f t="shared" si="43"/>
        <v>2</v>
      </c>
      <c r="S161" s="129">
        <f t="shared" si="43"/>
        <v>2</v>
      </c>
      <c r="T161" s="129">
        <f t="shared" si="44"/>
        <v>2</v>
      </c>
      <c r="U161" s="129">
        <f t="shared" si="44"/>
        <v>2</v>
      </c>
      <c r="V161" s="129">
        <f t="shared" si="44"/>
        <v>2</v>
      </c>
      <c r="W161" s="129">
        <f t="shared" si="44"/>
        <v>2</v>
      </c>
      <c r="X161" s="129">
        <f t="shared" si="44"/>
        <v>2</v>
      </c>
      <c r="Y161" s="129">
        <f t="shared" si="44"/>
        <v>2</v>
      </c>
      <c r="Z161" s="129">
        <f t="shared" si="44"/>
        <v>2</v>
      </c>
      <c r="AA161" s="129">
        <f t="shared" si="44"/>
        <v>2</v>
      </c>
      <c r="AB161" s="129">
        <f t="shared" si="44"/>
        <v>2</v>
      </c>
      <c r="AC161" s="129">
        <f t="shared" si="44"/>
        <v>2</v>
      </c>
      <c r="AD161" s="129">
        <f t="shared" si="44"/>
        <v>2</v>
      </c>
      <c r="AE161" s="129">
        <f t="shared" si="44"/>
        <v>2</v>
      </c>
      <c r="AF161" s="129">
        <f t="shared" si="44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2"/>
        <v>0.47</v>
      </c>
      <c r="C162" s="130">
        <v>0.47</v>
      </c>
      <c r="D162" s="129">
        <f t="shared" si="43"/>
        <v>0.47</v>
      </c>
      <c r="E162" s="129">
        <f t="shared" si="43"/>
        <v>0.47</v>
      </c>
      <c r="F162" s="129">
        <f t="shared" si="43"/>
        <v>0.47</v>
      </c>
      <c r="G162" s="129">
        <f t="shared" si="43"/>
        <v>0.47</v>
      </c>
      <c r="H162" s="129">
        <f t="shared" si="43"/>
        <v>0.47</v>
      </c>
      <c r="I162" s="129">
        <f t="shared" si="43"/>
        <v>0.47</v>
      </c>
      <c r="J162" s="129">
        <f t="shared" si="43"/>
        <v>0.47</v>
      </c>
      <c r="K162" s="129">
        <f t="shared" si="43"/>
        <v>0.47</v>
      </c>
      <c r="L162" s="129">
        <f t="shared" si="43"/>
        <v>0.47</v>
      </c>
      <c r="M162" s="129">
        <f t="shared" si="43"/>
        <v>0.47</v>
      </c>
      <c r="N162" s="129">
        <f t="shared" si="43"/>
        <v>0.47</v>
      </c>
      <c r="O162" s="129">
        <f t="shared" si="43"/>
        <v>0.47</v>
      </c>
      <c r="P162" s="129">
        <f t="shared" si="43"/>
        <v>0.47</v>
      </c>
      <c r="Q162" s="129">
        <f t="shared" si="43"/>
        <v>0.47</v>
      </c>
      <c r="R162" s="129">
        <f t="shared" si="43"/>
        <v>0.47</v>
      </c>
      <c r="S162" s="129">
        <f t="shared" si="43"/>
        <v>0.47</v>
      </c>
      <c r="T162" s="129">
        <f t="shared" si="44"/>
        <v>0.47</v>
      </c>
      <c r="U162" s="129">
        <f t="shared" si="44"/>
        <v>0.47</v>
      </c>
      <c r="V162" s="129">
        <f t="shared" si="44"/>
        <v>0.47</v>
      </c>
      <c r="W162" s="129">
        <f t="shared" si="44"/>
        <v>0.47</v>
      </c>
      <c r="X162" s="129">
        <f t="shared" si="44"/>
        <v>0.47</v>
      </c>
      <c r="Y162" s="129">
        <f t="shared" si="44"/>
        <v>0.47</v>
      </c>
      <c r="Z162" s="129">
        <f t="shared" si="44"/>
        <v>0.47</v>
      </c>
      <c r="AA162" s="129">
        <f t="shared" si="44"/>
        <v>0.47</v>
      </c>
      <c r="AB162" s="129">
        <f t="shared" si="44"/>
        <v>0.47</v>
      </c>
      <c r="AC162" s="129">
        <f t="shared" si="44"/>
        <v>0.47</v>
      </c>
      <c r="AD162" s="129">
        <f t="shared" si="44"/>
        <v>0.47</v>
      </c>
      <c r="AE162" s="129">
        <f t="shared" si="44"/>
        <v>0.47</v>
      </c>
      <c r="AF162" s="129">
        <f t="shared" si="44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2"/>
        <v>0</v>
      </c>
      <c r="C163" s="130">
        <v>0</v>
      </c>
      <c r="D163" s="129">
        <f t="shared" si="43"/>
        <v>0</v>
      </c>
      <c r="E163" s="129">
        <f t="shared" si="43"/>
        <v>0</v>
      </c>
      <c r="F163" s="129">
        <f t="shared" si="43"/>
        <v>0</v>
      </c>
      <c r="G163" s="129">
        <f t="shared" si="43"/>
        <v>0</v>
      </c>
      <c r="H163" s="129">
        <f t="shared" si="43"/>
        <v>0</v>
      </c>
      <c r="I163" s="129">
        <f t="shared" si="43"/>
        <v>0</v>
      </c>
      <c r="J163" s="129">
        <f t="shared" si="43"/>
        <v>0</v>
      </c>
      <c r="K163" s="129">
        <f t="shared" si="43"/>
        <v>0</v>
      </c>
      <c r="L163" s="129">
        <f t="shared" si="43"/>
        <v>0</v>
      </c>
      <c r="M163" s="129">
        <f t="shared" si="43"/>
        <v>0</v>
      </c>
      <c r="N163" s="129">
        <f t="shared" si="43"/>
        <v>0</v>
      </c>
      <c r="O163" s="129">
        <f t="shared" si="43"/>
        <v>0</v>
      </c>
      <c r="P163" s="129">
        <f t="shared" si="43"/>
        <v>0</v>
      </c>
      <c r="Q163" s="129">
        <f t="shared" si="43"/>
        <v>0</v>
      </c>
      <c r="R163" s="129">
        <f t="shared" si="43"/>
        <v>0</v>
      </c>
      <c r="S163" s="129">
        <f t="shared" si="43"/>
        <v>0</v>
      </c>
      <c r="T163" s="129">
        <f t="shared" si="44"/>
        <v>0</v>
      </c>
      <c r="U163" s="129">
        <f t="shared" si="44"/>
        <v>0</v>
      </c>
      <c r="V163" s="129">
        <f t="shared" si="44"/>
        <v>0</v>
      </c>
      <c r="W163" s="129">
        <f t="shared" si="44"/>
        <v>0</v>
      </c>
      <c r="X163" s="129">
        <f t="shared" si="44"/>
        <v>0</v>
      </c>
      <c r="Y163" s="129">
        <f t="shared" si="44"/>
        <v>0</v>
      </c>
      <c r="Z163" s="129">
        <f t="shared" si="44"/>
        <v>0</v>
      </c>
      <c r="AA163" s="129">
        <f t="shared" si="44"/>
        <v>0</v>
      </c>
      <c r="AB163" s="129">
        <f t="shared" si="44"/>
        <v>0</v>
      </c>
      <c r="AC163" s="129">
        <f t="shared" si="44"/>
        <v>0</v>
      </c>
      <c r="AD163" s="129">
        <f t="shared" si="44"/>
        <v>0</v>
      </c>
      <c r="AE163" s="129">
        <f t="shared" si="44"/>
        <v>0</v>
      </c>
      <c r="AF163" s="129">
        <f t="shared" si="44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2"/>
        <v>0</v>
      </c>
      <c r="C164" s="130">
        <v>0</v>
      </c>
      <c r="D164" s="129">
        <f t="shared" si="43"/>
        <v>0</v>
      </c>
      <c r="E164" s="129">
        <f t="shared" si="43"/>
        <v>0</v>
      </c>
      <c r="F164" s="129">
        <f t="shared" si="43"/>
        <v>0</v>
      </c>
      <c r="G164" s="129">
        <f t="shared" si="43"/>
        <v>0</v>
      </c>
      <c r="H164" s="129">
        <f t="shared" si="43"/>
        <v>0</v>
      </c>
      <c r="I164" s="129">
        <f t="shared" si="43"/>
        <v>0</v>
      </c>
      <c r="J164" s="129">
        <f t="shared" si="43"/>
        <v>0</v>
      </c>
      <c r="K164" s="129">
        <f t="shared" si="43"/>
        <v>0</v>
      </c>
      <c r="L164" s="129">
        <f t="shared" si="43"/>
        <v>0</v>
      </c>
      <c r="M164" s="129">
        <f t="shared" si="43"/>
        <v>0</v>
      </c>
      <c r="N164" s="129">
        <f t="shared" si="43"/>
        <v>0</v>
      </c>
      <c r="O164" s="129">
        <f t="shared" si="43"/>
        <v>0</v>
      </c>
      <c r="P164" s="129">
        <f t="shared" si="43"/>
        <v>0</v>
      </c>
      <c r="Q164" s="129">
        <f t="shared" si="43"/>
        <v>0</v>
      </c>
      <c r="R164" s="129">
        <f t="shared" si="43"/>
        <v>0</v>
      </c>
      <c r="S164" s="129">
        <f t="shared" si="44"/>
        <v>0</v>
      </c>
      <c r="T164" s="129">
        <f t="shared" si="44"/>
        <v>0</v>
      </c>
      <c r="U164" s="129">
        <f t="shared" si="44"/>
        <v>0</v>
      </c>
      <c r="V164" s="129">
        <f t="shared" si="44"/>
        <v>0</v>
      </c>
      <c r="W164" s="129">
        <f t="shared" si="44"/>
        <v>0</v>
      </c>
      <c r="X164" s="129">
        <f t="shared" si="44"/>
        <v>0</v>
      </c>
      <c r="Y164" s="129">
        <f t="shared" si="44"/>
        <v>0</v>
      </c>
      <c r="Z164" s="129">
        <f t="shared" si="44"/>
        <v>0</v>
      </c>
      <c r="AA164" s="129">
        <f t="shared" si="44"/>
        <v>0</v>
      </c>
      <c r="AB164" s="129">
        <f t="shared" si="44"/>
        <v>0</v>
      </c>
      <c r="AC164" s="129">
        <f t="shared" si="44"/>
        <v>0</v>
      </c>
      <c r="AD164" s="129">
        <f t="shared" si="44"/>
        <v>0</v>
      </c>
      <c r="AE164" s="129">
        <f t="shared" si="44"/>
        <v>0</v>
      </c>
      <c r="AF164" s="129">
        <f t="shared" si="44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2"/>
        <v>0.8</v>
      </c>
      <c r="C165" s="130">
        <v>0.8</v>
      </c>
      <c r="D165" s="129">
        <f t="shared" si="43"/>
        <v>0.8</v>
      </c>
      <c r="E165" s="129">
        <f t="shared" si="43"/>
        <v>0.8</v>
      </c>
      <c r="F165" s="129">
        <f t="shared" si="43"/>
        <v>0.8</v>
      </c>
      <c r="G165" s="129">
        <f t="shared" si="43"/>
        <v>0.8</v>
      </c>
      <c r="H165" s="129">
        <f t="shared" si="43"/>
        <v>0.8</v>
      </c>
      <c r="I165" s="129">
        <f t="shared" si="43"/>
        <v>0.8</v>
      </c>
      <c r="J165" s="129">
        <f t="shared" si="43"/>
        <v>0.8</v>
      </c>
      <c r="K165" s="129">
        <f t="shared" si="43"/>
        <v>0.8</v>
      </c>
      <c r="L165" s="129">
        <f t="shared" si="43"/>
        <v>0.8</v>
      </c>
      <c r="M165" s="129">
        <f t="shared" si="43"/>
        <v>0.8</v>
      </c>
      <c r="N165" s="129">
        <f t="shared" si="43"/>
        <v>0.8</v>
      </c>
      <c r="O165" s="129">
        <f t="shared" si="43"/>
        <v>0.8</v>
      </c>
      <c r="P165" s="129">
        <f t="shared" si="43"/>
        <v>0.8</v>
      </c>
      <c r="Q165" s="129">
        <f t="shared" si="43"/>
        <v>0.8</v>
      </c>
      <c r="R165" s="129">
        <f t="shared" si="43"/>
        <v>0.8</v>
      </c>
      <c r="S165" s="129">
        <f t="shared" si="44"/>
        <v>0.8</v>
      </c>
      <c r="T165" s="129">
        <f t="shared" si="44"/>
        <v>0.8</v>
      </c>
      <c r="U165" s="129">
        <f t="shared" si="44"/>
        <v>0.8</v>
      </c>
      <c r="V165" s="129">
        <f t="shared" si="44"/>
        <v>0.8</v>
      </c>
      <c r="W165" s="129">
        <f t="shared" si="44"/>
        <v>0.8</v>
      </c>
      <c r="X165" s="129">
        <f t="shared" si="44"/>
        <v>0.8</v>
      </c>
      <c r="Y165" s="129">
        <f t="shared" si="44"/>
        <v>0.8</v>
      </c>
      <c r="Z165" s="129">
        <f t="shared" si="44"/>
        <v>0.8</v>
      </c>
      <c r="AA165" s="129">
        <f t="shared" si="44"/>
        <v>0.8</v>
      </c>
      <c r="AB165" s="129">
        <f t="shared" si="44"/>
        <v>0.8</v>
      </c>
      <c r="AC165" s="129">
        <f t="shared" si="44"/>
        <v>0.8</v>
      </c>
      <c r="AD165" s="129">
        <f t="shared" si="44"/>
        <v>0.8</v>
      </c>
      <c r="AE165" s="129">
        <f t="shared" si="44"/>
        <v>0.8</v>
      </c>
      <c r="AF165" s="129">
        <f t="shared" si="44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2"/>
        <v>1.5</v>
      </c>
      <c r="C166" s="130">
        <v>1.5</v>
      </c>
      <c r="D166" s="129">
        <f t="shared" si="43"/>
        <v>1.5</v>
      </c>
      <c r="E166" s="129">
        <f t="shared" si="43"/>
        <v>1.5</v>
      </c>
      <c r="F166" s="129">
        <f t="shared" si="43"/>
        <v>1.5</v>
      </c>
      <c r="G166" s="129">
        <f t="shared" si="43"/>
        <v>1.5</v>
      </c>
      <c r="H166" s="129">
        <f t="shared" si="43"/>
        <v>1.5</v>
      </c>
      <c r="I166" s="129">
        <f t="shared" si="43"/>
        <v>1.5</v>
      </c>
      <c r="J166" s="129">
        <f t="shared" si="43"/>
        <v>1.5</v>
      </c>
      <c r="K166" s="129">
        <f t="shared" si="43"/>
        <v>1.5</v>
      </c>
      <c r="L166" s="129">
        <f t="shared" si="43"/>
        <v>1.5</v>
      </c>
      <c r="M166" s="129">
        <f t="shared" si="43"/>
        <v>1.5</v>
      </c>
      <c r="N166" s="129">
        <f t="shared" si="43"/>
        <v>1.5</v>
      </c>
      <c r="O166" s="129">
        <f t="shared" si="43"/>
        <v>1.5</v>
      </c>
      <c r="P166" s="129">
        <f t="shared" si="43"/>
        <v>1.5</v>
      </c>
      <c r="Q166" s="129">
        <f t="shared" si="43"/>
        <v>1.5</v>
      </c>
      <c r="R166" s="129">
        <f t="shared" si="43"/>
        <v>1.5</v>
      </c>
      <c r="S166" s="129">
        <f t="shared" si="44"/>
        <v>1.5</v>
      </c>
      <c r="T166" s="129">
        <f t="shared" si="44"/>
        <v>1.5</v>
      </c>
      <c r="U166" s="129">
        <f t="shared" si="44"/>
        <v>1.5</v>
      </c>
      <c r="V166" s="129">
        <f t="shared" si="44"/>
        <v>1.5</v>
      </c>
      <c r="W166" s="129">
        <f t="shared" si="44"/>
        <v>1.5</v>
      </c>
      <c r="X166" s="129">
        <f t="shared" si="44"/>
        <v>1.5</v>
      </c>
      <c r="Y166" s="129">
        <f t="shared" si="44"/>
        <v>1.5</v>
      </c>
      <c r="Z166" s="129">
        <f t="shared" si="44"/>
        <v>1.5</v>
      </c>
      <c r="AA166" s="129">
        <f t="shared" si="44"/>
        <v>1.5</v>
      </c>
      <c r="AB166" s="129">
        <f t="shared" si="44"/>
        <v>1.5</v>
      </c>
      <c r="AC166" s="129">
        <f t="shared" si="44"/>
        <v>1.5</v>
      </c>
      <c r="AD166" s="129">
        <f t="shared" si="44"/>
        <v>1.5</v>
      </c>
      <c r="AE166" s="129">
        <f t="shared" si="44"/>
        <v>1.5</v>
      </c>
      <c r="AF166" s="129">
        <f t="shared" si="44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2"/>
        <v>1</v>
      </c>
      <c r="C167" s="130">
        <v>1</v>
      </c>
      <c r="D167" s="129">
        <f t="shared" si="43"/>
        <v>1</v>
      </c>
      <c r="E167" s="129">
        <f t="shared" si="43"/>
        <v>1</v>
      </c>
      <c r="F167" s="129">
        <f t="shared" si="43"/>
        <v>1</v>
      </c>
      <c r="G167" s="129">
        <f t="shared" si="43"/>
        <v>1</v>
      </c>
      <c r="H167" s="129">
        <f t="shared" si="43"/>
        <v>1</v>
      </c>
      <c r="I167" s="129">
        <f t="shared" si="43"/>
        <v>1</v>
      </c>
      <c r="J167" s="129">
        <f t="shared" si="43"/>
        <v>1</v>
      </c>
      <c r="K167" s="129">
        <f t="shared" si="43"/>
        <v>1</v>
      </c>
      <c r="L167" s="129">
        <f t="shared" si="43"/>
        <v>1</v>
      </c>
      <c r="M167" s="129">
        <f t="shared" si="43"/>
        <v>1</v>
      </c>
      <c r="N167" s="129">
        <f t="shared" si="43"/>
        <v>1</v>
      </c>
      <c r="O167" s="129">
        <f t="shared" si="43"/>
        <v>1</v>
      </c>
      <c r="P167" s="129">
        <f t="shared" si="43"/>
        <v>1</v>
      </c>
      <c r="Q167" s="129">
        <f t="shared" si="43"/>
        <v>1</v>
      </c>
      <c r="R167" s="129">
        <f t="shared" si="43"/>
        <v>1</v>
      </c>
      <c r="S167" s="129">
        <f t="shared" si="44"/>
        <v>1</v>
      </c>
      <c r="T167" s="129">
        <f t="shared" si="44"/>
        <v>1</v>
      </c>
      <c r="U167" s="129">
        <f t="shared" si="44"/>
        <v>1</v>
      </c>
      <c r="V167" s="129">
        <f t="shared" si="44"/>
        <v>1</v>
      </c>
      <c r="W167" s="129">
        <f t="shared" si="44"/>
        <v>1</v>
      </c>
      <c r="X167" s="129">
        <f t="shared" si="44"/>
        <v>1</v>
      </c>
      <c r="Y167" s="129">
        <f t="shared" si="44"/>
        <v>1</v>
      </c>
      <c r="Z167" s="129">
        <f t="shared" si="44"/>
        <v>1</v>
      </c>
      <c r="AA167" s="129">
        <f t="shared" si="44"/>
        <v>1</v>
      </c>
      <c r="AB167" s="129">
        <f t="shared" si="44"/>
        <v>1</v>
      </c>
      <c r="AC167" s="129">
        <f t="shared" si="44"/>
        <v>1</v>
      </c>
      <c r="AD167" s="129">
        <f t="shared" si="44"/>
        <v>1</v>
      </c>
      <c r="AE167" s="129">
        <f t="shared" si="44"/>
        <v>1</v>
      </c>
      <c r="AF167" s="129">
        <f t="shared" si="44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5">AF169</f>
        <v>1</v>
      </c>
      <c r="C169" s="130">
        <v>1</v>
      </c>
      <c r="D169" s="129">
        <f t="shared" ref="D169:S176" si="46">C169</f>
        <v>1</v>
      </c>
      <c r="E169" s="129">
        <f t="shared" si="46"/>
        <v>1</v>
      </c>
      <c r="F169" s="129">
        <f t="shared" si="46"/>
        <v>1</v>
      </c>
      <c r="G169" s="129">
        <f t="shared" si="46"/>
        <v>1</v>
      </c>
      <c r="H169" s="129">
        <f t="shared" si="46"/>
        <v>1</v>
      </c>
      <c r="I169" s="129">
        <f t="shared" si="46"/>
        <v>1</v>
      </c>
      <c r="J169" s="129">
        <f t="shared" si="46"/>
        <v>1</v>
      </c>
      <c r="K169" s="129">
        <f t="shared" si="46"/>
        <v>1</v>
      </c>
      <c r="L169" s="129">
        <f t="shared" si="46"/>
        <v>1</v>
      </c>
      <c r="M169" s="129">
        <f t="shared" si="46"/>
        <v>1</v>
      </c>
      <c r="N169" s="129">
        <f t="shared" si="46"/>
        <v>1</v>
      </c>
      <c r="O169" s="129">
        <f t="shared" si="46"/>
        <v>1</v>
      </c>
      <c r="P169" s="129">
        <f t="shared" si="46"/>
        <v>1</v>
      </c>
      <c r="Q169" s="129">
        <f t="shared" si="46"/>
        <v>1</v>
      </c>
      <c r="R169" s="129">
        <f t="shared" si="46"/>
        <v>1</v>
      </c>
      <c r="S169" s="129">
        <f t="shared" si="46"/>
        <v>1</v>
      </c>
      <c r="T169" s="129">
        <f t="shared" ref="S169:AF176" si="47">S169</f>
        <v>1</v>
      </c>
      <c r="U169" s="129">
        <f t="shared" si="47"/>
        <v>1</v>
      </c>
      <c r="V169" s="129">
        <f t="shared" si="47"/>
        <v>1</v>
      </c>
      <c r="W169" s="129">
        <f t="shared" si="47"/>
        <v>1</v>
      </c>
      <c r="X169" s="129">
        <f t="shared" si="47"/>
        <v>1</v>
      </c>
      <c r="Y169" s="129">
        <f t="shared" si="47"/>
        <v>1</v>
      </c>
      <c r="Z169" s="129">
        <f t="shared" si="47"/>
        <v>1</v>
      </c>
      <c r="AA169" s="129">
        <f t="shared" si="47"/>
        <v>1</v>
      </c>
      <c r="AB169" s="129">
        <f t="shared" si="47"/>
        <v>1</v>
      </c>
      <c r="AC169" s="129">
        <f t="shared" si="47"/>
        <v>1</v>
      </c>
      <c r="AD169" s="129">
        <f t="shared" si="47"/>
        <v>1</v>
      </c>
      <c r="AE169" s="129">
        <f t="shared" si="47"/>
        <v>1</v>
      </c>
      <c r="AF169" s="129">
        <f t="shared" si="47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5"/>
        <v>0.42</v>
      </c>
      <c r="C170" s="130">
        <v>0.42</v>
      </c>
      <c r="D170" s="129">
        <f t="shared" si="46"/>
        <v>0.42</v>
      </c>
      <c r="E170" s="129">
        <f t="shared" si="46"/>
        <v>0.42</v>
      </c>
      <c r="F170" s="129">
        <f t="shared" si="46"/>
        <v>0.42</v>
      </c>
      <c r="G170" s="129">
        <f t="shared" si="46"/>
        <v>0.42</v>
      </c>
      <c r="H170" s="129">
        <f t="shared" si="46"/>
        <v>0.42</v>
      </c>
      <c r="I170" s="129">
        <f t="shared" si="46"/>
        <v>0.42</v>
      </c>
      <c r="J170" s="129">
        <f t="shared" si="46"/>
        <v>0.42</v>
      </c>
      <c r="K170" s="129">
        <f t="shared" si="46"/>
        <v>0.42</v>
      </c>
      <c r="L170" s="129">
        <f t="shared" si="46"/>
        <v>0.42</v>
      </c>
      <c r="M170" s="129">
        <f t="shared" si="46"/>
        <v>0.42</v>
      </c>
      <c r="N170" s="129">
        <f t="shared" si="46"/>
        <v>0.42</v>
      </c>
      <c r="O170" s="129">
        <f t="shared" si="46"/>
        <v>0.42</v>
      </c>
      <c r="P170" s="129">
        <f t="shared" si="46"/>
        <v>0.42</v>
      </c>
      <c r="Q170" s="129">
        <f t="shared" si="46"/>
        <v>0.42</v>
      </c>
      <c r="R170" s="129">
        <f t="shared" si="46"/>
        <v>0.42</v>
      </c>
      <c r="S170" s="129">
        <f t="shared" si="47"/>
        <v>0.42</v>
      </c>
      <c r="T170" s="129">
        <f t="shared" si="47"/>
        <v>0.42</v>
      </c>
      <c r="U170" s="129">
        <f t="shared" si="47"/>
        <v>0.42</v>
      </c>
      <c r="V170" s="129">
        <f t="shared" si="47"/>
        <v>0.42</v>
      </c>
      <c r="W170" s="129">
        <f t="shared" si="47"/>
        <v>0.42</v>
      </c>
      <c r="X170" s="129">
        <f t="shared" si="47"/>
        <v>0.42</v>
      </c>
      <c r="Y170" s="129">
        <f t="shared" si="47"/>
        <v>0.42</v>
      </c>
      <c r="Z170" s="129">
        <f t="shared" si="47"/>
        <v>0.42</v>
      </c>
      <c r="AA170" s="129">
        <f t="shared" si="47"/>
        <v>0.42</v>
      </c>
      <c r="AB170" s="129">
        <f t="shared" si="47"/>
        <v>0.42</v>
      </c>
      <c r="AC170" s="129">
        <f t="shared" si="47"/>
        <v>0.42</v>
      </c>
      <c r="AD170" s="129">
        <f t="shared" si="47"/>
        <v>0.42</v>
      </c>
      <c r="AE170" s="129">
        <f t="shared" si="47"/>
        <v>0.42</v>
      </c>
      <c r="AF170" s="129">
        <f t="shared" si="47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5"/>
        <v>0.46</v>
      </c>
      <c r="C171" s="130">
        <v>0.46</v>
      </c>
      <c r="D171" s="129">
        <f t="shared" si="46"/>
        <v>0.46</v>
      </c>
      <c r="E171" s="129">
        <f t="shared" si="46"/>
        <v>0.46</v>
      </c>
      <c r="F171" s="129">
        <f t="shared" si="46"/>
        <v>0.46</v>
      </c>
      <c r="G171" s="129">
        <f t="shared" si="46"/>
        <v>0.46</v>
      </c>
      <c r="H171" s="129">
        <f t="shared" si="46"/>
        <v>0.46</v>
      </c>
      <c r="I171" s="129">
        <f t="shared" si="46"/>
        <v>0.46</v>
      </c>
      <c r="J171" s="129">
        <f t="shared" si="46"/>
        <v>0.46</v>
      </c>
      <c r="K171" s="129">
        <f t="shared" si="46"/>
        <v>0.46</v>
      </c>
      <c r="L171" s="129">
        <f t="shared" si="46"/>
        <v>0.46</v>
      </c>
      <c r="M171" s="129">
        <f t="shared" si="46"/>
        <v>0.46</v>
      </c>
      <c r="N171" s="129">
        <f t="shared" si="46"/>
        <v>0.46</v>
      </c>
      <c r="O171" s="129">
        <f t="shared" si="46"/>
        <v>0.46</v>
      </c>
      <c r="P171" s="129">
        <f t="shared" si="46"/>
        <v>0.46</v>
      </c>
      <c r="Q171" s="129">
        <f t="shared" si="46"/>
        <v>0.46</v>
      </c>
      <c r="R171" s="129">
        <f t="shared" si="46"/>
        <v>0.46</v>
      </c>
      <c r="S171" s="129">
        <f t="shared" si="47"/>
        <v>0.46</v>
      </c>
      <c r="T171" s="129">
        <f t="shared" si="47"/>
        <v>0.46</v>
      </c>
      <c r="U171" s="129">
        <f t="shared" si="47"/>
        <v>0.46</v>
      </c>
      <c r="V171" s="129">
        <f t="shared" si="47"/>
        <v>0.46</v>
      </c>
      <c r="W171" s="129">
        <f t="shared" si="47"/>
        <v>0.46</v>
      </c>
      <c r="X171" s="129">
        <f t="shared" si="47"/>
        <v>0.46</v>
      </c>
      <c r="Y171" s="129">
        <f t="shared" si="47"/>
        <v>0.46</v>
      </c>
      <c r="Z171" s="129">
        <f t="shared" si="47"/>
        <v>0.46</v>
      </c>
      <c r="AA171" s="129">
        <f t="shared" si="47"/>
        <v>0.46</v>
      </c>
      <c r="AB171" s="129">
        <f t="shared" si="47"/>
        <v>0.46</v>
      </c>
      <c r="AC171" s="129">
        <f t="shared" si="47"/>
        <v>0.46</v>
      </c>
      <c r="AD171" s="129">
        <f t="shared" si="47"/>
        <v>0.46</v>
      </c>
      <c r="AE171" s="129">
        <f t="shared" si="47"/>
        <v>0.46</v>
      </c>
      <c r="AF171" s="129">
        <f t="shared" si="47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5"/>
        <v>0.85</v>
      </c>
      <c r="C172" s="130">
        <v>0.85</v>
      </c>
      <c r="D172" s="129">
        <f t="shared" si="46"/>
        <v>0.85</v>
      </c>
      <c r="E172" s="129">
        <f t="shared" si="46"/>
        <v>0.85</v>
      </c>
      <c r="F172" s="129">
        <f t="shared" si="46"/>
        <v>0.85</v>
      </c>
      <c r="G172" s="129">
        <f t="shared" si="46"/>
        <v>0.85</v>
      </c>
      <c r="H172" s="129">
        <f t="shared" si="46"/>
        <v>0.85</v>
      </c>
      <c r="I172" s="129">
        <f t="shared" si="46"/>
        <v>0.85</v>
      </c>
      <c r="J172" s="129">
        <f t="shared" si="46"/>
        <v>0.85</v>
      </c>
      <c r="K172" s="129">
        <f t="shared" si="46"/>
        <v>0.85</v>
      </c>
      <c r="L172" s="129">
        <f t="shared" si="46"/>
        <v>0.85</v>
      </c>
      <c r="M172" s="129">
        <f t="shared" si="46"/>
        <v>0.85</v>
      </c>
      <c r="N172" s="129">
        <f t="shared" si="46"/>
        <v>0.85</v>
      </c>
      <c r="O172" s="129">
        <f t="shared" si="46"/>
        <v>0.85</v>
      </c>
      <c r="P172" s="129">
        <f t="shared" si="46"/>
        <v>0.85</v>
      </c>
      <c r="Q172" s="129">
        <f t="shared" si="46"/>
        <v>0.85</v>
      </c>
      <c r="R172" s="129">
        <f t="shared" si="46"/>
        <v>0.85</v>
      </c>
      <c r="S172" s="129">
        <f t="shared" si="47"/>
        <v>0.85</v>
      </c>
      <c r="T172" s="129">
        <f t="shared" si="47"/>
        <v>0.85</v>
      </c>
      <c r="U172" s="129">
        <f t="shared" si="47"/>
        <v>0.85</v>
      </c>
      <c r="V172" s="129">
        <f t="shared" si="47"/>
        <v>0.85</v>
      </c>
      <c r="W172" s="129">
        <f t="shared" si="47"/>
        <v>0.85</v>
      </c>
      <c r="X172" s="129">
        <f t="shared" si="47"/>
        <v>0.85</v>
      </c>
      <c r="Y172" s="129">
        <f t="shared" si="47"/>
        <v>0.85</v>
      </c>
      <c r="Z172" s="129">
        <f t="shared" si="47"/>
        <v>0.85</v>
      </c>
      <c r="AA172" s="129">
        <f t="shared" si="47"/>
        <v>0.85</v>
      </c>
      <c r="AB172" s="129">
        <f t="shared" si="47"/>
        <v>0.85</v>
      </c>
      <c r="AC172" s="129">
        <f t="shared" si="47"/>
        <v>0.85</v>
      </c>
      <c r="AD172" s="129">
        <f t="shared" si="47"/>
        <v>0.85</v>
      </c>
      <c r="AE172" s="129">
        <f t="shared" si="47"/>
        <v>0.85</v>
      </c>
      <c r="AF172" s="129">
        <f t="shared" si="47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5"/>
        <v>0.9</v>
      </c>
      <c r="C173" s="130">
        <v>0.9</v>
      </c>
      <c r="D173" s="129">
        <f t="shared" si="46"/>
        <v>0.9</v>
      </c>
      <c r="E173" s="129">
        <f t="shared" si="46"/>
        <v>0.9</v>
      </c>
      <c r="F173" s="129">
        <f t="shared" si="46"/>
        <v>0.9</v>
      </c>
      <c r="G173" s="129">
        <f t="shared" si="46"/>
        <v>0.9</v>
      </c>
      <c r="H173" s="129">
        <f t="shared" si="46"/>
        <v>0.9</v>
      </c>
      <c r="I173" s="129">
        <f t="shared" si="46"/>
        <v>0.9</v>
      </c>
      <c r="J173" s="129">
        <f t="shared" si="46"/>
        <v>0.9</v>
      </c>
      <c r="K173" s="129">
        <f t="shared" si="46"/>
        <v>0.9</v>
      </c>
      <c r="L173" s="129">
        <f t="shared" si="46"/>
        <v>0.9</v>
      </c>
      <c r="M173" s="129">
        <f t="shared" si="46"/>
        <v>0.9</v>
      </c>
      <c r="N173" s="129">
        <f t="shared" si="46"/>
        <v>0.9</v>
      </c>
      <c r="O173" s="129">
        <f t="shared" si="46"/>
        <v>0.9</v>
      </c>
      <c r="P173" s="129">
        <f t="shared" si="46"/>
        <v>0.9</v>
      </c>
      <c r="Q173" s="129">
        <f t="shared" si="46"/>
        <v>0.9</v>
      </c>
      <c r="R173" s="129">
        <f t="shared" si="46"/>
        <v>0.9</v>
      </c>
      <c r="S173" s="129">
        <f t="shared" si="47"/>
        <v>0.9</v>
      </c>
      <c r="T173" s="129">
        <f t="shared" si="47"/>
        <v>0.9</v>
      </c>
      <c r="U173" s="129">
        <f t="shared" si="47"/>
        <v>0.9</v>
      </c>
      <c r="V173" s="129">
        <f t="shared" si="47"/>
        <v>0.9</v>
      </c>
      <c r="W173" s="129">
        <f t="shared" si="47"/>
        <v>0.9</v>
      </c>
      <c r="X173" s="129">
        <f t="shared" si="47"/>
        <v>0.9</v>
      </c>
      <c r="Y173" s="129">
        <f t="shared" si="47"/>
        <v>0.9</v>
      </c>
      <c r="Z173" s="129">
        <f t="shared" si="47"/>
        <v>0.9</v>
      </c>
      <c r="AA173" s="129">
        <f t="shared" si="47"/>
        <v>0.9</v>
      </c>
      <c r="AB173" s="129">
        <f t="shared" si="47"/>
        <v>0.9</v>
      </c>
      <c r="AC173" s="129">
        <f t="shared" si="47"/>
        <v>0.9</v>
      </c>
      <c r="AD173" s="129">
        <f t="shared" si="47"/>
        <v>0.9</v>
      </c>
      <c r="AE173" s="129">
        <f t="shared" si="47"/>
        <v>0.9</v>
      </c>
      <c r="AF173" s="129">
        <f t="shared" si="47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5"/>
        <v>0.44</v>
      </c>
      <c r="C174" s="130">
        <v>0.44</v>
      </c>
      <c r="D174" s="129">
        <f t="shared" si="46"/>
        <v>0.44</v>
      </c>
      <c r="E174" s="129">
        <f t="shared" si="46"/>
        <v>0.44</v>
      </c>
      <c r="F174" s="129">
        <f t="shared" si="46"/>
        <v>0.44</v>
      </c>
      <c r="G174" s="129">
        <f t="shared" si="46"/>
        <v>0.44</v>
      </c>
      <c r="H174" s="129">
        <f t="shared" si="46"/>
        <v>0.44</v>
      </c>
      <c r="I174" s="129">
        <f t="shared" si="46"/>
        <v>0.44</v>
      </c>
      <c r="J174" s="129">
        <f t="shared" si="46"/>
        <v>0.44</v>
      </c>
      <c r="K174" s="129">
        <f t="shared" si="46"/>
        <v>0.44</v>
      </c>
      <c r="L174" s="129">
        <f t="shared" si="46"/>
        <v>0.44</v>
      </c>
      <c r="M174" s="129">
        <f t="shared" si="46"/>
        <v>0.44</v>
      </c>
      <c r="N174" s="129">
        <f t="shared" si="46"/>
        <v>0.44</v>
      </c>
      <c r="O174" s="129">
        <f t="shared" si="46"/>
        <v>0.44</v>
      </c>
      <c r="P174" s="129">
        <f t="shared" si="46"/>
        <v>0.44</v>
      </c>
      <c r="Q174" s="129">
        <f t="shared" si="46"/>
        <v>0.44</v>
      </c>
      <c r="R174" s="129">
        <f t="shared" si="46"/>
        <v>0.44</v>
      </c>
      <c r="S174" s="129">
        <f t="shared" si="47"/>
        <v>0.44</v>
      </c>
      <c r="T174" s="129">
        <f t="shared" si="47"/>
        <v>0.44</v>
      </c>
      <c r="U174" s="129">
        <f t="shared" si="47"/>
        <v>0.44</v>
      </c>
      <c r="V174" s="129">
        <f t="shared" si="47"/>
        <v>0.44</v>
      </c>
      <c r="W174" s="129">
        <f t="shared" si="47"/>
        <v>0.44</v>
      </c>
      <c r="X174" s="129">
        <f t="shared" si="47"/>
        <v>0.44</v>
      </c>
      <c r="Y174" s="129">
        <f t="shared" si="47"/>
        <v>0.44</v>
      </c>
      <c r="Z174" s="129">
        <f t="shared" si="47"/>
        <v>0.44</v>
      </c>
      <c r="AA174" s="129">
        <f t="shared" si="47"/>
        <v>0.44</v>
      </c>
      <c r="AB174" s="129">
        <f t="shared" si="47"/>
        <v>0.44</v>
      </c>
      <c r="AC174" s="129">
        <f t="shared" si="47"/>
        <v>0.44</v>
      </c>
      <c r="AD174" s="129">
        <f t="shared" si="47"/>
        <v>0.44</v>
      </c>
      <c r="AE174" s="129">
        <f t="shared" si="47"/>
        <v>0.44</v>
      </c>
      <c r="AF174" s="129">
        <f t="shared" si="47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5"/>
        <v>2.1</v>
      </c>
      <c r="C175" s="130">
        <v>2.1</v>
      </c>
      <c r="D175" s="129">
        <f t="shared" si="46"/>
        <v>2.1</v>
      </c>
      <c r="E175" s="129">
        <f t="shared" si="46"/>
        <v>2.1</v>
      </c>
      <c r="F175" s="129">
        <f t="shared" si="46"/>
        <v>2.1</v>
      </c>
      <c r="G175" s="129">
        <f t="shared" si="46"/>
        <v>2.1</v>
      </c>
      <c r="H175" s="129">
        <f t="shared" si="46"/>
        <v>2.1</v>
      </c>
      <c r="I175" s="129">
        <f t="shared" si="46"/>
        <v>2.1</v>
      </c>
      <c r="J175" s="129">
        <f t="shared" si="46"/>
        <v>2.1</v>
      </c>
      <c r="K175" s="129">
        <f t="shared" si="46"/>
        <v>2.1</v>
      </c>
      <c r="L175" s="129">
        <f t="shared" si="46"/>
        <v>2.1</v>
      </c>
      <c r="M175" s="129">
        <f t="shared" si="46"/>
        <v>2.1</v>
      </c>
      <c r="N175" s="129">
        <f t="shared" si="46"/>
        <v>2.1</v>
      </c>
      <c r="O175" s="129">
        <f t="shared" si="46"/>
        <v>2.1</v>
      </c>
      <c r="P175" s="129">
        <f t="shared" si="46"/>
        <v>2.1</v>
      </c>
      <c r="Q175" s="129">
        <f t="shared" si="46"/>
        <v>2.1</v>
      </c>
      <c r="R175" s="129">
        <f t="shared" si="46"/>
        <v>2.1</v>
      </c>
      <c r="S175" s="129">
        <f t="shared" si="47"/>
        <v>2.1</v>
      </c>
      <c r="T175" s="129">
        <f t="shared" si="47"/>
        <v>2.1</v>
      </c>
      <c r="U175" s="129">
        <f t="shared" si="47"/>
        <v>2.1</v>
      </c>
      <c r="V175" s="129">
        <f t="shared" si="47"/>
        <v>2.1</v>
      </c>
      <c r="W175" s="129">
        <f t="shared" si="47"/>
        <v>2.1</v>
      </c>
      <c r="X175" s="129">
        <f t="shared" si="47"/>
        <v>2.1</v>
      </c>
      <c r="Y175" s="129">
        <f t="shared" si="47"/>
        <v>2.1</v>
      </c>
      <c r="Z175" s="129">
        <f t="shared" si="47"/>
        <v>2.1</v>
      </c>
      <c r="AA175" s="129">
        <f t="shared" si="47"/>
        <v>2.1</v>
      </c>
      <c r="AB175" s="129">
        <f t="shared" si="47"/>
        <v>2.1</v>
      </c>
      <c r="AC175" s="129">
        <f t="shared" si="47"/>
        <v>2.1</v>
      </c>
      <c r="AD175" s="129">
        <f t="shared" si="47"/>
        <v>2.1</v>
      </c>
      <c r="AE175" s="129">
        <f t="shared" si="47"/>
        <v>2.1</v>
      </c>
      <c r="AF175" s="129">
        <f t="shared" si="47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5"/>
        <v>0.9</v>
      </c>
      <c r="C176" s="130">
        <v>0.9</v>
      </c>
      <c r="D176" s="129">
        <f t="shared" si="46"/>
        <v>0.9</v>
      </c>
      <c r="E176" s="129">
        <f t="shared" si="46"/>
        <v>0.9</v>
      </c>
      <c r="F176" s="129">
        <f t="shared" si="46"/>
        <v>0.9</v>
      </c>
      <c r="G176" s="129">
        <f t="shared" si="46"/>
        <v>0.9</v>
      </c>
      <c r="H176" s="129">
        <f t="shared" si="46"/>
        <v>0.9</v>
      </c>
      <c r="I176" s="129">
        <f t="shared" si="46"/>
        <v>0.9</v>
      </c>
      <c r="J176" s="129">
        <f t="shared" si="46"/>
        <v>0.9</v>
      </c>
      <c r="K176" s="129">
        <f t="shared" si="46"/>
        <v>0.9</v>
      </c>
      <c r="L176" s="129">
        <f t="shared" si="46"/>
        <v>0.9</v>
      </c>
      <c r="M176" s="129">
        <f t="shared" si="46"/>
        <v>0.9</v>
      </c>
      <c r="N176" s="129">
        <f t="shared" si="46"/>
        <v>0.9</v>
      </c>
      <c r="O176" s="129">
        <f t="shared" si="46"/>
        <v>0.9</v>
      </c>
      <c r="P176" s="129">
        <f t="shared" si="46"/>
        <v>0.9</v>
      </c>
      <c r="Q176" s="129">
        <f t="shared" si="46"/>
        <v>0.9</v>
      </c>
      <c r="R176" s="129">
        <f t="shared" si="46"/>
        <v>0.9</v>
      </c>
      <c r="S176" s="129">
        <f t="shared" si="47"/>
        <v>0.9</v>
      </c>
      <c r="T176" s="129">
        <f t="shared" si="47"/>
        <v>0.9</v>
      </c>
      <c r="U176" s="129">
        <f t="shared" si="47"/>
        <v>0.9</v>
      </c>
      <c r="V176" s="129">
        <f t="shared" si="47"/>
        <v>0.9</v>
      </c>
      <c r="W176" s="129">
        <f t="shared" si="47"/>
        <v>0.9</v>
      </c>
      <c r="X176" s="129">
        <f t="shared" si="47"/>
        <v>0.9</v>
      </c>
      <c r="Y176" s="129">
        <f t="shared" si="47"/>
        <v>0.9</v>
      </c>
      <c r="Z176" s="129">
        <f t="shared" si="47"/>
        <v>0.9</v>
      </c>
      <c r="AA176" s="129">
        <f t="shared" si="47"/>
        <v>0.9</v>
      </c>
      <c r="AB176" s="129">
        <f t="shared" si="47"/>
        <v>0.9</v>
      </c>
      <c r="AC176" s="129">
        <f t="shared" si="47"/>
        <v>0.9</v>
      </c>
      <c r="AD176" s="129">
        <f t="shared" si="47"/>
        <v>0.9</v>
      </c>
      <c r="AE176" s="129">
        <f t="shared" si="47"/>
        <v>0.9</v>
      </c>
      <c r="AF176" s="129">
        <f t="shared" si="47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48">AF178</f>
        <v>0.57999999999999996</v>
      </c>
      <c r="C178" s="130">
        <v>0.57999999999999996</v>
      </c>
      <c r="D178" s="129">
        <f t="shared" ref="D178:S190" si="49">C178</f>
        <v>0.57999999999999996</v>
      </c>
      <c r="E178" s="129">
        <f t="shared" si="49"/>
        <v>0.57999999999999996</v>
      </c>
      <c r="F178" s="129">
        <f t="shared" si="49"/>
        <v>0.57999999999999996</v>
      </c>
      <c r="G178" s="129">
        <f t="shared" si="49"/>
        <v>0.57999999999999996</v>
      </c>
      <c r="H178" s="129">
        <f t="shared" si="49"/>
        <v>0.57999999999999996</v>
      </c>
      <c r="I178" s="129">
        <f t="shared" si="49"/>
        <v>0.57999999999999996</v>
      </c>
      <c r="J178" s="129">
        <f t="shared" si="49"/>
        <v>0.57999999999999996</v>
      </c>
      <c r="K178" s="129">
        <f t="shared" si="49"/>
        <v>0.57999999999999996</v>
      </c>
      <c r="L178" s="129">
        <f t="shared" si="49"/>
        <v>0.57999999999999996</v>
      </c>
      <c r="M178" s="129">
        <f t="shared" si="49"/>
        <v>0.57999999999999996</v>
      </c>
      <c r="N178" s="129">
        <f t="shared" si="49"/>
        <v>0.57999999999999996</v>
      </c>
      <c r="O178" s="129">
        <f t="shared" si="49"/>
        <v>0.57999999999999996</v>
      </c>
      <c r="P178" s="129">
        <f t="shared" si="49"/>
        <v>0.57999999999999996</v>
      </c>
      <c r="Q178" s="129">
        <f t="shared" si="49"/>
        <v>0.57999999999999996</v>
      </c>
      <c r="R178" s="129">
        <f t="shared" si="49"/>
        <v>0.57999999999999996</v>
      </c>
      <c r="S178" s="129">
        <f t="shared" si="49"/>
        <v>0.57999999999999996</v>
      </c>
      <c r="T178" s="129">
        <f t="shared" ref="S178:AF190" si="50">S178</f>
        <v>0.57999999999999996</v>
      </c>
      <c r="U178" s="129">
        <f t="shared" si="50"/>
        <v>0.57999999999999996</v>
      </c>
      <c r="V178" s="129">
        <f t="shared" si="50"/>
        <v>0.57999999999999996</v>
      </c>
      <c r="W178" s="129">
        <f t="shared" si="50"/>
        <v>0.57999999999999996</v>
      </c>
      <c r="X178" s="129">
        <f t="shared" si="50"/>
        <v>0.57999999999999996</v>
      </c>
      <c r="Y178" s="129">
        <f t="shared" si="50"/>
        <v>0.57999999999999996</v>
      </c>
      <c r="Z178" s="129">
        <f t="shared" si="50"/>
        <v>0.57999999999999996</v>
      </c>
      <c r="AA178" s="129">
        <f t="shared" si="50"/>
        <v>0.57999999999999996</v>
      </c>
      <c r="AB178" s="129">
        <f t="shared" si="50"/>
        <v>0.57999999999999996</v>
      </c>
      <c r="AC178" s="129">
        <f t="shared" si="50"/>
        <v>0.57999999999999996</v>
      </c>
      <c r="AD178" s="129">
        <f t="shared" si="50"/>
        <v>0.57999999999999996</v>
      </c>
      <c r="AE178" s="129">
        <f t="shared" si="50"/>
        <v>0.57999999999999996</v>
      </c>
      <c r="AF178" s="129">
        <f t="shared" si="50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48"/>
        <v>0.8</v>
      </c>
      <c r="C179" s="130">
        <v>0.8</v>
      </c>
      <c r="D179" s="129">
        <f t="shared" si="49"/>
        <v>0.8</v>
      </c>
      <c r="E179" s="129">
        <f t="shared" si="49"/>
        <v>0.8</v>
      </c>
      <c r="F179" s="129">
        <f t="shared" si="49"/>
        <v>0.8</v>
      </c>
      <c r="G179" s="129">
        <f t="shared" si="49"/>
        <v>0.8</v>
      </c>
      <c r="H179" s="129">
        <f t="shared" si="49"/>
        <v>0.8</v>
      </c>
      <c r="I179" s="129">
        <f t="shared" si="49"/>
        <v>0.8</v>
      </c>
      <c r="J179" s="129">
        <f t="shared" si="49"/>
        <v>0.8</v>
      </c>
      <c r="K179" s="129">
        <f t="shared" si="49"/>
        <v>0.8</v>
      </c>
      <c r="L179" s="129">
        <f t="shared" si="49"/>
        <v>0.8</v>
      </c>
      <c r="M179" s="129">
        <f t="shared" si="49"/>
        <v>0.8</v>
      </c>
      <c r="N179" s="129">
        <f t="shared" si="49"/>
        <v>0.8</v>
      </c>
      <c r="O179" s="129">
        <f t="shared" si="49"/>
        <v>0.8</v>
      </c>
      <c r="P179" s="129">
        <f t="shared" si="49"/>
        <v>0.8</v>
      </c>
      <c r="Q179" s="129">
        <f t="shared" si="49"/>
        <v>0.8</v>
      </c>
      <c r="R179" s="129">
        <f t="shared" si="49"/>
        <v>0.8</v>
      </c>
      <c r="S179" s="129">
        <f t="shared" si="49"/>
        <v>0.8</v>
      </c>
      <c r="T179" s="129">
        <f t="shared" si="50"/>
        <v>0.8</v>
      </c>
      <c r="U179" s="129">
        <f t="shared" si="50"/>
        <v>0.8</v>
      </c>
      <c r="V179" s="129">
        <f t="shared" si="50"/>
        <v>0.8</v>
      </c>
      <c r="W179" s="129">
        <f t="shared" si="50"/>
        <v>0.8</v>
      </c>
      <c r="X179" s="129">
        <f t="shared" si="50"/>
        <v>0.8</v>
      </c>
      <c r="Y179" s="129">
        <f t="shared" si="50"/>
        <v>0.8</v>
      </c>
      <c r="Z179" s="129">
        <f t="shared" si="50"/>
        <v>0.8</v>
      </c>
      <c r="AA179" s="129">
        <f t="shared" si="50"/>
        <v>0.8</v>
      </c>
      <c r="AB179" s="129">
        <f t="shared" si="50"/>
        <v>0.8</v>
      </c>
      <c r="AC179" s="129">
        <f t="shared" si="50"/>
        <v>0.8</v>
      </c>
      <c r="AD179" s="129">
        <f t="shared" si="50"/>
        <v>0.8</v>
      </c>
      <c r="AE179" s="129">
        <f t="shared" si="50"/>
        <v>0.8</v>
      </c>
      <c r="AF179" s="129">
        <f t="shared" si="50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48"/>
        <v>0</v>
      </c>
      <c r="C180" s="130">
        <v>0</v>
      </c>
      <c r="D180" s="129">
        <f t="shared" si="49"/>
        <v>0</v>
      </c>
      <c r="E180" s="129">
        <f t="shared" si="49"/>
        <v>0</v>
      </c>
      <c r="F180" s="129">
        <f t="shared" si="49"/>
        <v>0</v>
      </c>
      <c r="G180" s="129">
        <f t="shared" si="49"/>
        <v>0</v>
      </c>
      <c r="H180" s="129">
        <f t="shared" si="49"/>
        <v>0</v>
      </c>
      <c r="I180" s="129">
        <f t="shared" si="49"/>
        <v>0</v>
      </c>
      <c r="J180" s="129">
        <f t="shared" si="49"/>
        <v>0</v>
      </c>
      <c r="K180" s="129">
        <f t="shared" si="49"/>
        <v>0</v>
      </c>
      <c r="L180" s="129">
        <f t="shared" si="49"/>
        <v>0</v>
      </c>
      <c r="M180" s="129">
        <f t="shared" si="49"/>
        <v>0</v>
      </c>
      <c r="N180" s="129">
        <f t="shared" si="49"/>
        <v>0</v>
      </c>
      <c r="O180" s="129">
        <f t="shared" si="49"/>
        <v>0</v>
      </c>
      <c r="P180" s="129">
        <f t="shared" si="49"/>
        <v>0</v>
      </c>
      <c r="Q180" s="129">
        <f t="shared" si="49"/>
        <v>0</v>
      </c>
      <c r="R180" s="129">
        <f t="shared" si="49"/>
        <v>0</v>
      </c>
      <c r="S180" s="129">
        <f t="shared" si="49"/>
        <v>0</v>
      </c>
      <c r="T180" s="129">
        <f t="shared" si="50"/>
        <v>0</v>
      </c>
      <c r="U180" s="129">
        <f t="shared" si="50"/>
        <v>0</v>
      </c>
      <c r="V180" s="129">
        <f t="shared" si="50"/>
        <v>0</v>
      </c>
      <c r="W180" s="129">
        <f t="shared" si="50"/>
        <v>0</v>
      </c>
      <c r="X180" s="129">
        <f t="shared" si="50"/>
        <v>0</v>
      </c>
      <c r="Y180" s="129">
        <f t="shared" si="50"/>
        <v>0</v>
      </c>
      <c r="Z180" s="129">
        <f t="shared" si="50"/>
        <v>0</v>
      </c>
      <c r="AA180" s="129">
        <f t="shared" si="50"/>
        <v>0</v>
      </c>
      <c r="AB180" s="129">
        <f t="shared" si="50"/>
        <v>0</v>
      </c>
      <c r="AC180" s="129">
        <f t="shared" si="50"/>
        <v>0</v>
      </c>
      <c r="AD180" s="129">
        <f t="shared" si="50"/>
        <v>0</v>
      </c>
      <c r="AE180" s="129">
        <f t="shared" si="50"/>
        <v>0</v>
      </c>
      <c r="AF180" s="129">
        <f t="shared" si="50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48"/>
        <v>0.6</v>
      </c>
      <c r="C181" s="130">
        <v>0.6</v>
      </c>
      <c r="D181" s="129">
        <f t="shared" si="49"/>
        <v>0.6</v>
      </c>
      <c r="E181" s="129">
        <f t="shared" si="49"/>
        <v>0.6</v>
      </c>
      <c r="F181" s="129">
        <f t="shared" si="49"/>
        <v>0.6</v>
      </c>
      <c r="G181" s="129">
        <f t="shared" si="49"/>
        <v>0.6</v>
      </c>
      <c r="H181" s="129">
        <f t="shared" si="49"/>
        <v>0.6</v>
      </c>
      <c r="I181" s="129">
        <f t="shared" si="49"/>
        <v>0.6</v>
      </c>
      <c r="J181" s="129">
        <f t="shared" si="49"/>
        <v>0.6</v>
      </c>
      <c r="K181" s="129">
        <f t="shared" si="49"/>
        <v>0.6</v>
      </c>
      <c r="L181" s="129">
        <f t="shared" si="49"/>
        <v>0.6</v>
      </c>
      <c r="M181" s="129">
        <f t="shared" si="49"/>
        <v>0.6</v>
      </c>
      <c r="N181" s="129">
        <f t="shared" si="49"/>
        <v>0.6</v>
      </c>
      <c r="O181" s="129">
        <f t="shared" si="49"/>
        <v>0.6</v>
      </c>
      <c r="P181" s="129">
        <f t="shared" si="49"/>
        <v>0.6</v>
      </c>
      <c r="Q181" s="129">
        <f t="shared" si="49"/>
        <v>0.6</v>
      </c>
      <c r="R181" s="129">
        <f t="shared" si="49"/>
        <v>0.6</v>
      </c>
      <c r="S181" s="129">
        <f t="shared" si="49"/>
        <v>0.6</v>
      </c>
      <c r="T181" s="129">
        <f t="shared" si="50"/>
        <v>0.6</v>
      </c>
      <c r="U181" s="129">
        <f t="shared" si="50"/>
        <v>0.6</v>
      </c>
      <c r="V181" s="129">
        <f t="shared" si="50"/>
        <v>0.6</v>
      </c>
      <c r="W181" s="129">
        <f t="shared" si="50"/>
        <v>0.6</v>
      </c>
      <c r="X181" s="129">
        <f t="shared" si="50"/>
        <v>0.6</v>
      </c>
      <c r="Y181" s="129">
        <f t="shared" si="50"/>
        <v>0.6</v>
      </c>
      <c r="Z181" s="129">
        <f t="shared" si="50"/>
        <v>0.6</v>
      </c>
      <c r="AA181" s="129">
        <f t="shared" si="50"/>
        <v>0.6</v>
      </c>
      <c r="AB181" s="129">
        <f t="shared" si="50"/>
        <v>0.6</v>
      </c>
      <c r="AC181" s="129">
        <f t="shared" si="50"/>
        <v>0.6</v>
      </c>
      <c r="AD181" s="129">
        <f t="shared" si="50"/>
        <v>0.6</v>
      </c>
      <c r="AE181" s="129">
        <f t="shared" si="50"/>
        <v>0.6</v>
      </c>
      <c r="AF181" s="129">
        <f t="shared" si="50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48"/>
        <v>0.6</v>
      </c>
      <c r="C182" s="130">
        <v>0.6</v>
      </c>
      <c r="D182" s="129">
        <f t="shared" si="49"/>
        <v>0.6</v>
      </c>
      <c r="E182" s="129">
        <f t="shared" si="49"/>
        <v>0.6</v>
      </c>
      <c r="F182" s="129">
        <f t="shared" si="49"/>
        <v>0.6</v>
      </c>
      <c r="G182" s="129">
        <f t="shared" si="49"/>
        <v>0.6</v>
      </c>
      <c r="H182" s="129">
        <f t="shared" si="49"/>
        <v>0.6</v>
      </c>
      <c r="I182" s="129">
        <f t="shared" si="49"/>
        <v>0.6</v>
      </c>
      <c r="J182" s="129">
        <f t="shared" si="49"/>
        <v>0.6</v>
      </c>
      <c r="K182" s="129">
        <f t="shared" si="49"/>
        <v>0.6</v>
      </c>
      <c r="L182" s="129">
        <f t="shared" si="49"/>
        <v>0.6</v>
      </c>
      <c r="M182" s="129">
        <f t="shared" si="49"/>
        <v>0.6</v>
      </c>
      <c r="N182" s="129">
        <f t="shared" si="49"/>
        <v>0.6</v>
      </c>
      <c r="O182" s="129">
        <f t="shared" si="49"/>
        <v>0.6</v>
      </c>
      <c r="P182" s="129">
        <f t="shared" si="49"/>
        <v>0.6</v>
      </c>
      <c r="Q182" s="129">
        <f t="shared" si="49"/>
        <v>0.6</v>
      </c>
      <c r="R182" s="129">
        <f t="shared" si="49"/>
        <v>0.6</v>
      </c>
      <c r="S182" s="129">
        <f t="shared" si="49"/>
        <v>0.6</v>
      </c>
      <c r="T182" s="129">
        <f t="shared" si="50"/>
        <v>0.6</v>
      </c>
      <c r="U182" s="129">
        <f t="shared" si="50"/>
        <v>0.6</v>
      </c>
      <c r="V182" s="129">
        <f t="shared" si="50"/>
        <v>0.6</v>
      </c>
      <c r="W182" s="129">
        <f t="shared" si="50"/>
        <v>0.6</v>
      </c>
      <c r="X182" s="129">
        <f t="shared" si="50"/>
        <v>0.6</v>
      </c>
      <c r="Y182" s="129">
        <f t="shared" si="50"/>
        <v>0.6</v>
      </c>
      <c r="Z182" s="129">
        <f t="shared" si="50"/>
        <v>0.6</v>
      </c>
      <c r="AA182" s="129">
        <f t="shared" si="50"/>
        <v>0.6</v>
      </c>
      <c r="AB182" s="129">
        <f t="shared" si="50"/>
        <v>0.6</v>
      </c>
      <c r="AC182" s="129">
        <f t="shared" si="50"/>
        <v>0.6</v>
      </c>
      <c r="AD182" s="129">
        <f t="shared" si="50"/>
        <v>0.6</v>
      </c>
      <c r="AE182" s="129">
        <f t="shared" si="50"/>
        <v>0.6</v>
      </c>
      <c r="AF182" s="129">
        <f t="shared" si="50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48"/>
        <v>0.35</v>
      </c>
      <c r="C183" s="130">
        <v>0.35</v>
      </c>
      <c r="D183" s="129">
        <f t="shared" si="49"/>
        <v>0.35</v>
      </c>
      <c r="E183" s="129">
        <f t="shared" si="49"/>
        <v>0.35</v>
      </c>
      <c r="F183" s="129">
        <f t="shared" si="49"/>
        <v>0.35</v>
      </c>
      <c r="G183" s="129">
        <f t="shared" si="49"/>
        <v>0.35</v>
      </c>
      <c r="H183" s="129">
        <f t="shared" si="49"/>
        <v>0.35</v>
      </c>
      <c r="I183" s="129">
        <f t="shared" si="49"/>
        <v>0.35</v>
      </c>
      <c r="J183" s="129">
        <f t="shared" si="49"/>
        <v>0.35</v>
      </c>
      <c r="K183" s="129">
        <f t="shared" si="49"/>
        <v>0.35</v>
      </c>
      <c r="L183" s="129">
        <f t="shared" si="49"/>
        <v>0.35</v>
      </c>
      <c r="M183" s="129">
        <f t="shared" si="49"/>
        <v>0.35</v>
      </c>
      <c r="N183" s="129">
        <f t="shared" si="49"/>
        <v>0.35</v>
      </c>
      <c r="O183" s="129">
        <f t="shared" si="49"/>
        <v>0.35</v>
      </c>
      <c r="P183" s="129">
        <f t="shared" si="49"/>
        <v>0.35</v>
      </c>
      <c r="Q183" s="129">
        <f t="shared" si="49"/>
        <v>0.35</v>
      </c>
      <c r="R183" s="129">
        <f t="shared" si="49"/>
        <v>0.35</v>
      </c>
      <c r="S183" s="129">
        <f t="shared" si="49"/>
        <v>0.35</v>
      </c>
      <c r="T183" s="129">
        <f t="shared" si="50"/>
        <v>0.35</v>
      </c>
      <c r="U183" s="129">
        <f t="shared" si="50"/>
        <v>0.35</v>
      </c>
      <c r="V183" s="129">
        <f t="shared" si="50"/>
        <v>0.35</v>
      </c>
      <c r="W183" s="129">
        <f t="shared" si="50"/>
        <v>0.35</v>
      </c>
      <c r="X183" s="129">
        <f t="shared" si="50"/>
        <v>0.35</v>
      </c>
      <c r="Y183" s="129">
        <f t="shared" si="50"/>
        <v>0.35</v>
      </c>
      <c r="Z183" s="129">
        <f t="shared" si="50"/>
        <v>0.35</v>
      </c>
      <c r="AA183" s="129">
        <f t="shared" si="50"/>
        <v>0.35</v>
      </c>
      <c r="AB183" s="129">
        <f t="shared" si="50"/>
        <v>0.35</v>
      </c>
      <c r="AC183" s="129">
        <f t="shared" si="50"/>
        <v>0.35</v>
      </c>
      <c r="AD183" s="129">
        <f t="shared" si="50"/>
        <v>0.35</v>
      </c>
      <c r="AE183" s="129">
        <f t="shared" si="50"/>
        <v>0.35</v>
      </c>
      <c r="AF183" s="129">
        <f t="shared" si="50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48"/>
        <v>0.28999999999999998</v>
      </c>
      <c r="C184" s="130">
        <v>0.28999999999999998</v>
      </c>
      <c r="D184" s="129">
        <f t="shared" si="49"/>
        <v>0.28999999999999998</v>
      </c>
      <c r="E184" s="129">
        <f t="shared" si="49"/>
        <v>0.28999999999999998</v>
      </c>
      <c r="F184" s="129">
        <f t="shared" si="49"/>
        <v>0.28999999999999998</v>
      </c>
      <c r="G184" s="129">
        <f t="shared" si="49"/>
        <v>0.28999999999999998</v>
      </c>
      <c r="H184" s="129">
        <f t="shared" si="49"/>
        <v>0.28999999999999998</v>
      </c>
      <c r="I184" s="129">
        <f t="shared" si="49"/>
        <v>0.28999999999999998</v>
      </c>
      <c r="J184" s="129">
        <f t="shared" si="49"/>
        <v>0.28999999999999998</v>
      </c>
      <c r="K184" s="129">
        <f t="shared" si="49"/>
        <v>0.28999999999999998</v>
      </c>
      <c r="L184" s="129">
        <f t="shared" si="49"/>
        <v>0.28999999999999998</v>
      </c>
      <c r="M184" s="129">
        <f t="shared" si="49"/>
        <v>0.28999999999999998</v>
      </c>
      <c r="N184" s="129">
        <f t="shared" si="49"/>
        <v>0.28999999999999998</v>
      </c>
      <c r="O184" s="129">
        <f t="shared" si="49"/>
        <v>0.28999999999999998</v>
      </c>
      <c r="P184" s="129">
        <f t="shared" si="49"/>
        <v>0.28999999999999998</v>
      </c>
      <c r="Q184" s="129">
        <f t="shared" si="49"/>
        <v>0.28999999999999998</v>
      </c>
      <c r="R184" s="129">
        <f t="shared" si="49"/>
        <v>0.28999999999999998</v>
      </c>
      <c r="S184" s="129">
        <f t="shared" si="49"/>
        <v>0.28999999999999998</v>
      </c>
      <c r="T184" s="129">
        <f t="shared" si="50"/>
        <v>0.28999999999999998</v>
      </c>
      <c r="U184" s="129">
        <f t="shared" si="50"/>
        <v>0.28999999999999998</v>
      </c>
      <c r="V184" s="129">
        <f t="shared" si="50"/>
        <v>0.28999999999999998</v>
      </c>
      <c r="W184" s="129">
        <f t="shared" si="50"/>
        <v>0.28999999999999998</v>
      </c>
      <c r="X184" s="129">
        <f t="shared" si="50"/>
        <v>0.28999999999999998</v>
      </c>
      <c r="Y184" s="129">
        <f t="shared" si="50"/>
        <v>0.28999999999999998</v>
      </c>
      <c r="Z184" s="129">
        <f t="shared" si="50"/>
        <v>0.28999999999999998</v>
      </c>
      <c r="AA184" s="129">
        <f t="shared" si="50"/>
        <v>0.28999999999999998</v>
      </c>
      <c r="AB184" s="129">
        <f t="shared" si="50"/>
        <v>0.28999999999999998</v>
      </c>
      <c r="AC184" s="129">
        <f t="shared" si="50"/>
        <v>0.28999999999999998</v>
      </c>
      <c r="AD184" s="129">
        <f t="shared" si="50"/>
        <v>0.28999999999999998</v>
      </c>
      <c r="AE184" s="129">
        <f t="shared" si="50"/>
        <v>0.28999999999999998</v>
      </c>
      <c r="AF184" s="129">
        <f t="shared" si="50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48"/>
        <v>0.06</v>
      </c>
      <c r="C185" s="130">
        <v>0.06</v>
      </c>
      <c r="D185" s="129">
        <f t="shared" si="49"/>
        <v>0.06</v>
      </c>
      <c r="E185" s="129">
        <f t="shared" si="49"/>
        <v>0.06</v>
      </c>
      <c r="F185" s="129">
        <f t="shared" si="49"/>
        <v>0.06</v>
      </c>
      <c r="G185" s="129">
        <f t="shared" si="49"/>
        <v>0.06</v>
      </c>
      <c r="H185" s="129">
        <f t="shared" si="49"/>
        <v>0.06</v>
      </c>
      <c r="I185" s="129">
        <f t="shared" si="49"/>
        <v>0.06</v>
      </c>
      <c r="J185" s="129">
        <f t="shared" si="49"/>
        <v>0.06</v>
      </c>
      <c r="K185" s="129">
        <f t="shared" si="49"/>
        <v>0.06</v>
      </c>
      <c r="L185" s="129">
        <f t="shared" si="49"/>
        <v>0.06</v>
      </c>
      <c r="M185" s="129">
        <f t="shared" si="49"/>
        <v>0.06</v>
      </c>
      <c r="N185" s="129">
        <f t="shared" si="49"/>
        <v>0.06</v>
      </c>
      <c r="O185" s="129">
        <f t="shared" si="49"/>
        <v>0.06</v>
      </c>
      <c r="P185" s="129">
        <f t="shared" si="49"/>
        <v>0.06</v>
      </c>
      <c r="Q185" s="129">
        <f t="shared" si="49"/>
        <v>0.06</v>
      </c>
      <c r="R185" s="129">
        <f t="shared" si="49"/>
        <v>0.06</v>
      </c>
      <c r="S185" s="129">
        <f t="shared" si="49"/>
        <v>0.06</v>
      </c>
      <c r="T185" s="129">
        <f t="shared" si="50"/>
        <v>0.06</v>
      </c>
      <c r="U185" s="129">
        <f t="shared" si="50"/>
        <v>0.06</v>
      </c>
      <c r="V185" s="129">
        <f t="shared" si="50"/>
        <v>0.06</v>
      </c>
      <c r="W185" s="129">
        <f t="shared" si="50"/>
        <v>0.06</v>
      </c>
      <c r="X185" s="129">
        <f t="shared" si="50"/>
        <v>0.06</v>
      </c>
      <c r="Y185" s="129">
        <f t="shared" si="50"/>
        <v>0.06</v>
      </c>
      <c r="Z185" s="129">
        <f t="shared" si="50"/>
        <v>0.06</v>
      </c>
      <c r="AA185" s="129">
        <f t="shared" si="50"/>
        <v>0.06</v>
      </c>
      <c r="AB185" s="129">
        <f t="shared" si="50"/>
        <v>0.06</v>
      </c>
      <c r="AC185" s="129">
        <f t="shared" si="50"/>
        <v>0.06</v>
      </c>
      <c r="AD185" s="129">
        <f t="shared" si="50"/>
        <v>0.06</v>
      </c>
      <c r="AE185" s="129">
        <f t="shared" si="50"/>
        <v>0.06</v>
      </c>
      <c r="AF185" s="129">
        <f t="shared" si="50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48"/>
        <v>0.11</v>
      </c>
      <c r="C186" s="130">
        <v>0.11</v>
      </c>
      <c r="D186" s="129">
        <f t="shared" si="49"/>
        <v>0.11</v>
      </c>
      <c r="E186" s="129">
        <f t="shared" si="49"/>
        <v>0.11</v>
      </c>
      <c r="F186" s="129">
        <f t="shared" si="49"/>
        <v>0.11</v>
      </c>
      <c r="G186" s="129">
        <f t="shared" si="49"/>
        <v>0.11</v>
      </c>
      <c r="H186" s="129">
        <f t="shared" si="49"/>
        <v>0.11</v>
      </c>
      <c r="I186" s="129">
        <f t="shared" si="49"/>
        <v>0.11</v>
      </c>
      <c r="J186" s="129">
        <f t="shared" si="49"/>
        <v>0.11</v>
      </c>
      <c r="K186" s="129">
        <f t="shared" si="49"/>
        <v>0.11</v>
      </c>
      <c r="L186" s="129">
        <f t="shared" si="49"/>
        <v>0.11</v>
      </c>
      <c r="M186" s="129">
        <f t="shared" si="49"/>
        <v>0.11</v>
      </c>
      <c r="N186" s="129">
        <f t="shared" si="49"/>
        <v>0.11</v>
      </c>
      <c r="O186" s="129">
        <f t="shared" si="49"/>
        <v>0.11</v>
      </c>
      <c r="P186" s="129">
        <f t="shared" si="49"/>
        <v>0.11</v>
      </c>
      <c r="Q186" s="129">
        <f t="shared" si="49"/>
        <v>0.11</v>
      </c>
      <c r="R186" s="129">
        <f t="shared" si="49"/>
        <v>0.11</v>
      </c>
      <c r="S186" s="129">
        <f t="shared" si="49"/>
        <v>0.11</v>
      </c>
      <c r="T186" s="129">
        <f t="shared" si="50"/>
        <v>0.11</v>
      </c>
      <c r="U186" s="129">
        <f t="shared" si="50"/>
        <v>0.11</v>
      </c>
      <c r="V186" s="129">
        <f t="shared" si="50"/>
        <v>0.11</v>
      </c>
      <c r="W186" s="129">
        <f t="shared" si="50"/>
        <v>0.11</v>
      </c>
      <c r="X186" s="129">
        <f t="shared" si="50"/>
        <v>0.11</v>
      </c>
      <c r="Y186" s="129">
        <f t="shared" si="50"/>
        <v>0.11</v>
      </c>
      <c r="Z186" s="129">
        <f t="shared" si="50"/>
        <v>0.11</v>
      </c>
      <c r="AA186" s="129">
        <f t="shared" si="50"/>
        <v>0.11</v>
      </c>
      <c r="AB186" s="129">
        <f t="shared" si="50"/>
        <v>0.11</v>
      </c>
      <c r="AC186" s="129">
        <f t="shared" si="50"/>
        <v>0.11</v>
      </c>
      <c r="AD186" s="129">
        <f t="shared" si="50"/>
        <v>0.11</v>
      </c>
      <c r="AE186" s="129">
        <f t="shared" si="50"/>
        <v>0.11</v>
      </c>
      <c r="AF186" s="129">
        <f t="shared" si="50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48"/>
        <v>0.1</v>
      </c>
      <c r="C187" s="130">
        <v>0.1</v>
      </c>
      <c r="D187" s="129">
        <f t="shared" si="49"/>
        <v>0.1</v>
      </c>
      <c r="E187" s="129">
        <f t="shared" si="49"/>
        <v>0.1</v>
      </c>
      <c r="F187" s="129">
        <f t="shared" si="49"/>
        <v>0.1</v>
      </c>
      <c r="G187" s="129">
        <f t="shared" si="49"/>
        <v>0.1</v>
      </c>
      <c r="H187" s="129">
        <f t="shared" si="49"/>
        <v>0.1</v>
      </c>
      <c r="I187" s="129">
        <f t="shared" si="49"/>
        <v>0.1</v>
      </c>
      <c r="J187" s="129">
        <f t="shared" si="49"/>
        <v>0.1</v>
      </c>
      <c r="K187" s="129">
        <f t="shared" si="49"/>
        <v>0.1</v>
      </c>
      <c r="L187" s="129">
        <f t="shared" si="49"/>
        <v>0.1</v>
      </c>
      <c r="M187" s="129">
        <f t="shared" si="49"/>
        <v>0.1</v>
      </c>
      <c r="N187" s="129">
        <f t="shared" si="49"/>
        <v>0.1</v>
      </c>
      <c r="O187" s="129">
        <f t="shared" si="49"/>
        <v>0.1</v>
      </c>
      <c r="P187" s="129">
        <f t="shared" si="49"/>
        <v>0.1</v>
      </c>
      <c r="Q187" s="129">
        <f t="shared" si="49"/>
        <v>0.1</v>
      </c>
      <c r="R187" s="129">
        <f t="shared" si="49"/>
        <v>0.1</v>
      </c>
      <c r="S187" s="129">
        <f t="shared" si="50"/>
        <v>0.1</v>
      </c>
      <c r="T187" s="129">
        <f t="shared" si="50"/>
        <v>0.1</v>
      </c>
      <c r="U187" s="129">
        <f t="shared" si="50"/>
        <v>0.1</v>
      </c>
      <c r="V187" s="129">
        <f t="shared" si="50"/>
        <v>0.1</v>
      </c>
      <c r="W187" s="129">
        <f t="shared" si="50"/>
        <v>0.1</v>
      </c>
      <c r="X187" s="129">
        <f t="shared" si="50"/>
        <v>0.1</v>
      </c>
      <c r="Y187" s="129">
        <f t="shared" si="50"/>
        <v>0.1</v>
      </c>
      <c r="Z187" s="129">
        <f t="shared" si="50"/>
        <v>0.1</v>
      </c>
      <c r="AA187" s="129">
        <f t="shared" si="50"/>
        <v>0.1</v>
      </c>
      <c r="AB187" s="129">
        <f t="shared" si="50"/>
        <v>0.1</v>
      </c>
      <c r="AC187" s="129">
        <f t="shared" si="50"/>
        <v>0.1</v>
      </c>
      <c r="AD187" s="129">
        <f t="shared" si="50"/>
        <v>0.1</v>
      </c>
      <c r="AE187" s="129">
        <f t="shared" si="50"/>
        <v>0.1</v>
      </c>
      <c r="AF187" s="129">
        <f t="shared" si="50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48"/>
        <v>0.09</v>
      </c>
      <c r="C188" s="130">
        <v>0.09</v>
      </c>
      <c r="D188" s="129">
        <f t="shared" si="49"/>
        <v>0.09</v>
      </c>
      <c r="E188" s="129">
        <f t="shared" si="49"/>
        <v>0.09</v>
      </c>
      <c r="F188" s="129">
        <f t="shared" si="49"/>
        <v>0.09</v>
      </c>
      <c r="G188" s="129">
        <f t="shared" si="49"/>
        <v>0.09</v>
      </c>
      <c r="H188" s="129">
        <f t="shared" si="49"/>
        <v>0.09</v>
      </c>
      <c r="I188" s="129">
        <f t="shared" si="49"/>
        <v>0.09</v>
      </c>
      <c r="J188" s="129">
        <f t="shared" si="49"/>
        <v>0.09</v>
      </c>
      <c r="K188" s="129">
        <f t="shared" si="49"/>
        <v>0.09</v>
      </c>
      <c r="L188" s="129">
        <f t="shared" si="49"/>
        <v>0.09</v>
      </c>
      <c r="M188" s="129">
        <f t="shared" si="49"/>
        <v>0.09</v>
      </c>
      <c r="N188" s="129">
        <f t="shared" si="49"/>
        <v>0.09</v>
      </c>
      <c r="O188" s="129">
        <f t="shared" si="49"/>
        <v>0.09</v>
      </c>
      <c r="P188" s="129">
        <f t="shared" si="49"/>
        <v>0.09</v>
      </c>
      <c r="Q188" s="129">
        <f t="shared" si="49"/>
        <v>0.09</v>
      </c>
      <c r="R188" s="129">
        <f t="shared" si="49"/>
        <v>0.09</v>
      </c>
      <c r="S188" s="129">
        <f t="shared" si="50"/>
        <v>0.09</v>
      </c>
      <c r="T188" s="129">
        <f t="shared" si="50"/>
        <v>0.09</v>
      </c>
      <c r="U188" s="129">
        <f t="shared" si="50"/>
        <v>0.09</v>
      </c>
      <c r="V188" s="129">
        <f t="shared" si="50"/>
        <v>0.09</v>
      </c>
      <c r="W188" s="129">
        <f t="shared" si="50"/>
        <v>0.09</v>
      </c>
      <c r="X188" s="129">
        <f t="shared" si="50"/>
        <v>0.09</v>
      </c>
      <c r="Y188" s="129">
        <f t="shared" si="50"/>
        <v>0.09</v>
      </c>
      <c r="Z188" s="129">
        <f t="shared" si="50"/>
        <v>0.09</v>
      </c>
      <c r="AA188" s="129">
        <f t="shared" si="50"/>
        <v>0.09</v>
      </c>
      <c r="AB188" s="129">
        <f t="shared" si="50"/>
        <v>0.09</v>
      </c>
      <c r="AC188" s="129">
        <f t="shared" si="50"/>
        <v>0.09</v>
      </c>
      <c r="AD188" s="129">
        <f t="shared" si="50"/>
        <v>0.09</v>
      </c>
      <c r="AE188" s="129">
        <f t="shared" si="50"/>
        <v>0.09</v>
      </c>
      <c r="AF188" s="129">
        <f t="shared" si="50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48"/>
        <v>0.04</v>
      </c>
      <c r="C189" s="53">
        <v>0.04</v>
      </c>
      <c r="D189" s="129">
        <f t="shared" si="49"/>
        <v>0.04</v>
      </c>
      <c r="E189" s="129">
        <f t="shared" si="49"/>
        <v>0.04</v>
      </c>
      <c r="F189" s="129">
        <f t="shared" si="49"/>
        <v>0.04</v>
      </c>
      <c r="G189" s="129">
        <f t="shared" si="49"/>
        <v>0.04</v>
      </c>
      <c r="H189" s="129">
        <f t="shared" si="49"/>
        <v>0.04</v>
      </c>
      <c r="I189" s="129">
        <f t="shared" si="49"/>
        <v>0.04</v>
      </c>
      <c r="J189" s="129">
        <f t="shared" si="49"/>
        <v>0.04</v>
      </c>
      <c r="K189" s="129">
        <f t="shared" si="49"/>
        <v>0.04</v>
      </c>
      <c r="L189" s="129">
        <f t="shared" si="49"/>
        <v>0.04</v>
      </c>
      <c r="M189" s="129">
        <f t="shared" si="49"/>
        <v>0.04</v>
      </c>
      <c r="N189" s="129">
        <f t="shared" si="49"/>
        <v>0.04</v>
      </c>
      <c r="O189" s="129">
        <f t="shared" si="49"/>
        <v>0.04</v>
      </c>
      <c r="P189" s="129">
        <f t="shared" si="49"/>
        <v>0.04</v>
      </c>
      <c r="Q189" s="129">
        <f t="shared" si="49"/>
        <v>0.04</v>
      </c>
      <c r="R189" s="129">
        <f t="shared" si="49"/>
        <v>0.04</v>
      </c>
      <c r="S189" s="129">
        <f t="shared" si="50"/>
        <v>0.04</v>
      </c>
      <c r="T189" s="129">
        <f t="shared" si="50"/>
        <v>0.04</v>
      </c>
      <c r="U189" s="129">
        <f t="shared" si="50"/>
        <v>0.04</v>
      </c>
      <c r="V189" s="129">
        <f t="shared" si="50"/>
        <v>0.04</v>
      </c>
      <c r="W189" s="129">
        <f t="shared" si="50"/>
        <v>0.04</v>
      </c>
      <c r="X189" s="129">
        <f t="shared" si="50"/>
        <v>0.04</v>
      </c>
      <c r="Y189" s="129">
        <f t="shared" si="50"/>
        <v>0.04</v>
      </c>
      <c r="Z189" s="129">
        <f t="shared" si="50"/>
        <v>0.04</v>
      </c>
      <c r="AA189" s="129">
        <f t="shared" si="50"/>
        <v>0.04</v>
      </c>
      <c r="AB189" s="129">
        <f t="shared" si="50"/>
        <v>0.04</v>
      </c>
      <c r="AC189" s="129">
        <f t="shared" si="50"/>
        <v>0.04</v>
      </c>
      <c r="AD189" s="129">
        <f t="shared" si="50"/>
        <v>0.04</v>
      </c>
      <c r="AE189" s="129">
        <f t="shared" si="50"/>
        <v>0.04</v>
      </c>
      <c r="AF189" s="129">
        <f t="shared" si="50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48"/>
        <v>2.3E-2</v>
      </c>
      <c r="C190" s="53">
        <v>2.3E-2</v>
      </c>
      <c r="D190" s="129">
        <f>C190</f>
        <v>2.3E-2</v>
      </c>
      <c r="E190" s="129">
        <f t="shared" si="49"/>
        <v>2.3E-2</v>
      </c>
      <c r="F190" s="129">
        <f t="shared" si="49"/>
        <v>2.3E-2</v>
      </c>
      <c r="G190" s="129">
        <f t="shared" si="49"/>
        <v>2.3E-2</v>
      </c>
      <c r="H190" s="129">
        <f t="shared" si="49"/>
        <v>2.3E-2</v>
      </c>
      <c r="I190" s="129">
        <f t="shared" si="49"/>
        <v>2.3E-2</v>
      </c>
      <c r="J190" s="129">
        <f t="shared" si="49"/>
        <v>2.3E-2</v>
      </c>
      <c r="K190" s="129">
        <f t="shared" si="49"/>
        <v>2.3E-2</v>
      </c>
      <c r="L190" s="129">
        <f t="shared" si="49"/>
        <v>2.3E-2</v>
      </c>
      <c r="M190" s="129">
        <f t="shared" si="49"/>
        <v>2.3E-2</v>
      </c>
      <c r="N190" s="129">
        <f t="shared" si="49"/>
        <v>2.3E-2</v>
      </c>
      <c r="O190" s="129">
        <f t="shared" si="49"/>
        <v>2.3E-2</v>
      </c>
      <c r="P190" s="129">
        <f t="shared" si="49"/>
        <v>2.3E-2</v>
      </c>
      <c r="Q190" s="129">
        <f t="shared" si="49"/>
        <v>2.3E-2</v>
      </c>
      <c r="R190" s="129">
        <f t="shared" si="49"/>
        <v>2.3E-2</v>
      </c>
      <c r="S190" s="129">
        <f t="shared" si="50"/>
        <v>2.3E-2</v>
      </c>
      <c r="T190" s="129">
        <f t="shared" si="50"/>
        <v>2.3E-2</v>
      </c>
      <c r="U190" s="129">
        <f t="shared" si="50"/>
        <v>2.3E-2</v>
      </c>
      <c r="V190" s="129">
        <f t="shared" si="50"/>
        <v>2.3E-2</v>
      </c>
      <c r="W190" s="129">
        <f t="shared" si="50"/>
        <v>2.3E-2</v>
      </c>
      <c r="X190" s="129">
        <f t="shared" si="50"/>
        <v>2.3E-2</v>
      </c>
      <c r="Y190" s="129">
        <f t="shared" si="50"/>
        <v>2.3E-2</v>
      </c>
      <c r="Z190" s="129">
        <f t="shared" si="50"/>
        <v>2.3E-2</v>
      </c>
      <c r="AA190" s="129">
        <f t="shared" si="50"/>
        <v>2.3E-2</v>
      </c>
      <c r="AB190" s="129">
        <f t="shared" si="50"/>
        <v>2.3E-2</v>
      </c>
      <c r="AC190" s="129">
        <f t="shared" si="50"/>
        <v>2.3E-2</v>
      </c>
      <c r="AD190" s="129">
        <f t="shared" si="50"/>
        <v>2.3E-2</v>
      </c>
      <c r="AE190" s="129">
        <f t="shared" si="50"/>
        <v>2.3E-2</v>
      </c>
      <c r="AF190" s="129">
        <f t="shared" si="50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1">SUM(C101:C190)</f>
        <v>194.70600000000002</v>
      </c>
      <c r="D191" s="134">
        <f t="shared" si="51"/>
        <v>194.70600000000002</v>
      </c>
      <c r="E191" s="134">
        <f t="shared" si="51"/>
        <v>194.70600000000002</v>
      </c>
      <c r="F191" s="134">
        <f t="shared" si="51"/>
        <v>194.70600000000002</v>
      </c>
      <c r="G191" s="134">
        <f t="shared" si="51"/>
        <v>194.70600000000002</v>
      </c>
      <c r="H191" s="134">
        <f t="shared" si="51"/>
        <v>194.70600000000002</v>
      </c>
      <c r="I191" s="134">
        <f t="shared" si="51"/>
        <v>194.70600000000002</v>
      </c>
      <c r="J191" s="134">
        <f t="shared" si="51"/>
        <v>192.10600000000005</v>
      </c>
      <c r="K191" s="134">
        <f t="shared" si="51"/>
        <v>192.10600000000005</v>
      </c>
      <c r="L191" s="134">
        <f t="shared" si="51"/>
        <v>192.10600000000005</v>
      </c>
      <c r="M191" s="134">
        <f t="shared" si="51"/>
        <v>192.10600000000005</v>
      </c>
      <c r="N191" s="134">
        <f t="shared" si="51"/>
        <v>192.10600000000005</v>
      </c>
      <c r="O191" s="134">
        <f t="shared" si="51"/>
        <v>192.10600000000005</v>
      </c>
      <c r="P191" s="134">
        <f t="shared" si="51"/>
        <v>192.10600000000005</v>
      </c>
      <c r="Q191" s="134">
        <f t="shared" si="51"/>
        <v>192.10600000000005</v>
      </c>
      <c r="R191" s="134">
        <f t="shared" si="51"/>
        <v>192.10600000000005</v>
      </c>
      <c r="S191" s="134">
        <f t="shared" si="51"/>
        <v>192.10600000000005</v>
      </c>
      <c r="T191" s="134">
        <f t="shared" si="51"/>
        <v>192.10600000000005</v>
      </c>
      <c r="U191" s="134">
        <f t="shared" si="51"/>
        <v>192.10600000000005</v>
      </c>
      <c r="V191" s="134">
        <f t="shared" si="51"/>
        <v>192.10600000000005</v>
      </c>
      <c r="W191" s="134">
        <f t="shared" si="51"/>
        <v>192.10600000000005</v>
      </c>
      <c r="X191" s="134">
        <f t="shared" si="51"/>
        <v>192.10600000000005</v>
      </c>
      <c r="Y191" s="134">
        <f t="shared" si="51"/>
        <v>192.10600000000005</v>
      </c>
      <c r="Z191" s="134">
        <f t="shared" si="51"/>
        <v>192.10600000000005</v>
      </c>
      <c r="AA191" s="134">
        <f t="shared" si="51"/>
        <v>192.10600000000005</v>
      </c>
      <c r="AB191" s="134">
        <f t="shared" si="51"/>
        <v>192.10600000000005</v>
      </c>
      <c r="AC191" s="134">
        <f t="shared" si="51"/>
        <v>192.10600000000005</v>
      </c>
      <c r="AD191" s="134">
        <f t="shared" si="51"/>
        <v>192.10600000000005</v>
      </c>
      <c r="AE191" s="134">
        <f t="shared" si="51"/>
        <v>192.10600000000005</v>
      </c>
      <c r="AF191" s="134">
        <f t="shared" si="51"/>
        <v>192.10600000000005</v>
      </c>
      <c r="AG191" s="135">
        <f t="shared" si="51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2">AF193</f>
        <v>0.3</v>
      </c>
      <c r="C193" s="136">
        <v>0.3</v>
      </c>
      <c r="D193" s="136">
        <f t="shared" ref="D193:S198" si="53">C193</f>
        <v>0.3</v>
      </c>
      <c r="E193" s="136">
        <f t="shared" si="53"/>
        <v>0.3</v>
      </c>
      <c r="F193" s="136">
        <f t="shared" si="53"/>
        <v>0.3</v>
      </c>
      <c r="G193" s="136">
        <f t="shared" si="53"/>
        <v>0.3</v>
      </c>
      <c r="H193" s="136">
        <f t="shared" si="53"/>
        <v>0.3</v>
      </c>
      <c r="I193" s="136">
        <f t="shared" si="53"/>
        <v>0.3</v>
      </c>
      <c r="J193" s="136">
        <f t="shared" si="53"/>
        <v>0.3</v>
      </c>
      <c r="K193" s="136">
        <f t="shared" si="53"/>
        <v>0.3</v>
      </c>
      <c r="L193" s="136">
        <f t="shared" si="53"/>
        <v>0.3</v>
      </c>
      <c r="M193" s="136">
        <f t="shared" si="53"/>
        <v>0.3</v>
      </c>
      <c r="N193" s="136">
        <f t="shared" si="53"/>
        <v>0.3</v>
      </c>
      <c r="O193" s="136">
        <f t="shared" si="53"/>
        <v>0.3</v>
      </c>
      <c r="P193" s="136">
        <f t="shared" si="53"/>
        <v>0.3</v>
      </c>
      <c r="Q193" s="136">
        <f t="shared" si="53"/>
        <v>0.3</v>
      </c>
      <c r="R193" s="136">
        <f t="shared" si="53"/>
        <v>0.3</v>
      </c>
      <c r="S193" s="136">
        <f t="shared" si="53"/>
        <v>0.3</v>
      </c>
      <c r="T193" s="136">
        <f t="shared" ref="T193:AF198" si="54">S193</f>
        <v>0.3</v>
      </c>
      <c r="U193" s="136">
        <f t="shared" si="54"/>
        <v>0.3</v>
      </c>
      <c r="V193" s="136">
        <f t="shared" si="54"/>
        <v>0.3</v>
      </c>
      <c r="W193" s="136">
        <f t="shared" si="54"/>
        <v>0.3</v>
      </c>
      <c r="X193" s="136">
        <f t="shared" si="54"/>
        <v>0.3</v>
      </c>
      <c r="Y193" s="136">
        <f t="shared" si="54"/>
        <v>0.3</v>
      </c>
      <c r="Z193" s="136">
        <f t="shared" si="54"/>
        <v>0.3</v>
      </c>
      <c r="AA193" s="136">
        <f t="shared" si="54"/>
        <v>0.3</v>
      </c>
      <c r="AB193" s="136">
        <f t="shared" si="54"/>
        <v>0.3</v>
      </c>
      <c r="AC193" s="136">
        <f t="shared" si="54"/>
        <v>0.3</v>
      </c>
      <c r="AD193" s="136">
        <f t="shared" si="54"/>
        <v>0.3</v>
      </c>
      <c r="AE193" s="136">
        <f t="shared" si="54"/>
        <v>0.3</v>
      </c>
      <c r="AF193" s="136">
        <f t="shared" si="54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2"/>
        <v>0.4</v>
      </c>
      <c r="C194" s="129">
        <v>0.4</v>
      </c>
      <c r="D194" s="129">
        <f t="shared" si="53"/>
        <v>0.4</v>
      </c>
      <c r="E194" s="129">
        <f t="shared" si="53"/>
        <v>0.4</v>
      </c>
      <c r="F194" s="129">
        <f t="shared" si="53"/>
        <v>0.4</v>
      </c>
      <c r="G194" s="129">
        <f t="shared" si="53"/>
        <v>0.4</v>
      </c>
      <c r="H194" s="129">
        <f t="shared" si="53"/>
        <v>0.4</v>
      </c>
      <c r="I194" s="129">
        <f t="shared" si="53"/>
        <v>0.4</v>
      </c>
      <c r="J194" s="129">
        <f t="shared" si="53"/>
        <v>0.4</v>
      </c>
      <c r="K194" s="129">
        <f t="shared" si="53"/>
        <v>0.4</v>
      </c>
      <c r="L194" s="129">
        <f t="shared" si="53"/>
        <v>0.4</v>
      </c>
      <c r="M194" s="129">
        <f t="shared" si="53"/>
        <v>0.4</v>
      </c>
      <c r="N194" s="129">
        <f t="shared" si="53"/>
        <v>0.4</v>
      </c>
      <c r="O194" s="129">
        <f t="shared" si="53"/>
        <v>0.4</v>
      </c>
      <c r="P194" s="129">
        <f t="shared" si="53"/>
        <v>0.4</v>
      </c>
      <c r="Q194" s="129">
        <f t="shared" si="53"/>
        <v>0.4</v>
      </c>
      <c r="R194" s="129">
        <f t="shared" si="53"/>
        <v>0.4</v>
      </c>
      <c r="S194" s="129">
        <f t="shared" si="53"/>
        <v>0.4</v>
      </c>
      <c r="T194" s="129">
        <f t="shared" si="54"/>
        <v>0.4</v>
      </c>
      <c r="U194" s="129">
        <f t="shared" si="54"/>
        <v>0.4</v>
      </c>
      <c r="V194" s="129">
        <f t="shared" si="54"/>
        <v>0.4</v>
      </c>
      <c r="W194" s="129">
        <f>V194</f>
        <v>0.4</v>
      </c>
      <c r="X194" s="129">
        <f>W194</f>
        <v>0.4</v>
      </c>
      <c r="Y194" s="129">
        <f t="shared" si="54"/>
        <v>0.4</v>
      </c>
      <c r="Z194" s="129">
        <f t="shared" si="54"/>
        <v>0.4</v>
      </c>
      <c r="AA194" s="129">
        <f t="shared" si="54"/>
        <v>0.4</v>
      </c>
      <c r="AB194" s="129">
        <f t="shared" si="54"/>
        <v>0.4</v>
      </c>
      <c r="AC194" s="129">
        <f t="shared" si="54"/>
        <v>0.4</v>
      </c>
      <c r="AD194" s="129">
        <f t="shared" si="54"/>
        <v>0.4</v>
      </c>
      <c r="AE194" s="129">
        <f t="shared" si="54"/>
        <v>0.4</v>
      </c>
      <c r="AF194" s="129">
        <f t="shared" si="54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2"/>
        <v>1.5</v>
      </c>
      <c r="C195" s="129">
        <v>1.5</v>
      </c>
      <c r="D195" s="129">
        <f t="shared" si="53"/>
        <v>1.5</v>
      </c>
      <c r="E195" s="129">
        <f t="shared" si="53"/>
        <v>1.5</v>
      </c>
      <c r="F195" s="129">
        <f t="shared" si="53"/>
        <v>1.5</v>
      </c>
      <c r="G195" s="129">
        <f t="shared" si="53"/>
        <v>1.5</v>
      </c>
      <c r="H195" s="129">
        <f t="shared" si="53"/>
        <v>1.5</v>
      </c>
      <c r="I195" s="129">
        <f t="shared" si="53"/>
        <v>1.5</v>
      </c>
      <c r="J195" s="129">
        <f t="shared" si="53"/>
        <v>1.5</v>
      </c>
      <c r="K195" s="129">
        <f t="shared" si="53"/>
        <v>1.5</v>
      </c>
      <c r="L195" s="129">
        <f t="shared" si="53"/>
        <v>1.5</v>
      </c>
      <c r="M195" s="129">
        <f t="shared" si="53"/>
        <v>1.5</v>
      </c>
      <c r="N195" s="129">
        <f t="shared" si="53"/>
        <v>1.5</v>
      </c>
      <c r="O195" s="129">
        <f t="shared" si="53"/>
        <v>1.5</v>
      </c>
      <c r="P195" s="129">
        <f t="shared" si="53"/>
        <v>1.5</v>
      </c>
      <c r="Q195" s="129">
        <f t="shared" si="53"/>
        <v>1.5</v>
      </c>
      <c r="R195" s="129">
        <f t="shared" si="53"/>
        <v>1.5</v>
      </c>
      <c r="S195" s="129">
        <f t="shared" si="53"/>
        <v>1.5</v>
      </c>
      <c r="T195" s="129">
        <f t="shared" si="54"/>
        <v>1.5</v>
      </c>
      <c r="U195" s="129">
        <f t="shared" si="54"/>
        <v>1.5</v>
      </c>
      <c r="V195" s="129">
        <f t="shared" si="54"/>
        <v>1.5</v>
      </c>
      <c r="W195" s="129">
        <f t="shared" si="54"/>
        <v>1.5</v>
      </c>
      <c r="X195" s="129">
        <f t="shared" si="54"/>
        <v>1.5</v>
      </c>
      <c r="Y195" s="129">
        <f t="shared" si="54"/>
        <v>1.5</v>
      </c>
      <c r="Z195" s="129">
        <f t="shared" si="54"/>
        <v>1.5</v>
      </c>
      <c r="AA195" s="129">
        <f t="shared" si="54"/>
        <v>1.5</v>
      </c>
      <c r="AB195" s="129">
        <f t="shared" si="54"/>
        <v>1.5</v>
      </c>
      <c r="AC195" s="129">
        <f t="shared" si="54"/>
        <v>1.5</v>
      </c>
      <c r="AD195" s="129">
        <f t="shared" si="54"/>
        <v>1.5</v>
      </c>
      <c r="AE195" s="129">
        <f t="shared" si="54"/>
        <v>1.5</v>
      </c>
      <c r="AF195" s="129">
        <f t="shared" si="54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2"/>
        <v>0.3</v>
      </c>
      <c r="C196" s="129">
        <v>0.3</v>
      </c>
      <c r="D196" s="129">
        <f t="shared" si="53"/>
        <v>0.3</v>
      </c>
      <c r="E196" s="129">
        <f t="shared" si="53"/>
        <v>0.3</v>
      </c>
      <c r="F196" s="129">
        <f t="shared" si="53"/>
        <v>0.3</v>
      </c>
      <c r="G196" s="129">
        <f t="shared" si="53"/>
        <v>0.3</v>
      </c>
      <c r="H196" s="129">
        <f t="shared" si="53"/>
        <v>0.3</v>
      </c>
      <c r="I196" s="129">
        <f t="shared" si="53"/>
        <v>0.3</v>
      </c>
      <c r="J196" s="129">
        <f t="shared" si="53"/>
        <v>0.3</v>
      </c>
      <c r="K196" s="129">
        <f t="shared" si="53"/>
        <v>0.3</v>
      </c>
      <c r="L196" s="129">
        <f t="shared" si="53"/>
        <v>0.3</v>
      </c>
      <c r="M196" s="129">
        <f t="shared" si="53"/>
        <v>0.3</v>
      </c>
      <c r="N196" s="129">
        <f t="shared" si="53"/>
        <v>0.3</v>
      </c>
      <c r="O196" s="129">
        <f t="shared" si="53"/>
        <v>0.3</v>
      </c>
      <c r="P196" s="129">
        <f t="shared" si="53"/>
        <v>0.3</v>
      </c>
      <c r="Q196" s="129">
        <f t="shared" si="53"/>
        <v>0.3</v>
      </c>
      <c r="R196" s="129">
        <f t="shared" si="53"/>
        <v>0.3</v>
      </c>
      <c r="S196" s="129">
        <f t="shared" si="53"/>
        <v>0.3</v>
      </c>
      <c r="T196" s="129">
        <f t="shared" si="54"/>
        <v>0.3</v>
      </c>
      <c r="U196" s="129">
        <f t="shared" si="54"/>
        <v>0.3</v>
      </c>
      <c r="V196" s="129">
        <f t="shared" si="54"/>
        <v>0.3</v>
      </c>
      <c r="W196" s="129">
        <f t="shared" si="54"/>
        <v>0.3</v>
      </c>
      <c r="X196" s="129">
        <f t="shared" si="54"/>
        <v>0.3</v>
      </c>
      <c r="Y196" s="129">
        <f t="shared" si="54"/>
        <v>0.3</v>
      </c>
      <c r="Z196" s="129">
        <f t="shared" si="54"/>
        <v>0.3</v>
      </c>
      <c r="AA196" s="129">
        <f t="shared" si="54"/>
        <v>0.3</v>
      </c>
      <c r="AB196" s="129">
        <f t="shared" si="54"/>
        <v>0.3</v>
      </c>
      <c r="AC196" s="129">
        <f t="shared" si="54"/>
        <v>0.3</v>
      </c>
      <c r="AD196" s="129">
        <f t="shared" si="54"/>
        <v>0.3</v>
      </c>
      <c r="AE196" s="129">
        <f t="shared" si="54"/>
        <v>0.3</v>
      </c>
      <c r="AF196" s="129">
        <f t="shared" si="54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2"/>
        <v>0.4</v>
      </c>
      <c r="C197" s="129">
        <v>0.4</v>
      </c>
      <c r="D197" s="129">
        <f t="shared" si="53"/>
        <v>0.4</v>
      </c>
      <c r="E197" s="129">
        <f t="shared" si="53"/>
        <v>0.4</v>
      </c>
      <c r="F197" s="129">
        <f t="shared" si="53"/>
        <v>0.4</v>
      </c>
      <c r="G197" s="129">
        <f t="shared" si="53"/>
        <v>0.4</v>
      </c>
      <c r="H197" s="129">
        <f t="shared" si="53"/>
        <v>0.4</v>
      </c>
      <c r="I197" s="129">
        <f t="shared" si="53"/>
        <v>0.4</v>
      </c>
      <c r="J197" s="129">
        <f t="shared" si="53"/>
        <v>0.4</v>
      </c>
      <c r="K197" s="129">
        <f t="shared" si="53"/>
        <v>0.4</v>
      </c>
      <c r="L197" s="129">
        <f t="shared" si="53"/>
        <v>0.4</v>
      </c>
      <c r="M197" s="129">
        <f t="shared" si="53"/>
        <v>0.4</v>
      </c>
      <c r="N197" s="129">
        <f t="shared" si="53"/>
        <v>0.4</v>
      </c>
      <c r="O197" s="129">
        <f t="shared" si="53"/>
        <v>0.4</v>
      </c>
      <c r="P197" s="129">
        <f t="shared" si="53"/>
        <v>0.4</v>
      </c>
      <c r="Q197" s="129">
        <f t="shared" si="53"/>
        <v>0.4</v>
      </c>
      <c r="R197" s="129">
        <f t="shared" si="53"/>
        <v>0.4</v>
      </c>
      <c r="S197" s="129">
        <f t="shared" si="53"/>
        <v>0.4</v>
      </c>
      <c r="T197" s="129">
        <f t="shared" si="54"/>
        <v>0.4</v>
      </c>
      <c r="U197" s="129">
        <f t="shared" si="54"/>
        <v>0.4</v>
      </c>
      <c r="V197" s="129">
        <f t="shared" si="54"/>
        <v>0.4</v>
      </c>
      <c r="W197" s="129">
        <f t="shared" si="54"/>
        <v>0.4</v>
      </c>
      <c r="X197" s="129">
        <f t="shared" si="54"/>
        <v>0.4</v>
      </c>
      <c r="Y197" s="129">
        <f t="shared" si="54"/>
        <v>0.4</v>
      </c>
      <c r="Z197" s="129">
        <f t="shared" si="54"/>
        <v>0.4</v>
      </c>
      <c r="AA197" s="129">
        <f t="shared" si="54"/>
        <v>0.4</v>
      </c>
      <c r="AB197" s="129">
        <f t="shared" si="54"/>
        <v>0.4</v>
      </c>
      <c r="AC197" s="129">
        <f t="shared" si="54"/>
        <v>0.4</v>
      </c>
      <c r="AD197" s="129">
        <f t="shared" si="54"/>
        <v>0.4</v>
      </c>
      <c r="AE197" s="129">
        <f t="shared" si="54"/>
        <v>0.4</v>
      </c>
      <c r="AF197" s="129">
        <f t="shared" si="54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2"/>
        <v>0.64</v>
      </c>
      <c r="C198" s="139">
        <v>0.64</v>
      </c>
      <c r="D198" s="139">
        <f t="shared" si="53"/>
        <v>0.64</v>
      </c>
      <c r="E198" s="139">
        <f t="shared" si="53"/>
        <v>0.64</v>
      </c>
      <c r="F198" s="139">
        <f t="shared" si="53"/>
        <v>0.64</v>
      </c>
      <c r="G198" s="139">
        <f t="shared" si="53"/>
        <v>0.64</v>
      </c>
      <c r="H198" s="139">
        <f t="shared" si="53"/>
        <v>0.64</v>
      </c>
      <c r="I198" s="139">
        <f t="shared" si="53"/>
        <v>0.64</v>
      </c>
      <c r="J198" s="139">
        <f t="shared" si="53"/>
        <v>0.64</v>
      </c>
      <c r="K198" s="139">
        <f t="shared" si="53"/>
        <v>0.64</v>
      </c>
      <c r="L198" s="139">
        <f t="shared" si="53"/>
        <v>0.64</v>
      </c>
      <c r="M198" s="139">
        <f t="shared" si="53"/>
        <v>0.64</v>
      </c>
      <c r="N198" s="139">
        <f t="shared" si="53"/>
        <v>0.64</v>
      </c>
      <c r="O198" s="139">
        <f t="shared" si="53"/>
        <v>0.64</v>
      </c>
      <c r="P198" s="139">
        <f t="shared" si="53"/>
        <v>0.64</v>
      </c>
      <c r="Q198" s="139">
        <f t="shared" si="53"/>
        <v>0.64</v>
      </c>
      <c r="R198" s="139">
        <f t="shared" si="53"/>
        <v>0.64</v>
      </c>
      <c r="S198" s="139">
        <f t="shared" si="53"/>
        <v>0.64</v>
      </c>
      <c r="T198" s="139">
        <f t="shared" si="54"/>
        <v>0.64</v>
      </c>
      <c r="U198" s="139">
        <f t="shared" si="54"/>
        <v>0.64</v>
      </c>
      <c r="V198" s="139">
        <f t="shared" si="54"/>
        <v>0.64</v>
      </c>
      <c r="W198" s="139">
        <f t="shared" si="54"/>
        <v>0.64</v>
      </c>
      <c r="X198" s="139">
        <f t="shared" si="54"/>
        <v>0.64</v>
      </c>
      <c r="Y198" s="139">
        <f t="shared" si="54"/>
        <v>0.64</v>
      </c>
      <c r="Z198" s="139">
        <f t="shared" si="54"/>
        <v>0.64</v>
      </c>
      <c r="AA198" s="139">
        <f t="shared" si="54"/>
        <v>0.64</v>
      </c>
      <c r="AB198" s="139">
        <f t="shared" si="54"/>
        <v>0.64</v>
      </c>
      <c r="AC198" s="139">
        <f t="shared" si="54"/>
        <v>0.64</v>
      </c>
      <c r="AD198" s="139">
        <f t="shared" si="54"/>
        <v>0.64</v>
      </c>
      <c r="AE198" s="139">
        <f t="shared" si="54"/>
        <v>0.64</v>
      </c>
      <c r="AF198" s="139">
        <f t="shared" si="54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5">SUM(D193:D198)</f>
        <v>3.54</v>
      </c>
      <c r="E199" s="142">
        <f t="shared" si="55"/>
        <v>3.54</v>
      </c>
      <c r="F199" s="142">
        <f t="shared" si="55"/>
        <v>3.54</v>
      </c>
      <c r="G199" s="142">
        <f t="shared" si="55"/>
        <v>3.54</v>
      </c>
      <c r="H199" s="142">
        <f t="shared" si="55"/>
        <v>3.54</v>
      </c>
      <c r="I199" s="142">
        <f t="shared" si="55"/>
        <v>3.54</v>
      </c>
      <c r="J199" s="142">
        <f t="shared" si="55"/>
        <v>3.54</v>
      </c>
      <c r="K199" s="142">
        <f t="shared" si="55"/>
        <v>3.54</v>
      </c>
      <c r="L199" s="142">
        <f t="shared" si="55"/>
        <v>3.54</v>
      </c>
      <c r="M199" s="142">
        <f>SUM(M193:M198)</f>
        <v>3.54</v>
      </c>
      <c r="N199" s="142">
        <f t="shared" ref="N199:S199" si="56">SUM(N193:N198)</f>
        <v>3.54</v>
      </c>
      <c r="O199" s="142">
        <f t="shared" si="56"/>
        <v>3.54</v>
      </c>
      <c r="P199" s="142">
        <f t="shared" si="56"/>
        <v>3.54</v>
      </c>
      <c r="Q199" s="142">
        <f t="shared" si="56"/>
        <v>3.54</v>
      </c>
      <c r="R199" s="142">
        <f t="shared" si="56"/>
        <v>3.54</v>
      </c>
      <c r="S199" s="142">
        <f t="shared" si="56"/>
        <v>3.54</v>
      </c>
      <c r="T199" s="142">
        <f>SUM(T193:T198)</f>
        <v>3.54</v>
      </c>
      <c r="U199" s="142">
        <f t="shared" ref="U199:AG199" si="57">SUM(U193:U198)</f>
        <v>3.54</v>
      </c>
      <c r="V199" s="142">
        <f t="shared" si="57"/>
        <v>3.54</v>
      </c>
      <c r="W199" s="142">
        <f t="shared" si="57"/>
        <v>3.54</v>
      </c>
      <c r="X199" s="142">
        <f t="shared" si="57"/>
        <v>3.54</v>
      </c>
      <c r="Y199" s="142">
        <f t="shared" si="57"/>
        <v>3.54</v>
      </c>
      <c r="Z199" s="142">
        <f t="shared" si="57"/>
        <v>3.54</v>
      </c>
      <c r="AA199" s="142">
        <f t="shared" si="57"/>
        <v>3.54</v>
      </c>
      <c r="AB199" s="142">
        <f t="shared" si="57"/>
        <v>3.54</v>
      </c>
      <c r="AC199" s="142">
        <f t="shared" si="57"/>
        <v>3.54</v>
      </c>
      <c r="AD199" s="142">
        <f t="shared" si="57"/>
        <v>3.54</v>
      </c>
      <c r="AE199" s="142">
        <f t="shared" si="57"/>
        <v>3.54</v>
      </c>
      <c r="AF199" s="142">
        <f t="shared" si="57"/>
        <v>3.54</v>
      </c>
      <c r="AG199" s="143">
        <f t="shared" si="57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1239.74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2078/09/14)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58">B75</f>
        <v>937.04</v>
      </c>
      <c r="U213" s="167">
        <f t="shared" si="58"/>
        <v>870.44</v>
      </c>
      <c r="V213" s="167">
        <f t="shared" si="58"/>
        <v>859.44</v>
      </c>
      <c r="W213" s="167">
        <f t="shared" si="58"/>
        <v>842.44</v>
      </c>
      <c r="X213" s="167">
        <f t="shared" si="58"/>
        <v>845.44</v>
      </c>
      <c r="Y213" s="167">
        <f t="shared" si="58"/>
        <v>849.14</v>
      </c>
      <c r="Z213" s="167">
        <f t="shared" si="58"/>
        <v>898.74</v>
      </c>
      <c r="AA213" s="167">
        <f t="shared" si="58"/>
        <v>957.74</v>
      </c>
      <c r="AB213" s="167">
        <f t="shared" si="58"/>
        <v>1009.74</v>
      </c>
      <c r="AC213" s="167">
        <f t="shared" si="58"/>
        <v>1084.6399999999999</v>
      </c>
      <c r="AD213" s="167">
        <f t="shared" si="58"/>
        <v>1148.74</v>
      </c>
      <c r="AE213" s="167">
        <f t="shared" si="58"/>
        <v>1239.74</v>
      </c>
      <c r="AF213" s="167">
        <f t="shared" si="58"/>
        <v>1230.44</v>
      </c>
      <c r="AG213" s="167">
        <f t="shared" si="58"/>
        <v>1258.44</v>
      </c>
      <c r="AH213" s="167">
        <f t="shared" si="58"/>
        <v>1301.1399999999999</v>
      </c>
      <c r="AI213" s="167">
        <f t="shared" si="58"/>
        <v>1308.74</v>
      </c>
      <c r="AJ213" s="167">
        <f t="shared" si="58"/>
        <v>1260.24</v>
      </c>
      <c r="AK213" s="167">
        <f t="shared" si="58"/>
        <v>1185.8399999999999</v>
      </c>
      <c r="AL213" s="167">
        <f t="shared" si="58"/>
        <v>1178.94</v>
      </c>
      <c r="AM213" s="167">
        <f t="shared" si="58"/>
        <v>1257.1399999999999</v>
      </c>
      <c r="AN213" s="167">
        <f t="shared" si="58"/>
        <v>1252.8399999999999</v>
      </c>
      <c r="AO213" s="167">
        <f t="shared" si="58"/>
        <v>1422.44</v>
      </c>
      <c r="AP213" s="167">
        <f t="shared" si="58"/>
        <v>1446.44</v>
      </c>
      <c r="AQ213" s="167">
        <f t="shared" si="58"/>
        <v>1394.44</v>
      </c>
      <c r="AR213" s="167">
        <f t="shared" si="58"/>
        <v>1316.94</v>
      </c>
      <c r="AS213" s="167">
        <f t="shared" si="58"/>
        <v>1313.1399999999999</v>
      </c>
      <c r="AT213" s="167">
        <f t="shared" si="58"/>
        <v>1261.44</v>
      </c>
      <c r="AU213" s="167">
        <f t="shared" si="58"/>
        <v>1172.1399999999999</v>
      </c>
      <c r="AV213" s="167">
        <f t="shared" si="58"/>
        <v>1117.3399999999999</v>
      </c>
      <c r="AW213" s="167">
        <f t="shared" si="58"/>
        <v>953.04000000000008</v>
      </c>
      <c r="AX213" s="167">
        <f t="shared" si="58"/>
        <v>856.14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59">C198</f>
        <v>0.64</v>
      </c>
      <c r="C234" s="170">
        <f t="shared" si="59"/>
        <v>0.64</v>
      </c>
      <c r="D234" s="170">
        <f t="shared" si="59"/>
        <v>0.64</v>
      </c>
      <c r="E234" s="170">
        <f t="shared" si="59"/>
        <v>0.64</v>
      </c>
      <c r="F234" s="170">
        <f t="shared" si="59"/>
        <v>0.64</v>
      </c>
      <c r="G234" s="170">
        <f t="shared" si="59"/>
        <v>0.64</v>
      </c>
      <c r="H234" s="170">
        <f t="shared" si="59"/>
        <v>0.64</v>
      </c>
      <c r="I234" s="170">
        <f t="shared" si="59"/>
        <v>0.64</v>
      </c>
      <c r="J234" s="170">
        <f t="shared" si="59"/>
        <v>0.64</v>
      </c>
      <c r="K234" s="170">
        <f t="shared" si="59"/>
        <v>0.64</v>
      </c>
      <c r="L234" s="170">
        <f t="shared" si="59"/>
        <v>0.64</v>
      </c>
      <c r="M234" s="170">
        <f t="shared" si="59"/>
        <v>0.64</v>
      </c>
      <c r="N234" s="170">
        <f t="shared" si="59"/>
        <v>0.64</v>
      </c>
      <c r="O234" s="170">
        <f t="shared" si="59"/>
        <v>0.64</v>
      </c>
      <c r="P234" s="170">
        <f t="shared" si="59"/>
        <v>0.64</v>
      </c>
      <c r="Q234" s="170">
        <f t="shared" si="59"/>
        <v>0.64</v>
      </c>
      <c r="R234" s="170">
        <f t="shared" si="59"/>
        <v>0.64</v>
      </c>
      <c r="S234" s="170">
        <f t="shared" si="59"/>
        <v>0.64</v>
      </c>
      <c r="T234" s="170">
        <f t="shared" si="59"/>
        <v>0.64</v>
      </c>
      <c r="U234" s="170">
        <f t="shared" si="59"/>
        <v>0.64</v>
      </c>
      <c r="V234" s="170">
        <f t="shared" si="59"/>
        <v>0.64</v>
      </c>
      <c r="W234" s="170">
        <f t="shared" si="59"/>
        <v>0.64</v>
      </c>
      <c r="X234" s="170">
        <f t="shared" si="59"/>
        <v>0.64</v>
      </c>
      <c r="Y234" s="170">
        <f t="shared" si="59"/>
        <v>0.64</v>
      </c>
      <c r="Z234" s="170">
        <f t="shared" si="59"/>
        <v>0.64</v>
      </c>
      <c r="AA234" s="170">
        <f t="shared" si="59"/>
        <v>0.64</v>
      </c>
      <c r="AB234" s="170">
        <f t="shared" si="59"/>
        <v>0.64</v>
      </c>
      <c r="AC234" s="170">
        <f t="shared" si="59"/>
        <v>0.64</v>
      </c>
      <c r="AD234" s="170">
        <f t="shared" si="59"/>
        <v>0.64</v>
      </c>
      <c r="AE234" s="170">
        <f t="shared" si="59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0">IF(C202&lt;100,"",C202-520)</f>
        <v/>
      </c>
      <c r="D235" s="115" t="str">
        <f t="shared" si="60"/>
        <v/>
      </c>
      <c r="E235" s="115" t="str">
        <f t="shared" si="60"/>
        <v/>
      </c>
      <c r="F235" s="115" t="str">
        <f t="shared" si="60"/>
        <v/>
      </c>
      <c r="G235" s="115" t="str">
        <f t="shared" si="60"/>
        <v/>
      </c>
      <c r="H235" s="115" t="str">
        <f t="shared" si="60"/>
        <v/>
      </c>
      <c r="I235" s="115" t="str">
        <f t="shared" si="60"/>
        <v/>
      </c>
      <c r="J235" s="115" t="str">
        <f t="shared" si="60"/>
        <v/>
      </c>
      <c r="K235" s="115" t="str">
        <f t="shared" si="60"/>
        <v/>
      </c>
      <c r="L235" s="115" t="str">
        <f t="shared" si="60"/>
        <v/>
      </c>
      <c r="M235" s="115" t="str">
        <f t="shared" si="60"/>
        <v/>
      </c>
      <c r="N235" s="115" t="str">
        <f t="shared" si="60"/>
        <v/>
      </c>
      <c r="O235" s="115" t="str">
        <f t="shared" si="60"/>
        <v/>
      </c>
      <c r="P235" s="115" t="str">
        <f t="shared" si="60"/>
        <v/>
      </c>
      <c r="Q235" s="115" t="str">
        <f t="shared" si="60"/>
        <v/>
      </c>
      <c r="R235" s="115" t="str">
        <f t="shared" si="60"/>
        <v/>
      </c>
      <c r="S235" s="115" t="str">
        <f t="shared" si="60"/>
        <v/>
      </c>
      <c r="T235" s="115" t="str">
        <f t="shared" si="60"/>
        <v/>
      </c>
      <c r="U235" s="115" t="str">
        <f t="shared" si="60"/>
        <v/>
      </c>
      <c r="V235" s="115" t="str">
        <f t="shared" si="60"/>
        <v/>
      </c>
      <c r="W235" s="115" t="str">
        <f t="shared" si="60"/>
        <v/>
      </c>
      <c r="X235" s="115" t="str">
        <f t="shared" si="60"/>
        <v/>
      </c>
      <c r="Y235" s="115" t="str">
        <f t="shared" si="60"/>
        <v/>
      </c>
      <c r="Z235" s="115" t="str">
        <f t="shared" si="60"/>
        <v/>
      </c>
      <c r="AA235" s="115" t="str">
        <f t="shared" si="60"/>
        <v/>
      </c>
      <c r="AB235" s="115" t="str">
        <f t="shared" si="60"/>
        <v/>
      </c>
      <c r="AC235" s="115" t="str">
        <f t="shared" si="60"/>
        <v/>
      </c>
      <c r="AD235" s="115" t="str">
        <f t="shared" si="60"/>
        <v/>
      </c>
      <c r="AE235" s="115" t="str">
        <f t="shared" si="60"/>
        <v/>
      </c>
      <c r="AF235" s="115" t="str">
        <f t="shared" si="60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1">IF(B203&lt;100,"",B203-620)</f>
        <v/>
      </c>
      <c r="C236" s="115" t="str">
        <f t="shared" si="61"/>
        <v/>
      </c>
      <c r="D236" s="115" t="str">
        <f t="shared" si="61"/>
        <v/>
      </c>
      <c r="E236" s="115" t="str">
        <f t="shared" si="61"/>
        <v/>
      </c>
      <c r="F236" s="115" t="str">
        <f t="shared" si="61"/>
        <v/>
      </c>
      <c r="G236" s="115" t="str">
        <f t="shared" si="61"/>
        <v/>
      </c>
      <c r="H236" s="115" t="str">
        <f t="shared" si="61"/>
        <v/>
      </c>
      <c r="I236" s="115" t="str">
        <f t="shared" si="61"/>
        <v/>
      </c>
      <c r="J236" s="115" t="str">
        <f t="shared" si="61"/>
        <v/>
      </c>
      <c r="K236" s="115" t="str">
        <f t="shared" si="61"/>
        <v/>
      </c>
      <c r="L236" s="115" t="str">
        <f t="shared" si="61"/>
        <v/>
      </c>
      <c r="M236" s="115" t="str">
        <f t="shared" si="61"/>
        <v/>
      </c>
      <c r="N236" s="115" t="str">
        <f t="shared" si="61"/>
        <v/>
      </c>
      <c r="O236" s="115" t="str">
        <f t="shared" si="61"/>
        <v/>
      </c>
      <c r="P236" s="115" t="str">
        <f t="shared" si="61"/>
        <v/>
      </c>
      <c r="Q236" s="115" t="str">
        <f t="shared" si="61"/>
        <v/>
      </c>
      <c r="R236" s="115" t="str">
        <f t="shared" si="61"/>
        <v/>
      </c>
      <c r="S236" s="115" t="str">
        <f t="shared" si="61"/>
        <v/>
      </c>
      <c r="T236" s="115" t="str">
        <f t="shared" si="61"/>
        <v/>
      </c>
      <c r="U236" s="115" t="str">
        <f t="shared" si="61"/>
        <v/>
      </c>
      <c r="V236" s="115" t="str">
        <f t="shared" si="61"/>
        <v/>
      </c>
      <c r="W236" s="115" t="str">
        <f t="shared" si="61"/>
        <v/>
      </c>
      <c r="X236" s="115" t="str">
        <f t="shared" si="61"/>
        <v/>
      </c>
      <c r="Y236" s="115" t="str">
        <f t="shared" si="61"/>
        <v/>
      </c>
      <c r="Z236" s="115" t="str">
        <f t="shared" si="61"/>
        <v/>
      </c>
      <c r="AA236" s="115" t="str">
        <f t="shared" si="61"/>
        <v/>
      </c>
      <c r="AB236" s="115" t="str">
        <f t="shared" si="61"/>
        <v/>
      </c>
      <c r="AC236" s="115" t="str">
        <f t="shared" si="61"/>
        <v/>
      </c>
      <c r="AD236" s="115" t="str">
        <f t="shared" si="61"/>
        <v/>
      </c>
      <c r="AE236" s="115" t="str">
        <f t="shared" si="61"/>
        <v/>
      </c>
      <c r="AF236" s="115" t="str">
        <f t="shared" si="61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2">IF(B204&lt;100,"",B204-330)</f>
        <v/>
      </c>
      <c r="C237" s="115" t="str">
        <f t="shared" si="62"/>
        <v/>
      </c>
      <c r="D237" s="115" t="str">
        <f t="shared" si="62"/>
        <v/>
      </c>
      <c r="E237" s="115" t="str">
        <f t="shared" si="62"/>
        <v/>
      </c>
      <c r="F237" s="115" t="str">
        <f t="shared" si="62"/>
        <v/>
      </c>
      <c r="G237" s="115" t="str">
        <f t="shared" si="62"/>
        <v/>
      </c>
      <c r="H237" s="115" t="str">
        <f t="shared" si="62"/>
        <v/>
      </c>
      <c r="I237" s="115" t="str">
        <f t="shared" si="62"/>
        <v/>
      </c>
      <c r="J237" s="115" t="str">
        <f t="shared" si="62"/>
        <v/>
      </c>
      <c r="K237" s="115" t="str">
        <f t="shared" si="62"/>
        <v/>
      </c>
      <c r="L237" s="115" t="str">
        <f t="shared" si="62"/>
        <v/>
      </c>
      <c r="M237" s="115" t="str">
        <f t="shared" si="62"/>
        <v/>
      </c>
      <c r="N237" s="115" t="str">
        <f t="shared" si="62"/>
        <v/>
      </c>
      <c r="O237" s="115" t="str">
        <f t="shared" si="62"/>
        <v/>
      </c>
      <c r="P237" s="115" t="str">
        <f t="shared" si="62"/>
        <v/>
      </c>
      <c r="Q237" s="115" t="str">
        <f t="shared" si="62"/>
        <v/>
      </c>
      <c r="R237" s="115" t="str">
        <f t="shared" si="62"/>
        <v/>
      </c>
      <c r="S237" s="115" t="str">
        <f t="shared" si="62"/>
        <v/>
      </c>
      <c r="T237" s="115" t="str">
        <f t="shared" si="62"/>
        <v/>
      </c>
      <c r="U237" s="115" t="str">
        <f t="shared" si="62"/>
        <v/>
      </c>
      <c r="V237" s="115" t="str">
        <f t="shared" si="62"/>
        <v/>
      </c>
      <c r="W237" s="115" t="str">
        <f t="shared" si="62"/>
        <v/>
      </c>
      <c r="X237" s="115" t="str">
        <f t="shared" si="62"/>
        <v/>
      </c>
      <c r="Y237" s="115" t="str">
        <f t="shared" si="62"/>
        <v/>
      </c>
      <c r="Z237" s="115" t="str">
        <f t="shared" si="62"/>
        <v/>
      </c>
      <c r="AA237" s="115" t="str">
        <f t="shared" si="62"/>
        <v/>
      </c>
      <c r="AB237" s="115" t="str">
        <f t="shared" si="62"/>
        <v/>
      </c>
      <c r="AC237" s="115" t="str">
        <f t="shared" si="62"/>
        <v/>
      </c>
      <c r="AD237" s="115" t="str">
        <f t="shared" si="62"/>
        <v/>
      </c>
      <c r="AE237" s="115" t="str">
        <f t="shared" si="62"/>
        <v/>
      </c>
      <c r="AF237" s="115" t="str">
        <f t="shared" si="62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3">IF(C205&lt;100,"",C205-1500)</f>
        <v/>
      </c>
      <c r="D238" s="115" t="str">
        <f t="shared" si="63"/>
        <v/>
      </c>
      <c r="E238" s="115" t="str">
        <f t="shared" si="63"/>
        <v/>
      </c>
      <c r="F238" s="115" t="str">
        <f t="shared" si="63"/>
        <v/>
      </c>
      <c r="G238" s="115" t="str">
        <f t="shared" si="63"/>
        <v/>
      </c>
      <c r="H238" s="115" t="str">
        <f t="shared" si="63"/>
        <v/>
      </c>
      <c r="I238" s="115" t="str">
        <f t="shared" si="63"/>
        <v/>
      </c>
      <c r="J238" s="115" t="str">
        <f t="shared" si="63"/>
        <v/>
      </c>
      <c r="K238" s="115" t="str">
        <f t="shared" si="63"/>
        <v/>
      </c>
      <c r="L238" s="115" t="str">
        <f t="shared" si="63"/>
        <v/>
      </c>
      <c r="M238" s="115" t="str">
        <f t="shared" si="63"/>
        <v/>
      </c>
      <c r="N238" s="115" t="str">
        <f t="shared" si="63"/>
        <v/>
      </c>
      <c r="O238" s="115" t="str">
        <f t="shared" si="63"/>
        <v/>
      </c>
      <c r="P238" s="115" t="str">
        <f t="shared" si="63"/>
        <v/>
      </c>
      <c r="Q238" s="115" t="str">
        <f t="shared" si="63"/>
        <v/>
      </c>
      <c r="R238" s="115" t="str">
        <f t="shared" si="63"/>
        <v/>
      </c>
      <c r="S238" s="115" t="str">
        <f t="shared" si="63"/>
        <v/>
      </c>
      <c r="T238" s="115" t="str">
        <f t="shared" si="63"/>
        <v/>
      </c>
      <c r="U238" s="115" t="str">
        <f t="shared" si="63"/>
        <v/>
      </c>
      <c r="V238" s="115" t="str">
        <f t="shared" si="63"/>
        <v/>
      </c>
      <c r="W238" s="115" t="str">
        <f t="shared" si="63"/>
        <v/>
      </c>
      <c r="X238" s="115" t="str">
        <f t="shared" si="63"/>
        <v/>
      </c>
      <c r="Y238" s="115" t="str">
        <f t="shared" si="63"/>
        <v/>
      </c>
      <c r="Z238" s="115" t="str">
        <f t="shared" si="63"/>
        <v/>
      </c>
      <c r="AA238" s="115" t="str">
        <f t="shared" si="63"/>
        <v/>
      </c>
      <c r="AB238" s="115" t="str">
        <f t="shared" si="63"/>
        <v/>
      </c>
      <c r="AC238" s="115" t="str">
        <f t="shared" si="63"/>
        <v/>
      </c>
      <c r="AD238" s="115" t="str">
        <f t="shared" si="63"/>
        <v/>
      </c>
      <c r="AE238" s="115" t="str">
        <f t="shared" si="63"/>
        <v/>
      </c>
      <c r="AF238" s="115" t="str">
        <f t="shared" si="63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P39:R39 P40:Q42 R42 P12:P14 R40:T41 X85:AA91 AB81:AF81 B81:R81 C56:AF56 B82:AF83 D193:AF199 B193:B199 C68:AF72 B84:B91 B73:AF80 B9:AF10 B191:AF191 AF57:AF67 B53:B72 AG73 B94:B99 U212:AF212 B36:L36 M39:O42 C57:O67 M11:P11 U11:AE11 Q11:T14 U12:W14 N45:W48 P58:W67 U40:Z42 X18:AA30 Z40:AE43 M53:AF55 AB12:AE14 AF13:AF14 AB28:AF31 X36:AF36 AB16:AF26 AB84:AF91 AB94:AF99">
    <cfRule type="expression" dxfId="5520" priority="274">
      <formula>B$9&gt;=20/24</formula>
    </cfRule>
    <cfRule type="expression" dxfId="5519" priority="275">
      <formula>AND(B$9&gt;=14/24,B$9&lt;20/24)</formula>
    </cfRule>
    <cfRule type="expression" dxfId="5518" priority="276">
      <formula>AND(B$9&gt;=8/24,B$9&lt;14/24)</formula>
    </cfRule>
    <cfRule type="expression" dxfId="5517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P57:W57">
    <cfRule type="expression" dxfId="5516" priority="269">
      <formula>P$9&gt;=20/24</formula>
    </cfRule>
    <cfRule type="expression" dxfId="5515" priority="270">
      <formula>AND(P$9&gt;=14/24,P$9&lt;20/24)</formula>
    </cfRule>
    <cfRule type="expression" dxfId="5514" priority="271">
      <formula>AND(P$9&gt;=8/24,P$9&lt;14/24)</formula>
    </cfRule>
    <cfRule type="expression" dxfId="5513" priority="272">
      <formula>P$9&lt;8/24</formula>
    </cfRule>
  </conditionalFormatting>
  <conditionalFormatting sqref="M43:R43">
    <cfRule type="expression" dxfId="5512" priority="265">
      <formula>M$9&gt;=20/24</formula>
    </cfRule>
    <cfRule type="expression" dxfId="5511" priority="266">
      <formula>AND(M$9&gt;=14/24,M$9&lt;20/24)</formula>
    </cfRule>
    <cfRule type="expression" dxfId="5510" priority="267">
      <formula>AND(M$9&gt;=8/24,M$9&lt;14/24)</formula>
    </cfRule>
    <cfRule type="expression" dxfId="5509" priority="268">
      <formula>M$9&lt;8/24</formula>
    </cfRule>
  </conditionalFormatting>
  <conditionalFormatting sqref="AB32:AF32">
    <cfRule type="expression" dxfId="5508" priority="261">
      <formula>AB$9&gt;=20/24</formula>
    </cfRule>
    <cfRule type="expression" dxfId="5507" priority="262">
      <formula>AND(AB$9&gt;=14/24,AB$9&lt;20/24)</formula>
    </cfRule>
    <cfRule type="expression" dxfId="5506" priority="263">
      <formula>AND(AB$9&gt;=8/24,AB$9&lt;14/24)</formula>
    </cfRule>
    <cfRule type="expression" dxfId="5505" priority="264">
      <formula>AB$9&lt;8/24</formula>
    </cfRule>
  </conditionalFormatting>
  <conditionalFormatting sqref="S39:AE39">
    <cfRule type="expression" dxfId="5504" priority="257">
      <formula>S$9&gt;=20/24</formula>
    </cfRule>
    <cfRule type="expression" dxfId="5503" priority="258">
      <formula>AND(S$9&gt;=14/24,S$9&lt;20/24)</formula>
    </cfRule>
    <cfRule type="expression" dxfId="5502" priority="259">
      <formula>AND(S$9&gt;=8/24,S$9&lt;14/24)</formula>
    </cfRule>
    <cfRule type="expression" dxfId="5501" priority="260">
      <formula>S$9&lt;8/24</formula>
    </cfRule>
  </conditionalFormatting>
  <conditionalFormatting sqref="X57:AE57">
    <cfRule type="expression" dxfId="5500" priority="253">
      <formula>X$9&gt;=20/24</formula>
    </cfRule>
    <cfRule type="expression" dxfId="5499" priority="254">
      <formula>AND(X$9&gt;=14/24,X$9&lt;20/24)</formula>
    </cfRule>
    <cfRule type="expression" dxfId="5498" priority="255">
      <formula>AND(X$9&gt;=8/24,X$9&lt;14/24)</formula>
    </cfRule>
    <cfRule type="expression" dxfId="5497" priority="256">
      <formula>X$9&lt;8/24</formula>
    </cfRule>
  </conditionalFormatting>
  <conditionalFormatting sqref="S81:AA81">
    <cfRule type="expression" dxfId="5496" priority="249">
      <formula>S$9&gt;=20/24</formula>
    </cfRule>
    <cfRule type="expression" dxfId="5495" priority="250">
      <formula>AND(S$9&gt;=14/24,S$9&lt;20/24)</formula>
    </cfRule>
    <cfRule type="expression" dxfId="5494" priority="251">
      <formula>AND(S$9&gt;=8/24,S$9&lt;14/24)</formula>
    </cfRule>
    <cfRule type="expression" dxfId="5493" priority="252">
      <formula>S$9&lt;8/24</formula>
    </cfRule>
  </conditionalFormatting>
  <conditionalFormatting sqref="U84:AA84">
    <cfRule type="expression" dxfId="5492" priority="245">
      <formula>U$9&gt;=20/24</formula>
    </cfRule>
    <cfRule type="expression" dxfId="5491" priority="246">
      <formula>AND(U$9&gt;=14/24,U$9&lt;20/24)</formula>
    </cfRule>
    <cfRule type="expression" dxfId="5490" priority="247">
      <formula>AND(U$9&gt;=8/24,U$9&lt;14/24)</formula>
    </cfRule>
    <cfRule type="expression" dxfId="5489" priority="248">
      <formula>U$9&lt;8/24</formula>
    </cfRule>
  </conditionalFormatting>
  <conditionalFormatting sqref="M49:W49">
    <cfRule type="expression" dxfId="5488" priority="237">
      <formula>M$9&gt;=20/24</formula>
    </cfRule>
    <cfRule type="expression" dxfId="5487" priority="238">
      <formula>AND(M$9&gt;=14/24,M$9&lt;20/24)</formula>
    </cfRule>
    <cfRule type="expression" dxfId="5486" priority="239">
      <formula>AND(M$9&gt;=8/24,M$9&lt;14/24)</formula>
    </cfRule>
    <cfRule type="expression" dxfId="5485" priority="240">
      <formula>M$9&lt;8/24</formula>
    </cfRule>
  </conditionalFormatting>
  <conditionalFormatting sqref="M50:W50">
    <cfRule type="expression" dxfId="5484" priority="233">
      <formula>M$9&gt;=20/24</formula>
    </cfRule>
    <cfRule type="expression" dxfId="5483" priority="234">
      <formula>AND(M$9&gt;=14/24,M$9&lt;20/24)</formula>
    </cfRule>
    <cfRule type="expression" dxfId="5482" priority="235">
      <formula>AND(M$9&gt;=8/24,M$9&lt;14/24)</formula>
    </cfRule>
    <cfRule type="expression" dxfId="5481" priority="236">
      <formula>M$9&lt;8/24</formula>
    </cfRule>
  </conditionalFormatting>
  <conditionalFormatting sqref="M45:W48">
    <cfRule type="expression" dxfId="5480" priority="229">
      <formula>M$9&gt;=20/24</formula>
    </cfRule>
    <cfRule type="expression" dxfId="5479" priority="230">
      <formula>AND(M$9&gt;=14/24,M$9&lt;20/24)</formula>
    </cfRule>
    <cfRule type="expression" dxfId="5478" priority="231">
      <formula>AND(M$9&gt;=8/24,M$9&lt;14/24)</formula>
    </cfRule>
    <cfRule type="expression" dxfId="5477" priority="232">
      <formula>M$9&lt;8/24</formula>
    </cfRule>
  </conditionalFormatting>
  <conditionalFormatting sqref="X37:AE37">
    <cfRule type="expression" dxfId="5476" priority="225">
      <formula>X$9&gt;=20/24</formula>
    </cfRule>
    <cfRule type="expression" dxfId="5475" priority="226">
      <formula>AND(X$9&gt;=14/24,X$9&lt;20/24)</formula>
    </cfRule>
    <cfRule type="expression" dxfId="5474" priority="227">
      <formula>AND(X$9&gt;=8/24,X$9&lt;14/24)</formula>
    </cfRule>
    <cfRule type="expression" dxfId="5473" priority="228">
      <formula>X$9&lt;8/24</formula>
    </cfRule>
  </conditionalFormatting>
  <conditionalFormatting sqref="X31:AA32 X35:AF35">
    <cfRule type="expression" dxfId="5472" priority="221">
      <formula>X$9&gt;=20/24</formula>
    </cfRule>
    <cfRule type="expression" dxfId="5471" priority="222">
      <formula>AND(X$9&gt;=14/24,X$9&lt;20/24)</formula>
    </cfRule>
    <cfRule type="expression" dxfId="5470" priority="223">
      <formula>AND(X$9&gt;=8/24,X$9&lt;14/24)</formula>
    </cfRule>
    <cfRule type="expression" dxfId="5469" priority="224">
      <formula>X$9&lt;8/24</formula>
    </cfRule>
  </conditionalFormatting>
  <conditionalFormatting sqref="S42:T43 T43:AA43 S45:AE48">
    <cfRule type="expression" dxfId="5468" priority="217">
      <formula>S$9&gt;=20/24</formula>
    </cfRule>
    <cfRule type="expression" dxfId="5467" priority="218">
      <formula>AND(S$9&gt;=14/24,S$9&lt;20/24)</formula>
    </cfRule>
    <cfRule type="expression" dxfId="5466" priority="219">
      <formula>AND(S$9&gt;=8/24,S$9&lt;14/24)</formula>
    </cfRule>
    <cfRule type="expression" dxfId="5465" priority="220">
      <formula>S$9&lt;8/24</formula>
    </cfRule>
  </conditionalFormatting>
  <conditionalFormatting sqref="S49:AE49">
    <cfRule type="expression" dxfId="5464" priority="213">
      <formula>S$9&gt;=20/24</formula>
    </cfRule>
    <cfRule type="expression" dxfId="5463" priority="214">
      <formula>AND(S$9&gt;=14/24,S$9&lt;20/24)</formula>
    </cfRule>
    <cfRule type="expression" dxfId="5462" priority="215">
      <formula>AND(S$9&gt;=8/24,S$9&lt;14/24)</formula>
    </cfRule>
    <cfRule type="expression" dxfId="5461" priority="216">
      <formula>S$9&lt;8/24</formula>
    </cfRule>
  </conditionalFormatting>
  <conditionalFormatting sqref="S50:AE50">
    <cfRule type="expression" dxfId="5460" priority="209">
      <formula>S$9&gt;=20/24</formula>
    </cfRule>
    <cfRule type="expression" dxfId="5459" priority="210">
      <formula>AND(S$9&gt;=14/24,S$9&lt;20/24)</formula>
    </cfRule>
    <cfRule type="expression" dxfId="5458" priority="211">
      <formula>AND(S$9&gt;=8/24,S$9&lt;14/24)</formula>
    </cfRule>
    <cfRule type="expression" dxfId="5457" priority="212">
      <formula>S$9&lt;8/24</formula>
    </cfRule>
  </conditionalFormatting>
  <conditionalFormatting sqref="X60:AE67">
    <cfRule type="expression" dxfId="5456" priority="205">
      <formula>X$9&gt;=20/24</formula>
    </cfRule>
    <cfRule type="expression" dxfId="5455" priority="206">
      <formula>AND(X$9&gt;=14/24,X$9&lt;20/24)</formula>
    </cfRule>
    <cfRule type="expression" dxfId="5454" priority="207">
      <formula>AND(X$9&gt;=8/24,X$9&lt;14/24)</formula>
    </cfRule>
    <cfRule type="expression" dxfId="5453" priority="208">
      <formula>X$9&lt;8/24</formula>
    </cfRule>
  </conditionalFormatting>
  <conditionalFormatting sqref="U94:AA97">
    <cfRule type="expression" dxfId="5452" priority="197">
      <formula>U$9&gt;=20/24</formula>
    </cfRule>
    <cfRule type="expression" dxfId="5451" priority="198">
      <formula>AND(U$9&gt;=14/24,U$9&lt;20/24)</formula>
    </cfRule>
    <cfRule type="expression" dxfId="5450" priority="199">
      <formula>AND(U$9&gt;=8/24,U$9&lt;14/24)</formula>
    </cfRule>
    <cfRule type="expression" dxfId="5449" priority="200">
      <formula>U$9&lt;8/24</formula>
    </cfRule>
  </conditionalFormatting>
  <conditionalFormatting sqref="AG51 P12:P14 B11:B32 C12:L32 B34:L37 C11:P11 U11:AF11 Q11:T14 U12:W14 AB12:AF12 X18:AE32 B38:AF56 AB13:AE17 X34:AF37 AF13:AF32">
    <cfRule type="expression" dxfId="5448" priority="196">
      <formula>B11&gt;$AG11</formula>
    </cfRule>
  </conditionalFormatting>
  <conditionalFormatting sqref="A100:A156 A84:A97 A11:A14 A16:A32 A45:A72 A80:A82 A74:A78 A35:A43 A169:A199">
    <cfRule type="expression" dxfId="5447" priority="195">
      <formula>$AH11=0</formula>
    </cfRule>
  </conditionalFormatting>
  <conditionalFormatting sqref="U98:AA98">
    <cfRule type="expression" dxfId="5446" priority="191">
      <formula>U$9&gt;=20/24</formula>
    </cfRule>
    <cfRule type="expression" dxfId="5445" priority="192">
      <formula>AND(U$9&gt;=14/24,U$9&lt;20/24)</formula>
    </cfRule>
    <cfRule type="expression" dxfId="5444" priority="193">
      <formula>AND(U$9&gt;=8/24,U$9&lt;14/24)</formula>
    </cfRule>
    <cfRule type="expression" dxfId="5443" priority="194">
      <formula>U$9&lt;8/24</formula>
    </cfRule>
  </conditionalFormatting>
  <conditionalFormatting sqref="A98">
    <cfRule type="expression" dxfId="5442" priority="190">
      <formula>$AH98=0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5441" priority="173">
      <formula>AB$9&gt;=20/24</formula>
    </cfRule>
    <cfRule type="expression" dxfId="5440" priority="174">
      <formula>AND(AB$9&gt;=14/24,AB$9&lt;20/24)</formula>
    </cfRule>
    <cfRule type="expression" dxfId="5439" priority="175">
      <formula>AND(AB$9&gt;=8/24,AB$9&lt;14/24)</formula>
    </cfRule>
    <cfRule type="expression" dxfId="5438" priority="176">
      <formula>AB$9&lt;8/24</formula>
    </cfRule>
  </conditionalFormatting>
  <conditionalFormatting sqref="X34:AA34">
    <cfRule type="expression" dxfId="5437" priority="165">
      <formula>X$9&gt;=20/24</formula>
    </cfRule>
    <cfRule type="expression" dxfId="5436" priority="166">
      <formula>AND(X$9&gt;=14/24,X$9&lt;20/24)</formula>
    </cfRule>
    <cfRule type="expression" dxfId="5435" priority="167">
      <formula>AND(X$9&gt;=8/24,X$9&lt;14/24)</formula>
    </cfRule>
    <cfRule type="expression" dxfId="5434" priority="168">
      <formula>X$9&lt;8/24</formula>
    </cfRule>
  </conditionalFormatting>
  <conditionalFormatting sqref="A34">
    <cfRule type="expression" dxfId="5433" priority="164">
      <formula>$AH34=0</formula>
    </cfRule>
  </conditionalFormatting>
  <conditionalFormatting sqref="A83">
    <cfRule type="expression" dxfId="5432" priority="163">
      <formula>$AH83=0</formula>
    </cfRule>
  </conditionalFormatting>
  <conditionalFormatting sqref="AB15:AF15">
    <cfRule type="expression" dxfId="5431" priority="159">
      <formula>AB$9&gt;=20/24</formula>
    </cfRule>
    <cfRule type="expression" dxfId="5430" priority="160">
      <formula>AND(AB$9&gt;=14/24,AB$9&lt;20/24)</formula>
    </cfRule>
    <cfRule type="expression" dxfId="5429" priority="161">
      <formula>AND(AB$9&gt;=8/24,AB$9&lt;14/24)</formula>
    </cfRule>
    <cfRule type="expression" dxfId="5428" priority="162">
      <formula>AB$9&lt;8/24</formula>
    </cfRule>
  </conditionalFormatting>
  <conditionalFormatting sqref="A15">
    <cfRule type="expression" dxfId="5427" priority="153">
      <formula>$AH15=0</formula>
    </cfRule>
  </conditionalFormatting>
  <conditionalFormatting sqref="A163:A168">
    <cfRule type="expression" dxfId="5426" priority="152">
      <formula>$AH163=0</formula>
    </cfRule>
  </conditionalFormatting>
  <conditionalFormatting sqref="A157:A162">
    <cfRule type="expression" dxfId="5425" priority="151">
      <formula>$AH157=0</formula>
    </cfRule>
  </conditionalFormatting>
  <conditionalFormatting sqref="Z44:AE44">
    <cfRule type="expression" dxfId="5424" priority="147">
      <formula>Z$9&gt;=20/24</formula>
    </cfRule>
    <cfRule type="expression" dxfId="5423" priority="148">
      <formula>AND(Z$9&gt;=14/24,Z$9&lt;20/24)</formula>
    </cfRule>
    <cfRule type="expression" dxfId="5422" priority="149">
      <formula>AND(Z$9&gt;=8/24,Z$9&lt;14/24)</formula>
    </cfRule>
    <cfRule type="expression" dxfId="5421" priority="150">
      <formula>Z$9&lt;8/24</formula>
    </cfRule>
  </conditionalFormatting>
  <conditionalFormatting sqref="M44:W44">
    <cfRule type="expression" dxfId="5420" priority="143">
      <formula>M$9&gt;=20/24</formula>
    </cfRule>
    <cfRule type="expression" dxfId="5419" priority="144">
      <formula>AND(M$9&gt;=14/24,M$9&lt;20/24)</formula>
    </cfRule>
    <cfRule type="expression" dxfId="5418" priority="145">
      <formula>AND(M$9&gt;=8/24,M$9&lt;14/24)</formula>
    </cfRule>
    <cfRule type="expression" dxfId="5417" priority="146">
      <formula>M$9&lt;8/24</formula>
    </cfRule>
  </conditionalFormatting>
  <conditionalFormatting sqref="S44:AA44">
    <cfRule type="expression" dxfId="5416" priority="139">
      <formula>S$9&gt;=20/24</formula>
    </cfRule>
    <cfRule type="expression" dxfId="5415" priority="140">
      <formula>AND(S$9&gt;=14/24,S$9&lt;20/24)</formula>
    </cfRule>
    <cfRule type="expression" dxfId="5414" priority="141">
      <formula>AND(S$9&gt;=8/24,S$9&lt;14/24)</formula>
    </cfRule>
    <cfRule type="expression" dxfId="5413" priority="142">
      <formula>S$9&lt;8/24</formula>
    </cfRule>
  </conditionalFormatting>
  <conditionalFormatting sqref="A44">
    <cfRule type="expression" dxfId="5412" priority="138">
      <formula>$AH44=0</formula>
    </cfRule>
  </conditionalFormatting>
  <conditionalFormatting sqref="A79">
    <cfRule type="expression" dxfId="5411" priority="137">
      <formula>$AH79=0</formula>
    </cfRule>
  </conditionalFormatting>
  <conditionalFormatting sqref="A73">
    <cfRule type="expression" dxfId="5410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5409" priority="128">
      <formula>U$9&gt;=20/24</formula>
    </cfRule>
    <cfRule type="expression" dxfId="5408" priority="129">
      <formula>AND(U$9&gt;=14/24,U$9&lt;20/24)</formula>
    </cfRule>
    <cfRule type="expression" dxfId="5407" priority="130">
      <formula>AND(U$9&gt;=8/24,U$9&lt;14/24)</formula>
    </cfRule>
    <cfRule type="expression" dxfId="5406" priority="131">
      <formula>U$9&lt;8/24</formula>
    </cfRule>
  </conditionalFormatting>
  <conditionalFormatting sqref="S85:T91 C84:R91">
    <cfRule type="expression" dxfId="5405" priority="124">
      <formula>C$9&gt;=20/24</formula>
    </cfRule>
    <cfRule type="expression" dxfId="5404" priority="125">
      <formula>AND(C$9&gt;=14/24,C$9&lt;20/24)</formula>
    </cfRule>
    <cfRule type="expression" dxfId="5403" priority="126">
      <formula>AND(C$9&gt;=8/24,C$9&lt;14/24)</formula>
    </cfRule>
    <cfRule type="expression" dxfId="5402" priority="127">
      <formula>C$9&lt;8/24</formula>
    </cfRule>
  </conditionalFormatting>
  <conditionalFormatting sqref="S84:T84">
    <cfRule type="expression" dxfId="5401" priority="120">
      <formula>S$9&gt;=20/24</formula>
    </cfRule>
    <cfRule type="expression" dxfId="5400" priority="121">
      <formula>AND(S$9&gt;=14/24,S$9&lt;20/24)</formula>
    </cfRule>
    <cfRule type="expression" dxfId="5399" priority="122">
      <formula>AND(S$9&gt;=8/24,S$9&lt;14/24)</formula>
    </cfRule>
    <cfRule type="expression" dxfId="5398" priority="123">
      <formula>S$9&lt;8/24</formula>
    </cfRule>
  </conditionalFormatting>
  <conditionalFormatting sqref="E94:F94 E95:M97 C94:D97">
    <cfRule type="expression" dxfId="5397" priority="116">
      <formula>C$9&gt;=20/24</formula>
    </cfRule>
    <cfRule type="expression" dxfId="5396" priority="117">
      <formula>AND(C$9&gt;=14/24,C$9&lt;20/24)</formula>
    </cfRule>
    <cfRule type="expression" dxfId="5395" priority="118">
      <formula>AND(C$9&gt;=8/24,C$9&lt;14/24)</formula>
    </cfRule>
    <cfRule type="expression" dxfId="5394" priority="119">
      <formula>C$9&lt;8/24</formula>
    </cfRule>
  </conditionalFormatting>
  <conditionalFormatting sqref="N95:R97 O94:R94">
    <cfRule type="expression" dxfId="5393" priority="112">
      <formula>N$9&gt;=20/24</formula>
    </cfRule>
    <cfRule type="expression" dxfId="5392" priority="113">
      <formula>AND(N$9&gt;=14/24,N$9&lt;20/24)</formula>
    </cfRule>
    <cfRule type="expression" dxfId="5391" priority="114">
      <formula>AND(N$9&gt;=8/24,N$9&lt;14/24)</formula>
    </cfRule>
    <cfRule type="expression" dxfId="5390" priority="115">
      <formula>N$9&lt;8/24</formula>
    </cfRule>
  </conditionalFormatting>
  <conditionalFormatting sqref="S94:T97">
    <cfRule type="expression" dxfId="5389" priority="108">
      <formula>S$9&gt;=20/24</formula>
    </cfRule>
    <cfRule type="expression" dxfId="5388" priority="109">
      <formula>AND(S$9&gt;=14/24,S$9&lt;20/24)</formula>
    </cfRule>
    <cfRule type="expression" dxfId="5387" priority="110">
      <formula>AND(S$9&gt;=8/24,S$9&lt;14/24)</formula>
    </cfRule>
    <cfRule type="expression" dxfId="5386" priority="111">
      <formula>S$9&lt;8/24</formula>
    </cfRule>
  </conditionalFormatting>
  <conditionalFormatting sqref="C98:M98">
    <cfRule type="expression" dxfId="5385" priority="104">
      <formula>C$9&gt;=20/24</formula>
    </cfRule>
    <cfRule type="expression" dxfId="5384" priority="105">
      <formula>AND(C$9&gt;=14/24,C$9&lt;20/24)</formula>
    </cfRule>
    <cfRule type="expression" dxfId="5383" priority="106">
      <formula>AND(C$9&gt;=8/24,C$9&lt;14/24)</formula>
    </cfRule>
    <cfRule type="expression" dxfId="5382" priority="107">
      <formula>C$9&lt;8/24</formula>
    </cfRule>
  </conditionalFormatting>
  <conditionalFormatting sqref="N98:R98">
    <cfRule type="expression" dxfId="5381" priority="100">
      <formula>N$9&gt;=20/24</formula>
    </cfRule>
    <cfRule type="expression" dxfId="5380" priority="101">
      <formula>AND(N$9&gt;=14/24,N$9&lt;20/24)</formula>
    </cfRule>
    <cfRule type="expression" dxfId="5379" priority="102">
      <formula>AND(N$9&gt;=8/24,N$9&lt;14/24)</formula>
    </cfRule>
    <cfRule type="expression" dxfId="5378" priority="103">
      <formula>N$9&lt;8/24</formula>
    </cfRule>
  </conditionalFormatting>
  <conditionalFormatting sqref="S98:T98">
    <cfRule type="expression" dxfId="5377" priority="96">
      <formula>S$9&gt;=20/24</formula>
    </cfRule>
    <cfRule type="expression" dxfId="5376" priority="97">
      <formula>AND(S$9&gt;=14/24,S$9&lt;20/24)</formula>
    </cfRule>
    <cfRule type="expression" dxfId="5375" priority="98">
      <formula>AND(S$9&gt;=8/24,S$9&lt;14/24)</formula>
    </cfRule>
    <cfRule type="expression" dxfId="5374" priority="99">
      <formula>S$9&lt;8/24</formula>
    </cfRule>
  </conditionalFormatting>
  <conditionalFormatting sqref="M94:N94">
    <cfRule type="expression" dxfId="5373" priority="92">
      <formula>M$9&gt;=20/24</formula>
    </cfRule>
    <cfRule type="expression" dxfId="5372" priority="93">
      <formula>AND(M$9&gt;=14/24,M$9&lt;20/24)</formula>
    </cfRule>
    <cfRule type="expression" dxfId="5371" priority="94">
      <formula>AND(M$9&gt;=8/24,M$9&lt;14/24)</formula>
    </cfRule>
    <cfRule type="expression" dxfId="5370" priority="95">
      <formula>M$9&lt;8/24</formula>
    </cfRule>
  </conditionalFormatting>
  <conditionalFormatting sqref="G94:L94">
    <cfRule type="expression" dxfId="5369" priority="88">
      <formula>G$9&gt;=20/24</formula>
    </cfRule>
    <cfRule type="expression" dxfId="5368" priority="89">
      <formula>AND(G$9&gt;=14/24,G$9&lt;20/24)</formula>
    </cfRule>
    <cfRule type="expression" dxfId="5367" priority="90">
      <formula>AND(G$9&gt;=8/24,G$9&lt;14/24)</formula>
    </cfRule>
    <cfRule type="expression" dxfId="5366" priority="91">
      <formula>G$9&lt;8/24</formula>
    </cfRule>
  </conditionalFormatting>
  <conditionalFormatting sqref="U94:W94">
    <cfRule type="expression" dxfId="5365" priority="84">
      <formula>U$9&gt;=20/24</formula>
    </cfRule>
    <cfRule type="expression" dxfId="5364" priority="85">
      <formula>AND(U$9&gt;=14/24,U$9&lt;20/24)</formula>
    </cfRule>
    <cfRule type="expression" dxfId="5363" priority="86">
      <formula>AND(U$9&gt;=8/24,U$9&lt;14/24)</formula>
    </cfRule>
    <cfRule type="expression" dxfId="5362" priority="87">
      <formula>U$9&lt;8/24</formula>
    </cfRule>
  </conditionalFormatting>
  <conditionalFormatting sqref="N94:T94">
    <cfRule type="expression" dxfId="5361" priority="80">
      <formula>N$9&gt;=20/24</formula>
    </cfRule>
    <cfRule type="expression" dxfId="5360" priority="81">
      <formula>AND(N$9&gt;=14/24,N$9&lt;20/24)</formula>
    </cfRule>
    <cfRule type="expression" dxfId="5359" priority="82">
      <formula>AND(N$9&gt;=8/24,N$9&lt;14/24)</formula>
    </cfRule>
    <cfRule type="expression" dxfId="5358" priority="83">
      <formula>N$9&lt;8/24</formula>
    </cfRule>
  </conditionalFormatting>
  <conditionalFormatting sqref="U99:AA99">
    <cfRule type="expression" dxfId="5357" priority="76">
      <formula>U$9&gt;=20/24</formula>
    </cfRule>
    <cfRule type="expression" dxfId="5356" priority="77">
      <formula>AND(U$9&gt;=14/24,U$9&lt;20/24)</formula>
    </cfRule>
    <cfRule type="expression" dxfId="5355" priority="78">
      <formula>AND(U$9&gt;=8/24,U$9&lt;14/24)</formula>
    </cfRule>
    <cfRule type="expression" dxfId="5354" priority="79">
      <formula>U$9&lt;8/24</formula>
    </cfRule>
  </conditionalFormatting>
  <conditionalFormatting sqref="C99:M99">
    <cfRule type="expression" dxfId="5353" priority="72">
      <formula>C$9&gt;=20/24</formula>
    </cfRule>
    <cfRule type="expression" dxfId="5352" priority="73">
      <formula>AND(C$9&gt;=14/24,C$9&lt;20/24)</formula>
    </cfRule>
    <cfRule type="expression" dxfId="5351" priority="74">
      <formula>AND(C$9&gt;=8/24,C$9&lt;14/24)</formula>
    </cfRule>
    <cfRule type="expression" dxfId="5350" priority="75">
      <formula>C$9&lt;8/24</formula>
    </cfRule>
  </conditionalFormatting>
  <conditionalFormatting sqref="N99:R99">
    <cfRule type="expression" dxfId="5349" priority="68">
      <formula>N$9&gt;=20/24</formula>
    </cfRule>
    <cfRule type="expression" dxfId="5348" priority="69">
      <formula>AND(N$9&gt;=14/24,N$9&lt;20/24)</formula>
    </cfRule>
    <cfRule type="expression" dxfId="5347" priority="70">
      <formula>AND(N$9&gt;=8/24,N$9&lt;14/24)</formula>
    </cfRule>
    <cfRule type="expression" dxfId="5346" priority="71">
      <formula>N$9&lt;8/24</formula>
    </cfRule>
  </conditionalFormatting>
  <conditionalFormatting sqref="S99:T99">
    <cfRule type="expression" dxfId="5345" priority="64">
      <formula>S$9&gt;=20/24</formula>
    </cfRule>
    <cfRule type="expression" dxfId="5344" priority="65">
      <formula>AND(S$9&gt;=14/24,S$9&lt;20/24)</formula>
    </cfRule>
    <cfRule type="expression" dxfId="5343" priority="66">
      <formula>AND(S$9&gt;=8/24,S$9&lt;14/24)</formula>
    </cfRule>
    <cfRule type="expression" dxfId="5342" priority="67">
      <formula>S$9&lt;8/24</formula>
    </cfRule>
  </conditionalFormatting>
  <conditionalFormatting sqref="X12:AA16">
    <cfRule type="expression" dxfId="5341" priority="60">
      <formula>X$9&gt;=20/24</formula>
    </cfRule>
    <cfRule type="expression" dxfId="5340" priority="61">
      <formula>AND(X$9&gt;=14/24,X$9&lt;20/24)</formula>
    </cfRule>
    <cfRule type="expression" dxfId="5339" priority="62">
      <formula>AND(X$9&gt;=8/24,X$9&lt;14/24)</formula>
    </cfRule>
    <cfRule type="expression" dxfId="5338" priority="63">
      <formula>X$9&lt;8/24</formula>
    </cfRule>
  </conditionalFormatting>
  <conditionalFormatting sqref="X17:AA17">
    <cfRule type="expression" dxfId="5337" priority="56">
      <formula>X$9&gt;=20/24</formula>
    </cfRule>
    <cfRule type="expression" dxfId="5336" priority="57">
      <formula>AND(X$9&gt;=14/24,X$9&lt;20/24)</formula>
    </cfRule>
    <cfRule type="expression" dxfId="5335" priority="58">
      <formula>AND(X$9&gt;=8/24,X$9&lt;14/24)</formula>
    </cfRule>
    <cfRule type="expression" dxfId="5334" priority="59">
      <formula>X$9&lt;8/24</formula>
    </cfRule>
  </conditionalFormatting>
  <conditionalFormatting sqref="X12:AA13">
    <cfRule type="expression" dxfId="5333" priority="52">
      <formula>X$9&gt;=20/24</formula>
    </cfRule>
    <cfRule type="expression" dxfId="5332" priority="53">
      <formula>AND(X$9&gt;=14/24,X$9&lt;20/24)</formula>
    </cfRule>
    <cfRule type="expression" dxfId="5331" priority="54">
      <formula>AND(X$9&gt;=8/24,X$9&lt;14/24)</formula>
    </cfRule>
    <cfRule type="expression" dxfId="5330" priority="55">
      <formula>X$9&lt;8/24</formula>
    </cfRule>
  </conditionalFormatting>
  <conditionalFormatting sqref="AB58:AE59">
    <cfRule type="expression" dxfId="5329" priority="48">
      <formula>AB$9&gt;=20/24</formula>
    </cfRule>
    <cfRule type="expression" dxfId="5328" priority="49">
      <formula>AND(AB$9&gt;=14/24,AB$9&lt;20/24)</formula>
    </cfRule>
    <cfRule type="expression" dxfId="5327" priority="50">
      <formula>AND(AB$9&gt;=8/24,AB$9&lt;14/24)</formula>
    </cfRule>
    <cfRule type="expression" dxfId="5326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25" priority="281">
      <formula>C$9&gt;=20/24</formula>
    </cfRule>
    <cfRule type="expression" dxfId="5324" priority="282">
      <formula>AND(C$9&gt;=14/24,C$9&lt;20/24)</formula>
    </cfRule>
    <cfRule type="expression" dxfId="5323" priority="283">
      <formula>AND(C$9&gt;=8/24,C$9&lt;14/24)</formula>
    </cfRule>
    <cfRule type="expression" dxfId="5322" priority="284">
      <formula>C$9&lt;8/24</formula>
    </cfRule>
  </conditionalFormatting>
  <conditionalFormatting sqref="A200">
    <cfRule type="expression" dxfId="5321" priority="285">
      <formula>$AH200=0</formula>
    </cfRule>
  </conditionalFormatting>
  <conditionalFormatting sqref="AG212">
    <cfRule type="expression" dxfId="5320" priority="286">
      <formula>B$9&gt;=20/24</formula>
    </cfRule>
    <cfRule type="expression" dxfId="5319" priority="287">
      <formula>AND(B$9&gt;=14/24,B$9&lt;20/24)</formula>
    </cfRule>
    <cfRule type="expression" dxfId="5318" priority="288">
      <formula>AND(B$9&gt;=8/24,B$9&lt;14/24)</formula>
    </cfRule>
    <cfRule type="expression" dxfId="5317" priority="289">
      <formula>B$9&lt;8/24</formula>
    </cfRule>
  </conditionalFormatting>
  <conditionalFormatting sqref="S8">
    <cfRule type="expression" dxfId="5316" priority="42">
      <formula>U$9&gt;=20/24</formula>
    </cfRule>
    <cfRule type="expression" dxfId="5315" priority="43">
      <formula>AND(U$9&gt;=14/24,U$9&lt;20/24)</formula>
    </cfRule>
    <cfRule type="expression" dxfId="5314" priority="44">
      <formula>AND(U$9&gt;=8/24,U$9&lt;14/24)</formula>
    </cfRule>
    <cfRule type="expression" dxfId="5313" priority="45">
      <formula>U$9&lt;8/24</formula>
    </cfRule>
  </conditionalFormatting>
  <conditionalFormatting sqref="AB8">
    <cfRule type="expression" dxfId="5312" priority="38">
      <formula>AD$9&gt;=20/24</formula>
    </cfRule>
    <cfRule type="expression" dxfId="5311" priority="39">
      <formula>AND(AD$9&gt;=14/24,AD$9&lt;20/24)</formula>
    </cfRule>
    <cfRule type="expression" dxfId="5310" priority="40">
      <formula>AND(AD$9&gt;=8/24,AD$9&lt;14/24)</formula>
    </cfRule>
    <cfRule type="expression" dxfId="5309" priority="41">
      <formula>AD$9&lt;8/24</formula>
    </cfRule>
  </conditionalFormatting>
  <conditionalFormatting sqref="AH212:AX212">
    <cfRule type="expression" dxfId="5308" priority="290">
      <formula>AG$9&gt;=20/24</formula>
    </cfRule>
    <cfRule type="expression" dxfId="5307" priority="291">
      <formula>AND(AG$9&gt;=14/24,AG$9&lt;20/24)</formula>
    </cfRule>
    <cfRule type="expression" dxfId="5306" priority="292">
      <formula>AND(AG$9&gt;=8/24,AG$9&lt;14/24)</formula>
    </cfRule>
    <cfRule type="expression" dxfId="5305" priority="293">
      <formula>AG$9&lt;8/24</formula>
    </cfRule>
  </conditionalFormatting>
  <conditionalFormatting sqref="T212">
    <cfRule type="expression" dxfId="5304" priority="294">
      <formula>AX$9&gt;=20/24</formula>
    </cfRule>
    <cfRule type="expression" dxfId="5303" priority="295">
      <formula>AND(AX$9&gt;=14/24,AX$9&lt;20/24)</formula>
    </cfRule>
    <cfRule type="expression" dxfId="5302" priority="296">
      <formula>AND(AX$9&gt;=8/24,AX$9&lt;14/24)</formula>
    </cfRule>
    <cfRule type="expression" dxfId="5301" priority="297">
      <formula>AX$9&lt;8/24</formula>
    </cfRule>
  </conditionalFormatting>
  <conditionalFormatting sqref="A99">
    <cfRule type="expression" dxfId="5300" priority="37">
      <formula>$AH99=0</formula>
    </cfRule>
  </conditionalFormatting>
  <conditionalFormatting sqref="AB33:AF33">
    <cfRule type="expression" dxfId="5299" priority="29">
      <formula>AB$9&gt;=20/24</formula>
    </cfRule>
    <cfRule type="expression" dxfId="5298" priority="30">
      <formula>AND(AB$9&gt;=14/24,AB$9&lt;20/24)</formula>
    </cfRule>
    <cfRule type="expression" dxfId="5297" priority="31">
      <formula>AND(AB$9&gt;=8/24,AB$9&lt;14/24)</formula>
    </cfRule>
    <cfRule type="expression" dxfId="5296" priority="32">
      <formula>AB$9&lt;8/24</formula>
    </cfRule>
  </conditionalFormatting>
  <conditionalFormatting sqref="X33:AA33">
    <cfRule type="expression" dxfId="5295" priority="25">
      <formula>X$9&gt;=20/24</formula>
    </cfRule>
    <cfRule type="expression" dxfId="5294" priority="26">
      <formula>AND(X$9&gt;=14/24,X$9&lt;20/24)</formula>
    </cfRule>
    <cfRule type="expression" dxfId="5293" priority="27">
      <formula>AND(X$9&gt;=8/24,X$9&lt;14/24)</formula>
    </cfRule>
    <cfRule type="expression" dxfId="5292" priority="28">
      <formula>X$9&lt;8/24</formula>
    </cfRule>
  </conditionalFormatting>
  <conditionalFormatting sqref="B33:L33 X33:AF33">
    <cfRule type="expression" dxfId="5291" priority="24">
      <formula>B33&gt;$AG33</formula>
    </cfRule>
  </conditionalFormatting>
  <conditionalFormatting sqref="M12:O14 M16:W32 M36:W37">
    <cfRule type="expression" dxfId="5290" priority="20">
      <formula>M$9&gt;=20/24</formula>
    </cfRule>
    <cfRule type="expression" dxfId="5289" priority="21">
      <formula>AND(M$9&gt;=14/24,M$9&lt;20/24)</formula>
    </cfRule>
    <cfRule type="expression" dxfId="5288" priority="22">
      <formula>AND(M$9&gt;=8/24,M$9&lt;14/24)</formula>
    </cfRule>
    <cfRule type="expression" dxfId="5287" priority="23">
      <formula>M$9&lt;8/24</formula>
    </cfRule>
  </conditionalFormatting>
  <conditionalFormatting sqref="M35:W35">
    <cfRule type="expression" dxfId="5286" priority="16">
      <formula>M$9&gt;=20/24</formula>
    </cfRule>
    <cfRule type="expression" dxfId="5285" priority="17">
      <formula>AND(M$9&gt;=14/24,M$9&lt;20/24)</formula>
    </cfRule>
    <cfRule type="expression" dxfId="5284" priority="18">
      <formula>AND(M$9&gt;=8/24,M$9&lt;14/24)</formula>
    </cfRule>
    <cfRule type="expression" dxfId="5283" priority="19">
      <formula>M$9&lt;8/24</formula>
    </cfRule>
  </conditionalFormatting>
  <conditionalFormatting sqref="M12:O14 M16:W32 M34:W37">
    <cfRule type="expression" dxfId="5282" priority="15">
      <formula>M12&gt;$AG12</formula>
    </cfRule>
  </conditionalFormatting>
  <conditionalFormatting sqref="M34:W34">
    <cfRule type="expression" dxfId="5281" priority="11">
      <formula>M$9&gt;=20/24</formula>
    </cfRule>
    <cfRule type="expression" dxfId="5280" priority="12">
      <formula>AND(M$9&gt;=14/24,M$9&lt;20/24)</formula>
    </cfRule>
    <cfRule type="expression" dxfId="5279" priority="13">
      <formula>AND(M$9&gt;=8/24,M$9&lt;14/24)</formula>
    </cfRule>
    <cfRule type="expression" dxfId="5278" priority="14">
      <formula>M$9&lt;8/24</formula>
    </cfRule>
  </conditionalFormatting>
  <conditionalFormatting sqref="M15:W15">
    <cfRule type="expression" dxfId="5277" priority="7">
      <formula>M$9&gt;=20/24</formula>
    </cfRule>
    <cfRule type="expression" dxfId="5276" priority="8">
      <formula>AND(M$9&gt;=14/24,M$9&lt;20/24)</formula>
    </cfRule>
    <cfRule type="expression" dxfId="5275" priority="9">
      <formula>AND(M$9&gt;=8/24,M$9&lt;14/24)</formula>
    </cfRule>
    <cfRule type="expression" dxfId="5274" priority="10">
      <formula>M$9&lt;8/24</formula>
    </cfRule>
  </conditionalFormatting>
  <conditionalFormatting sqref="M15:W15">
    <cfRule type="expression" dxfId="5273" priority="6">
      <formula>M15&gt;$AG15</formula>
    </cfRule>
  </conditionalFormatting>
  <conditionalFormatting sqref="M33:W33">
    <cfRule type="expression" dxfId="5272" priority="2">
      <formula>M$9&gt;=20/24</formula>
    </cfRule>
    <cfRule type="expression" dxfId="5271" priority="3">
      <formula>AND(M$9&gt;=14/24,M$9&lt;20/24)</formula>
    </cfRule>
    <cfRule type="expression" dxfId="5270" priority="4">
      <formula>AND(M$9&gt;=8/24,M$9&lt;14/24)</formula>
    </cfRule>
    <cfRule type="expression" dxfId="5269" priority="5">
      <formula>M$9&lt;8/24</formula>
    </cfRule>
  </conditionalFormatting>
  <conditionalFormatting sqref="M33:W33">
    <cfRule type="expression" dxfId="5268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DD932A6E-F623-4E74-8ACD-E913EBE1E36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24" sqref="M2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2078/09/15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78</v>
      </c>
      <c r="C5" s="32">
        <f t="shared" si="0"/>
        <v>43.599999999999994</v>
      </c>
      <c r="D5" s="32">
        <f t="shared" si="0"/>
        <v>40.799999999999997</v>
      </c>
      <c r="E5" s="32">
        <f t="shared" si="0"/>
        <v>24</v>
      </c>
      <c r="F5" s="32">
        <f t="shared" si="0"/>
        <v>40.200000000000003</v>
      </c>
      <c r="G5" s="32">
        <f t="shared" si="0"/>
        <v>62.2</v>
      </c>
      <c r="H5" s="32">
        <f t="shared" si="0"/>
        <v>96</v>
      </c>
      <c r="I5" s="32">
        <f t="shared" si="0"/>
        <v>150</v>
      </c>
      <c r="J5" s="32">
        <f t="shared" si="0"/>
        <v>148</v>
      </c>
      <c r="K5" s="32">
        <f t="shared" si="0"/>
        <v>144</v>
      </c>
      <c r="L5" s="32">
        <f t="shared" si="0"/>
        <v>49.300000000000004</v>
      </c>
      <c r="M5" s="32">
        <f t="shared" si="0"/>
        <v>50</v>
      </c>
      <c r="N5" s="32">
        <f t="shared" si="0"/>
        <v>80</v>
      </c>
      <c r="O5" s="32">
        <f t="shared" si="0"/>
        <v>246.3</v>
      </c>
      <c r="P5" s="32">
        <f t="shared" si="0"/>
        <v>266</v>
      </c>
      <c r="Q5" s="32">
        <f t="shared" si="0"/>
        <v>317</v>
      </c>
      <c r="R5" s="32">
        <f t="shared" si="0"/>
        <v>347.70000000000005</v>
      </c>
      <c r="S5" s="32">
        <f t="shared" si="0"/>
        <v>319.3</v>
      </c>
      <c r="T5" s="32">
        <f t="shared" si="0"/>
        <v>342.9</v>
      </c>
      <c r="U5" s="32">
        <f t="shared" si="0"/>
        <v>68</v>
      </c>
      <c r="V5" s="32">
        <f t="shared" si="0"/>
        <v>130.9</v>
      </c>
      <c r="W5" s="32">
        <f t="shared" si="0"/>
        <v>256.29999999999995</v>
      </c>
      <c r="X5" s="32">
        <f t="shared" si="0"/>
        <v>173.9</v>
      </c>
      <c r="Y5" s="32">
        <f t="shared" si="0"/>
        <v>319</v>
      </c>
      <c r="Z5" s="32">
        <f t="shared" si="0"/>
        <v>323.60000000000002</v>
      </c>
      <c r="AA5" s="32">
        <f t="shared" si="0"/>
        <v>377.9</v>
      </c>
      <c r="AB5" s="32">
        <f t="shared" si="0"/>
        <v>290</v>
      </c>
      <c r="AC5" s="32">
        <f t="shared" si="0"/>
        <v>299.39999999999998</v>
      </c>
      <c r="AD5" s="32">
        <f t="shared" si="0"/>
        <v>270</v>
      </c>
      <c r="AE5" s="32">
        <f t="shared" si="0"/>
        <v>151</v>
      </c>
      <c r="AF5" s="32">
        <f>B68</f>
        <v>82.9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Load=753</v>
      </c>
      <c r="B7" s="37">
        <f>B75</f>
        <v>830.33999999999992</v>
      </c>
      <c r="C7" s="37">
        <f t="shared" ref="C7:AF7" si="1">C75</f>
        <v>795.44</v>
      </c>
      <c r="D7" s="37">
        <f t="shared" si="1"/>
        <v>771.24</v>
      </c>
      <c r="E7" s="37">
        <f t="shared" si="1"/>
        <v>764.74</v>
      </c>
      <c r="F7" s="37">
        <f t="shared" si="1"/>
        <v>753.34</v>
      </c>
      <c r="G7" s="37">
        <f t="shared" si="1"/>
        <v>814.1400000000001</v>
      </c>
      <c r="H7" s="37">
        <f t="shared" si="1"/>
        <v>883.34</v>
      </c>
      <c r="I7" s="37">
        <f t="shared" si="1"/>
        <v>965.74</v>
      </c>
      <c r="J7" s="37">
        <f t="shared" si="1"/>
        <v>1231.74</v>
      </c>
      <c r="K7" s="37">
        <f t="shared" si="1"/>
        <v>1273.74</v>
      </c>
      <c r="L7" s="37">
        <f t="shared" si="1"/>
        <v>1299.74</v>
      </c>
      <c r="M7" s="37">
        <f t="shared" si="1"/>
        <v>1393.3400000000001</v>
      </c>
      <c r="N7" s="37">
        <f t="shared" si="1"/>
        <v>1360.14</v>
      </c>
      <c r="O7" s="37">
        <f t="shared" si="1"/>
        <v>1330.1399999999999</v>
      </c>
      <c r="P7" s="37">
        <f t="shared" si="1"/>
        <v>1299.94</v>
      </c>
      <c r="Q7" s="37">
        <f t="shared" si="1"/>
        <v>1248.54</v>
      </c>
      <c r="R7" s="37">
        <f t="shared" si="1"/>
        <v>1222.6399999999999</v>
      </c>
      <c r="S7" s="37">
        <f t="shared" si="1"/>
        <v>1249.24</v>
      </c>
      <c r="T7" s="37">
        <f t="shared" si="1"/>
        <v>1229.54</v>
      </c>
      <c r="U7" s="37">
        <f t="shared" si="1"/>
        <v>1248.7399999999998</v>
      </c>
      <c r="V7" s="37">
        <f t="shared" si="1"/>
        <v>1314.1399999999999</v>
      </c>
      <c r="W7" s="37">
        <f t="shared" si="1"/>
        <v>1453.74</v>
      </c>
      <c r="X7" s="37">
        <f t="shared" si="1"/>
        <v>1586.8400000000001</v>
      </c>
      <c r="Y7" s="37">
        <f t="shared" si="1"/>
        <v>1535.7400000000002</v>
      </c>
      <c r="Z7" s="37">
        <f t="shared" si="1"/>
        <v>1486.24</v>
      </c>
      <c r="AA7" s="37">
        <f t="shared" si="1"/>
        <v>1463.3400000000001</v>
      </c>
      <c r="AB7" s="37">
        <f t="shared" si="1"/>
        <v>1427.6399999999999</v>
      </c>
      <c r="AC7" s="37">
        <f t="shared" si="1"/>
        <v>1268.2399999999998</v>
      </c>
      <c r="AD7" s="37">
        <f t="shared" si="1"/>
        <v>1212.9399999999998</v>
      </c>
      <c r="AE7" s="37">
        <f t="shared" si="1"/>
        <v>1131.4399999999998</v>
      </c>
      <c r="AF7" s="37">
        <f t="shared" si="1"/>
        <v>978.2399999999999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23.8</v>
      </c>
      <c r="D11" s="49">
        <v>23.3</v>
      </c>
      <c r="E11" s="49">
        <v>20</v>
      </c>
      <c r="F11" s="49">
        <v>50</v>
      </c>
      <c r="G11" s="49">
        <v>60</v>
      </c>
      <c r="H11" s="49">
        <v>60</v>
      </c>
      <c r="I11" s="49">
        <v>65</v>
      </c>
      <c r="J11" s="49">
        <v>200</v>
      </c>
      <c r="K11" s="49">
        <v>230</v>
      </c>
      <c r="L11" s="49">
        <v>230</v>
      </c>
      <c r="M11" s="50">
        <v>360</v>
      </c>
      <c r="N11" s="50">
        <v>360</v>
      </c>
      <c r="O11" s="50">
        <v>300</v>
      </c>
      <c r="P11" s="50">
        <v>145</v>
      </c>
      <c r="Q11" s="50">
        <v>100</v>
      </c>
      <c r="R11" s="50">
        <v>50</v>
      </c>
      <c r="S11" s="50">
        <v>45</v>
      </c>
      <c r="T11" s="50">
        <v>40</v>
      </c>
      <c r="U11" s="50">
        <v>40.299999999999997</v>
      </c>
      <c r="V11" s="50">
        <v>300</v>
      </c>
      <c r="W11" s="50">
        <v>350</v>
      </c>
      <c r="X11" s="50">
        <v>360</v>
      </c>
      <c r="Y11" s="50">
        <v>400</v>
      </c>
      <c r="Z11" s="52">
        <v>200</v>
      </c>
      <c r="AA11" s="50">
        <v>180</v>
      </c>
      <c r="AB11" s="50">
        <v>90</v>
      </c>
      <c r="AC11" s="50">
        <v>90</v>
      </c>
      <c r="AD11" s="50">
        <v>90</v>
      </c>
      <c r="AE11" s="50">
        <v>90</v>
      </c>
      <c r="AF11" s="49">
        <v>90</v>
      </c>
      <c r="AG11" s="53">
        <v>456</v>
      </c>
      <c r="AH11" s="54">
        <f>MAX(B11:AF11)</f>
        <v>400</v>
      </c>
      <c r="AI11" s="55">
        <f>MIN(B11:AF11)</f>
        <v>20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60</v>
      </c>
      <c r="K12" s="49">
        <v>60</v>
      </c>
      <c r="L12" s="49">
        <v>60</v>
      </c>
      <c r="M12" s="49">
        <v>60</v>
      </c>
      <c r="N12" s="49">
        <v>52</v>
      </c>
      <c r="O12" s="49">
        <v>52</v>
      </c>
      <c r="P12" s="49">
        <v>52</v>
      </c>
      <c r="Q12" s="49">
        <v>52</v>
      </c>
      <c r="R12" s="49">
        <v>52</v>
      </c>
      <c r="S12" s="49">
        <v>52</v>
      </c>
      <c r="T12" s="49">
        <v>52</v>
      </c>
      <c r="U12" s="49">
        <v>52</v>
      </c>
      <c r="V12" s="49">
        <v>52</v>
      </c>
      <c r="W12" s="49">
        <v>52</v>
      </c>
      <c r="X12" s="58">
        <v>48</v>
      </c>
      <c r="Y12" s="58">
        <v>48</v>
      </c>
      <c r="Z12" s="58">
        <v>48</v>
      </c>
      <c r="AA12" s="58">
        <v>48</v>
      </c>
      <c r="AB12" s="58">
        <v>48</v>
      </c>
      <c r="AC12" s="58">
        <v>48</v>
      </c>
      <c r="AD12" s="58">
        <v>48</v>
      </c>
      <c r="AE12" s="58">
        <v>48</v>
      </c>
      <c r="AF12" s="58">
        <v>48</v>
      </c>
      <c r="AG12" s="59">
        <v>60</v>
      </c>
      <c r="AH12" s="54">
        <f t="shared" ref="AH12:AH75" si="2">MAX(B12:AF12)</f>
        <v>60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28.7</v>
      </c>
      <c r="C13" s="50">
        <v>28.7</v>
      </c>
      <c r="D13" s="50">
        <v>28.7</v>
      </c>
      <c r="E13" s="49">
        <v>28.9</v>
      </c>
      <c r="F13" s="49">
        <v>28.9</v>
      </c>
      <c r="G13" s="49">
        <v>28.9</v>
      </c>
      <c r="H13" s="49">
        <v>28.9</v>
      </c>
      <c r="I13" s="49">
        <v>27.7</v>
      </c>
      <c r="J13" s="49">
        <v>27.7</v>
      </c>
      <c r="K13" s="49">
        <v>27.7</v>
      </c>
      <c r="L13" s="49">
        <v>27.7</v>
      </c>
      <c r="M13" s="49">
        <v>28</v>
      </c>
      <c r="N13" s="49">
        <v>28</v>
      </c>
      <c r="O13" s="49">
        <v>28</v>
      </c>
      <c r="P13" s="49">
        <v>26.2</v>
      </c>
      <c r="Q13" s="49">
        <v>26.2</v>
      </c>
      <c r="R13" s="49">
        <v>26.2</v>
      </c>
      <c r="S13" s="49">
        <v>26.2</v>
      </c>
      <c r="T13" s="49">
        <v>26.2</v>
      </c>
      <c r="U13" s="49">
        <v>26.2</v>
      </c>
      <c r="V13" s="49">
        <v>26.2</v>
      </c>
      <c r="W13" s="49">
        <v>26.2</v>
      </c>
      <c r="X13" s="58">
        <v>26.2</v>
      </c>
      <c r="Y13" s="58">
        <v>26.2</v>
      </c>
      <c r="Z13" s="58">
        <v>26.2</v>
      </c>
      <c r="AA13" s="58">
        <v>26.2</v>
      </c>
      <c r="AB13" s="58">
        <v>26.2</v>
      </c>
      <c r="AC13" s="58">
        <v>26.2</v>
      </c>
      <c r="AD13" s="58">
        <v>26.2</v>
      </c>
      <c r="AE13" s="58">
        <v>26.2</v>
      </c>
      <c r="AF13" s="58">
        <v>26.2</v>
      </c>
      <c r="AG13" s="59">
        <v>52.4</v>
      </c>
      <c r="AH13" s="54">
        <f t="shared" si="2"/>
        <v>28.9</v>
      </c>
      <c r="AI13" s="55">
        <f t="shared" si="3"/>
        <v>26.2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50.5</v>
      </c>
      <c r="C14" s="50">
        <v>50.5</v>
      </c>
      <c r="D14" s="50">
        <v>50.5</v>
      </c>
      <c r="E14" s="49">
        <v>50.5</v>
      </c>
      <c r="F14" s="49">
        <v>50.5</v>
      </c>
      <c r="G14" s="49">
        <v>50.5</v>
      </c>
      <c r="H14" s="49">
        <v>50.5</v>
      </c>
      <c r="I14" s="49">
        <v>50.5</v>
      </c>
      <c r="J14" s="49">
        <v>50.5</v>
      </c>
      <c r="K14" s="49">
        <v>50.5</v>
      </c>
      <c r="L14" s="49">
        <v>50.5</v>
      </c>
      <c r="M14" s="50">
        <v>50.7</v>
      </c>
      <c r="N14" s="50">
        <v>50.7</v>
      </c>
      <c r="O14" s="50">
        <v>50.7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60">
        <v>50.5</v>
      </c>
      <c r="Y14" s="60">
        <v>50.5</v>
      </c>
      <c r="Z14" s="60">
        <v>50.5</v>
      </c>
      <c r="AA14" s="60">
        <v>50.5</v>
      </c>
      <c r="AB14" s="60">
        <v>50.5</v>
      </c>
      <c r="AC14" s="60">
        <v>50.5</v>
      </c>
      <c r="AD14" s="60">
        <v>50.5</v>
      </c>
      <c r="AE14" s="60">
        <v>50.5</v>
      </c>
      <c r="AF14" s="60">
        <v>50.5</v>
      </c>
      <c r="AG14" s="59">
        <v>50</v>
      </c>
      <c r="AH14" s="54">
        <f t="shared" si="2"/>
        <v>50.7</v>
      </c>
      <c r="AI14" s="55">
        <f t="shared" si="3"/>
        <v>50.5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22.8</v>
      </c>
      <c r="C15" s="50">
        <v>22.8</v>
      </c>
      <c r="D15" s="50">
        <v>22.8</v>
      </c>
      <c r="E15" s="50">
        <v>22.8</v>
      </c>
      <c r="F15" s="50">
        <v>22.8</v>
      </c>
      <c r="G15" s="50">
        <v>22.8</v>
      </c>
      <c r="H15" s="50">
        <v>22.8</v>
      </c>
      <c r="I15" s="50">
        <v>22.8</v>
      </c>
      <c r="J15" s="50">
        <v>22.8</v>
      </c>
      <c r="K15" s="50">
        <v>22.8</v>
      </c>
      <c r="L15" s="50">
        <v>22.8</v>
      </c>
      <c r="M15" s="50">
        <v>24</v>
      </c>
      <c r="N15" s="50">
        <v>24</v>
      </c>
      <c r="O15" s="50">
        <v>24</v>
      </c>
      <c r="P15" s="50">
        <v>23.6</v>
      </c>
      <c r="Q15" s="50">
        <v>23.6</v>
      </c>
      <c r="R15" s="50">
        <v>23.6</v>
      </c>
      <c r="S15" s="50">
        <v>23.6</v>
      </c>
      <c r="T15" s="50">
        <v>23.6</v>
      </c>
      <c r="U15" s="50">
        <v>23.6</v>
      </c>
      <c r="V15" s="50">
        <v>23.6</v>
      </c>
      <c r="W15" s="50">
        <v>23.6</v>
      </c>
      <c r="X15" s="60">
        <v>23.6</v>
      </c>
      <c r="Y15" s="60">
        <v>23.6</v>
      </c>
      <c r="Z15" s="60">
        <v>23.6</v>
      </c>
      <c r="AA15" s="60">
        <v>23.6</v>
      </c>
      <c r="AB15" s="60">
        <v>23.6</v>
      </c>
      <c r="AC15" s="60">
        <v>23.6</v>
      </c>
      <c r="AD15" s="60">
        <v>23.6</v>
      </c>
      <c r="AE15" s="60">
        <v>23.6</v>
      </c>
      <c r="AF15" s="60">
        <v>23.6</v>
      </c>
      <c r="AG15" s="62">
        <v>45</v>
      </c>
      <c r="AH15" s="54">
        <f t="shared" si="2"/>
        <v>24</v>
      </c>
      <c r="AI15" s="55">
        <f t="shared" si="3"/>
        <v>22.8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13</v>
      </c>
      <c r="C16" s="50">
        <v>13</v>
      </c>
      <c r="D16" s="50">
        <v>13</v>
      </c>
      <c r="E16" s="50">
        <v>13</v>
      </c>
      <c r="F16" s="50">
        <v>13</v>
      </c>
      <c r="G16" s="50">
        <v>13</v>
      </c>
      <c r="H16" s="50">
        <v>13</v>
      </c>
      <c r="I16" s="50">
        <v>13</v>
      </c>
      <c r="J16" s="50">
        <v>13</v>
      </c>
      <c r="K16" s="50">
        <v>13</v>
      </c>
      <c r="L16" s="50">
        <v>13</v>
      </c>
      <c r="M16" s="50">
        <v>13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63">
        <v>13</v>
      </c>
      <c r="Y16" s="63">
        <v>13</v>
      </c>
      <c r="Z16" s="63">
        <v>13</v>
      </c>
      <c r="AA16" s="63">
        <v>13</v>
      </c>
      <c r="AB16" s="63">
        <v>13</v>
      </c>
      <c r="AC16" s="63">
        <v>13</v>
      </c>
      <c r="AD16" s="63">
        <v>13</v>
      </c>
      <c r="AE16" s="63">
        <v>13</v>
      </c>
      <c r="AF16" s="63">
        <v>13</v>
      </c>
      <c r="AG16" s="59">
        <v>45</v>
      </c>
      <c r="AH16" s="54">
        <f t="shared" si="2"/>
        <v>13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12</v>
      </c>
      <c r="C17" s="50">
        <v>12</v>
      </c>
      <c r="D17" s="50">
        <v>12</v>
      </c>
      <c r="E17" s="50">
        <v>12</v>
      </c>
      <c r="F17" s="50">
        <v>12</v>
      </c>
      <c r="G17" s="50">
        <v>12</v>
      </c>
      <c r="H17" s="50">
        <v>12</v>
      </c>
      <c r="I17" s="50">
        <v>12</v>
      </c>
      <c r="J17" s="50">
        <v>12</v>
      </c>
      <c r="K17" s="50">
        <v>12</v>
      </c>
      <c r="L17" s="50">
        <v>12</v>
      </c>
      <c r="M17" s="50">
        <v>12</v>
      </c>
      <c r="N17" s="50">
        <v>12</v>
      </c>
      <c r="O17" s="50">
        <v>12</v>
      </c>
      <c r="P17" s="50">
        <v>12</v>
      </c>
      <c r="Q17" s="50">
        <v>12</v>
      </c>
      <c r="R17" s="50">
        <v>12</v>
      </c>
      <c r="S17" s="50">
        <v>12</v>
      </c>
      <c r="T17" s="50">
        <v>12</v>
      </c>
      <c r="U17" s="50">
        <v>12</v>
      </c>
      <c r="V17" s="50">
        <v>12</v>
      </c>
      <c r="W17" s="50">
        <v>12</v>
      </c>
      <c r="X17" s="60">
        <v>12</v>
      </c>
      <c r="Y17" s="60">
        <v>12</v>
      </c>
      <c r="Z17" s="60">
        <v>12</v>
      </c>
      <c r="AA17" s="60">
        <v>12</v>
      </c>
      <c r="AB17" s="60">
        <v>12</v>
      </c>
      <c r="AC17" s="60">
        <v>12</v>
      </c>
      <c r="AD17" s="60">
        <v>12</v>
      </c>
      <c r="AE17" s="60">
        <v>12</v>
      </c>
      <c r="AF17" s="60">
        <v>12</v>
      </c>
      <c r="AG17" s="59">
        <v>42</v>
      </c>
      <c r="AH17" s="54">
        <f t="shared" si="2"/>
        <v>12</v>
      </c>
      <c r="AI17" s="55">
        <f t="shared" si="3"/>
        <v>12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13</v>
      </c>
      <c r="C19" s="50">
        <v>13</v>
      </c>
      <c r="D19" s="50">
        <v>13</v>
      </c>
      <c r="E19" s="50">
        <v>13</v>
      </c>
      <c r="F19" s="50">
        <v>13</v>
      </c>
      <c r="G19" s="50">
        <v>13</v>
      </c>
      <c r="H19" s="50">
        <v>13</v>
      </c>
      <c r="I19" s="50">
        <v>13</v>
      </c>
      <c r="J19" s="50">
        <v>13</v>
      </c>
      <c r="K19" s="50">
        <v>13</v>
      </c>
      <c r="L19" s="50">
        <v>13</v>
      </c>
      <c r="M19" s="50">
        <v>13</v>
      </c>
      <c r="N19" s="50">
        <v>13</v>
      </c>
      <c r="O19" s="50">
        <v>13</v>
      </c>
      <c r="P19" s="50">
        <v>13</v>
      </c>
      <c r="Q19" s="50">
        <v>13</v>
      </c>
      <c r="R19" s="50">
        <v>13</v>
      </c>
      <c r="S19" s="50">
        <v>13</v>
      </c>
      <c r="T19" s="50">
        <v>13</v>
      </c>
      <c r="U19" s="50">
        <v>13</v>
      </c>
      <c r="V19" s="50">
        <v>13</v>
      </c>
      <c r="W19" s="50">
        <v>13</v>
      </c>
      <c r="X19" s="50">
        <v>13</v>
      </c>
      <c r="Y19" s="50">
        <v>13</v>
      </c>
      <c r="Z19" s="50">
        <v>13</v>
      </c>
      <c r="AA19" s="50">
        <v>13</v>
      </c>
      <c r="AB19" s="50">
        <v>13</v>
      </c>
      <c r="AC19" s="50">
        <v>13</v>
      </c>
      <c r="AD19" s="50">
        <v>13</v>
      </c>
      <c r="AE19" s="50">
        <v>13</v>
      </c>
      <c r="AF19" s="50">
        <v>13</v>
      </c>
      <c r="AG19" s="59">
        <v>30</v>
      </c>
      <c r="AH19" s="54">
        <f t="shared" si="2"/>
        <v>13</v>
      </c>
      <c r="AI19" s="55">
        <f t="shared" si="3"/>
        <v>13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14.8</v>
      </c>
      <c r="C22" s="50">
        <v>14.8</v>
      </c>
      <c r="D22" s="50">
        <v>12.6</v>
      </c>
      <c r="E22" s="50">
        <v>12.6</v>
      </c>
      <c r="F22" s="50">
        <v>12.6</v>
      </c>
      <c r="G22" s="50">
        <v>12.6</v>
      </c>
      <c r="H22" s="50">
        <v>12.6</v>
      </c>
      <c r="I22" s="50">
        <v>12.6</v>
      </c>
      <c r="J22" s="50">
        <v>12.6</v>
      </c>
      <c r="K22" s="50">
        <v>12.6</v>
      </c>
      <c r="L22" s="50">
        <v>12.6</v>
      </c>
      <c r="M22" s="50">
        <v>12.6</v>
      </c>
      <c r="N22" s="50">
        <v>12.6</v>
      </c>
      <c r="O22" s="50">
        <v>12.6</v>
      </c>
      <c r="P22" s="50">
        <v>12.6</v>
      </c>
      <c r="Q22" s="50">
        <v>12.6</v>
      </c>
      <c r="R22" s="50">
        <v>12.6</v>
      </c>
      <c r="S22" s="50">
        <v>12.6</v>
      </c>
      <c r="T22" s="50">
        <v>12.6</v>
      </c>
      <c r="U22" s="50">
        <v>12.6</v>
      </c>
      <c r="V22" s="50">
        <v>12.6</v>
      </c>
      <c r="W22" s="50">
        <v>12.6</v>
      </c>
      <c r="X22" s="50">
        <v>12.6</v>
      </c>
      <c r="Y22" s="50">
        <v>12.6</v>
      </c>
      <c r="Z22" s="50">
        <v>12.6</v>
      </c>
      <c r="AA22" s="50">
        <v>12.6</v>
      </c>
      <c r="AB22" s="50">
        <v>12.6</v>
      </c>
      <c r="AC22" s="50">
        <v>12.6</v>
      </c>
      <c r="AD22" s="50">
        <v>12.6</v>
      </c>
      <c r="AE22" s="50">
        <v>12.6</v>
      </c>
      <c r="AF22" s="50">
        <v>12.6</v>
      </c>
      <c r="AG22" s="59">
        <v>25</v>
      </c>
      <c r="AH22" s="54">
        <f t="shared" si="2"/>
        <v>14.8</v>
      </c>
      <c r="AI22" s="55">
        <f t="shared" si="3"/>
        <v>12.6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16.7</v>
      </c>
      <c r="C24" s="50">
        <v>16.7</v>
      </c>
      <c r="D24" s="50">
        <v>16.7</v>
      </c>
      <c r="E24" s="50">
        <v>16.7</v>
      </c>
      <c r="F24" s="50">
        <v>16.7</v>
      </c>
      <c r="G24" s="50">
        <v>16.7</v>
      </c>
      <c r="H24" s="50">
        <v>16.7</v>
      </c>
      <c r="I24" s="50">
        <v>16.7</v>
      </c>
      <c r="J24" s="50">
        <v>16.7</v>
      </c>
      <c r="K24" s="50">
        <v>16.7</v>
      </c>
      <c r="L24" s="50">
        <v>16.7</v>
      </c>
      <c r="M24" s="50">
        <v>20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20</v>
      </c>
      <c r="AE24" s="50">
        <v>20</v>
      </c>
      <c r="AF24" s="50">
        <v>20</v>
      </c>
      <c r="AG24" s="59">
        <v>25</v>
      </c>
      <c r="AH24" s="54">
        <f t="shared" si="2"/>
        <v>20</v>
      </c>
      <c r="AI24" s="55">
        <f t="shared" si="3"/>
        <v>16.7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11</v>
      </c>
      <c r="W26" s="50">
        <v>11</v>
      </c>
      <c r="X26" s="50">
        <v>11</v>
      </c>
      <c r="Y26" s="50">
        <v>11</v>
      </c>
      <c r="Z26" s="50">
        <v>11</v>
      </c>
      <c r="AA26" s="50">
        <v>11</v>
      </c>
      <c r="AB26" s="50">
        <v>11</v>
      </c>
      <c r="AC26" s="50">
        <v>11</v>
      </c>
      <c r="AD26" s="50">
        <v>11</v>
      </c>
      <c r="AE26" s="50">
        <v>11</v>
      </c>
      <c r="AF26" s="50">
        <v>11</v>
      </c>
      <c r="AG26" s="59">
        <v>20</v>
      </c>
      <c r="AH26" s="54">
        <f t="shared" si="2"/>
        <v>11</v>
      </c>
      <c r="AI26" s="55">
        <f t="shared" si="3"/>
        <v>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32.8+60</f>
        <v>92.8</v>
      </c>
      <c r="C37" s="61">
        <f>32.5+60.5</f>
        <v>93</v>
      </c>
      <c r="D37" s="61">
        <f>32+60.1</f>
        <v>92.1</v>
      </c>
      <c r="E37" s="61">
        <f>32+60.1</f>
        <v>92.1</v>
      </c>
      <c r="F37" s="61">
        <f>32+60.1</f>
        <v>92.1</v>
      </c>
      <c r="G37" s="61">
        <v>93</v>
      </c>
      <c r="H37" s="61">
        <v>93</v>
      </c>
      <c r="I37" s="61">
        <v>93</v>
      </c>
      <c r="J37" s="61">
        <v>93</v>
      </c>
      <c r="K37" s="61">
        <v>93</v>
      </c>
      <c r="L37" s="61">
        <v>93</v>
      </c>
      <c r="M37" s="70">
        <f>28.9+54.5</f>
        <v>83.4</v>
      </c>
      <c r="N37" s="70">
        <f>28.9+54.5</f>
        <v>83.4</v>
      </c>
      <c r="O37" s="70">
        <f>28.9+54.5</f>
        <v>83.4</v>
      </c>
      <c r="P37" s="70">
        <f>29+56.1</f>
        <v>85.1</v>
      </c>
      <c r="Q37" s="70">
        <f>29+56.1</f>
        <v>85.1</v>
      </c>
      <c r="R37" s="70">
        <f>29+56.1</f>
        <v>85.1</v>
      </c>
      <c r="S37" s="70">
        <v>82.1</v>
      </c>
      <c r="T37" s="70">
        <v>80.7</v>
      </c>
      <c r="U37" s="70">
        <v>78.900000000000006</v>
      </c>
      <c r="V37" s="70">
        <v>74.599999999999994</v>
      </c>
      <c r="W37" s="70">
        <v>73.8</v>
      </c>
      <c r="X37" s="70">
        <v>73.8</v>
      </c>
      <c r="Y37" s="70">
        <v>73.8</v>
      </c>
      <c r="Z37" s="70">
        <v>72.900000000000006</v>
      </c>
      <c r="AA37" s="70">
        <v>72.900000000000006</v>
      </c>
      <c r="AB37" s="70">
        <v>72.900000000000006</v>
      </c>
      <c r="AC37" s="70">
        <v>72.900000000000006</v>
      </c>
      <c r="AD37" s="70">
        <v>72.900000000000006</v>
      </c>
      <c r="AE37" s="70">
        <v>72.900000000000006</v>
      </c>
      <c r="AF37" s="70">
        <v>72.900000000000006</v>
      </c>
      <c r="AG37" s="67">
        <v>240</v>
      </c>
      <c r="AH37" s="54">
        <f t="shared" si="2"/>
        <v>93</v>
      </c>
      <c r="AI37" s="55">
        <f t="shared" si="3"/>
        <v>72.900000000000006</v>
      </c>
      <c r="AK37" s="56"/>
    </row>
    <row r="38" spans="1:88" ht="15.75" thickBot="1" x14ac:dyDescent="0.3">
      <c r="A38" s="71" t="s">
        <v>46</v>
      </c>
      <c r="B38" s="72">
        <f>SUM(B11:B36)</f>
        <v>485.2</v>
      </c>
      <c r="C38" s="72">
        <f t="shared" ref="C38:AF38" si="4">SUM(C11:C36)</f>
        <v>489</v>
      </c>
      <c r="D38" s="72">
        <f t="shared" si="4"/>
        <v>486.3</v>
      </c>
      <c r="E38" s="72">
        <f t="shared" si="4"/>
        <v>483.2</v>
      </c>
      <c r="F38" s="72">
        <f t="shared" si="4"/>
        <v>513.20000000000005</v>
      </c>
      <c r="G38" s="72">
        <f t="shared" si="4"/>
        <v>523.20000000000005</v>
      </c>
      <c r="H38" s="72">
        <f t="shared" si="4"/>
        <v>523.20000000000005</v>
      </c>
      <c r="I38" s="72">
        <f t="shared" si="4"/>
        <v>527</v>
      </c>
      <c r="J38" s="72">
        <f t="shared" si="4"/>
        <v>682</v>
      </c>
      <c r="K38" s="72">
        <f t="shared" si="4"/>
        <v>712</v>
      </c>
      <c r="L38" s="72">
        <f t="shared" si="4"/>
        <v>712</v>
      </c>
      <c r="M38" s="72">
        <f t="shared" si="4"/>
        <v>847.00000000000011</v>
      </c>
      <c r="N38" s="72">
        <f t="shared" si="4"/>
        <v>839.00000000000011</v>
      </c>
      <c r="O38" s="72">
        <f t="shared" si="4"/>
        <v>779</v>
      </c>
      <c r="P38" s="72">
        <f t="shared" si="4"/>
        <v>621.6</v>
      </c>
      <c r="Q38" s="72">
        <f t="shared" si="4"/>
        <v>576.59999999999991</v>
      </c>
      <c r="R38" s="72">
        <f t="shared" si="4"/>
        <v>526.6</v>
      </c>
      <c r="S38" s="72">
        <f t="shared" si="4"/>
        <v>521.6</v>
      </c>
      <c r="T38" s="72">
        <f t="shared" si="4"/>
        <v>516.59999999999991</v>
      </c>
      <c r="U38" s="72">
        <f t="shared" si="4"/>
        <v>516.9</v>
      </c>
      <c r="V38" s="72">
        <f t="shared" si="4"/>
        <v>783.6</v>
      </c>
      <c r="W38" s="72">
        <f t="shared" si="4"/>
        <v>833.6</v>
      </c>
      <c r="X38" s="72">
        <f t="shared" si="4"/>
        <v>839.6</v>
      </c>
      <c r="Y38" s="72">
        <f t="shared" si="4"/>
        <v>879.60000000000014</v>
      </c>
      <c r="Z38" s="72">
        <f t="shared" si="4"/>
        <v>679.6</v>
      </c>
      <c r="AA38" s="72">
        <f t="shared" si="4"/>
        <v>659.6</v>
      </c>
      <c r="AB38" s="72">
        <f t="shared" si="4"/>
        <v>569.59999999999991</v>
      </c>
      <c r="AC38" s="72">
        <f t="shared" si="4"/>
        <v>569.59999999999991</v>
      </c>
      <c r="AD38" s="72">
        <f t="shared" si="4"/>
        <v>569.59999999999991</v>
      </c>
      <c r="AE38" s="72">
        <f t="shared" si="4"/>
        <v>569.59999999999991</v>
      </c>
      <c r="AF38" s="72">
        <f t="shared" si="4"/>
        <v>569.59999999999991</v>
      </c>
      <c r="AG38" s="67">
        <f>SUM(AG11:AG37)</f>
        <v>1492.8299999999997</v>
      </c>
      <c r="AH38" s="54">
        <f t="shared" si="2"/>
        <v>879.60000000000014</v>
      </c>
      <c r="AI38" s="55">
        <f t="shared" si="3"/>
        <v>483.2</v>
      </c>
      <c r="AK38" s="56"/>
    </row>
    <row r="39" spans="1:88" x14ac:dyDescent="0.25">
      <c r="A39" s="57" t="s">
        <v>47</v>
      </c>
      <c r="B39" s="49">
        <v>67</v>
      </c>
      <c r="C39" s="61">
        <v>35.5</v>
      </c>
      <c r="D39" s="61">
        <v>31.1</v>
      </c>
      <c r="E39" s="61">
        <v>30</v>
      </c>
      <c r="F39" s="61">
        <v>30</v>
      </c>
      <c r="G39" s="61">
        <v>40</v>
      </c>
      <c r="H39" s="61">
        <v>62.2</v>
      </c>
      <c r="I39" s="61">
        <v>96</v>
      </c>
      <c r="J39" s="61">
        <v>144</v>
      </c>
      <c r="K39" s="61">
        <v>144</v>
      </c>
      <c r="L39" s="61">
        <v>144</v>
      </c>
      <c r="M39" s="50">
        <v>145.6</v>
      </c>
      <c r="N39" s="50">
        <v>145.6</v>
      </c>
      <c r="O39" s="50">
        <v>145.6</v>
      </c>
      <c r="P39" s="50">
        <v>146</v>
      </c>
      <c r="Q39" s="50">
        <v>98</v>
      </c>
      <c r="R39" s="50">
        <v>146</v>
      </c>
      <c r="S39" s="50">
        <v>145.69999999999999</v>
      </c>
      <c r="T39" s="50">
        <v>146.1</v>
      </c>
      <c r="U39" s="50">
        <v>145.80000000000001</v>
      </c>
      <c r="V39" s="50">
        <v>145</v>
      </c>
      <c r="W39" s="50">
        <v>145</v>
      </c>
      <c r="X39" s="50">
        <v>145</v>
      </c>
      <c r="Y39" s="50">
        <v>145</v>
      </c>
      <c r="Z39" s="50">
        <v>145</v>
      </c>
      <c r="AA39" s="50">
        <v>145.69999999999999</v>
      </c>
      <c r="AB39" s="50">
        <v>145.69999999999999</v>
      </c>
      <c r="AC39" s="50">
        <v>125</v>
      </c>
      <c r="AD39" s="50">
        <v>90</v>
      </c>
      <c r="AE39" s="50">
        <v>91.2</v>
      </c>
      <c r="AF39" s="49">
        <v>91</v>
      </c>
      <c r="AG39" s="62">
        <v>144</v>
      </c>
      <c r="AH39" s="54">
        <f t="shared" si="2"/>
        <v>146.1</v>
      </c>
      <c r="AI39" s="55">
        <f t="shared" si="3"/>
        <v>30</v>
      </c>
      <c r="AK39" s="56"/>
    </row>
    <row r="40" spans="1:88" x14ac:dyDescent="0.25">
      <c r="A40" s="66" t="s">
        <v>48</v>
      </c>
      <c r="B40" s="61">
        <v>29.7</v>
      </c>
      <c r="C40" s="61">
        <v>24.9</v>
      </c>
      <c r="D40" s="61">
        <v>24.5</v>
      </c>
      <c r="E40" s="61">
        <v>24.6</v>
      </c>
      <c r="F40" s="61">
        <v>0</v>
      </c>
      <c r="G40" s="61">
        <v>25</v>
      </c>
      <c r="H40" s="61">
        <v>50</v>
      </c>
      <c r="I40" s="61">
        <v>60</v>
      </c>
      <c r="J40" s="61">
        <v>70</v>
      </c>
      <c r="K40" s="61">
        <v>70</v>
      </c>
      <c r="L40" s="61">
        <v>70</v>
      </c>
      <c r="M40" s="73">
        <v>71.400000000000006</v>
      </c>
      <c r="N40" s="73">
        <v>71.400000000000006</v>
      </c>
      <c r="O40" s="73">
        <v>71.400000000000006</v>
      </c>
      <c r="P40" s="73">
        <v>71.3</v>
      </c>
      <c r="Q40" s="73">
        <v>71.3</v>
      </c>
      <c r="R40" s="73">
        <v>55</v>
      </c>
      <c r="S40" s="73">
        <v>55.4</v>
      </c>
      <c r="T40" s="73">
        <v>50.6</v>
      </c>
      <c r="U40" s="73">
        <v>47.1</v>
      </c>
      <c r="V40" s="73">
        <v>70</v>
      </c>
      <c r="W40" s="73">
        <v>70</v>
      </c>
      <c r="X40" s="73">
        <v>70</v>
      </c>
      <c r="Y40" s="73">
        <v>60</v>
      </c>
      <c r="Z40" s="73">
        <v>65.400000000000006</v>
      </c>
      <c r="AA40" s="73">
        <v>66.3</v>
      </c>
      <c r="AB40" s="73">
        <v>66.3</v>
      </c>
      <c r="AC40" s="73">
        <v>35</v>
      </c>
      <c r="AD40" s="73">
        <v>35</v>
      </c>
      <c r="AE40" s="73">
        <v>25</v>
      </c>
      <c r="AF40" s="61">
        <v>0</v>
      </c>
      <c r="AG40" s="67">
        <v>70</v>
      </c>
      <c r="AH40" s="54">
        <f t="shared" si="2"/>
        <v>71.400000000000006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49.4</v>
      </c>
      <c r="C41" s="61">
        <v>51.9</v>
      </c>
      <c r="D41" s="61">
        <v>54.6</v>
      </c>
      <c r="E41" s="61">
        <v>55</v>
      </c>
      <c r="F41" s="61">
        <v>55</v>
      </c>
      <c r="G41" s="61">
        <v>55</v>
      </c>
      <c r="H41" s="61">
        <v>55</v>
      </c>
      <c r="I41" s="61">
        <v>56</v>
      </c>
      <c r="J41" s="61">
        <v>55</v>
      </c>
      <c r="K41" s="61">
        <v>69</v>
      </c>
      <c r="L41" s="61">
        <v>69</v>
      </c>
      <c r="M41" s="73">
        <v>58.6</v>
      </c>
      <c r="N41" s="73">
        <v>58.6</v>
      </c>
      <c r="O41" s="73">
        <v>58.6</v>
      </c>
      <c r="P41" s="73">
        <v>68.3</v>
      </c>
      <c r="Q41" s="73">
        <v>68.3</v>
      </c>
      <c r="R41" s="73">
        <v>44</v>
      </c>
      <c r="S41" s="73">
        <v>45.8</v>
      </c>
      <c r="T41" s="73">
        <v>64</v>
      </c>
      <c r="U41" s="73">
        <v>63.1</v>
      </c>
      <c r="V41" s="73">
        <v>68.7</v>
      </c>
      <c r="W41" s="73">
        <v>68.7</v>
      </c>
      <c r="X41" s="73">
        <v>68.7</v>
      </c>
      <c r="Y41" s="73">
        <v>68.7</v>
      </c>
      <c r="Z41" s="73">
        <v>68.7</v>
      </c>
      <c r="AA41" s="73">
        <v>54.6</v>
      </c>
      <c r="AB41" s="73">
        <v>54.6</v>
      </c>
      <c r="AC41" s="73">
        <v>62</v>
      </c>
      <c r="AD41" s="73">
        <v>62</v>
      </c>
      <c r="AE41" s="73">
        <v>50</v>
      </c>
      <c r="AF41" s="61">
        <v>51</v>
      </c>
      <c r="AG41" s="67">
        <v>69</v>
      </c>
      <c r="AH41" s="54">
        <f t="shared" si="2"/>
        <v>69</v>
      </c>
      <c r="AI41" s="55">
        <f t="shared" si="3"/>
        <v>44</v>
      </c>
      <c r="AK41" s="56"/>
    </row>
    <row r="42" spans="1:88" x14ac:dyDescent="0.25">
      <c r="A42" s="66" t="s">
        <v>50</v>
      </c>
      <c r="B42" s="61">
        <v>60.7</v>
      </c>
      <c r="C42" s="61">
        <v>60.7</v>
      </c>
      <c r="D42" s="61">
        <v>60.7</v>
      </c>
      <c r="E42" s="61">
        <v>60.7</v>
      </c>
      <c r="F42" s="61">
        <v>60.7</v>
      </c>
      <c r="G42" s="61">
        <v>60.3</v>
      </c>
      <c r="H42" s="61">
        <v>60.3</v>
      </c>
      <c r="I42" s="61">
        <v>60.3</v>
      </c>
      <c r="J42" s="61">
        <v>60.3</v>
      </c>
      <c r="K42" s="61">
        <v>60.3</v>
      </c>
      <c r="L42" s="61">
        <v>60.3</v>
      </c>
      <c r="M42" s="73">
        <v>60.4</v>
      </c>
      <c r="N42" s="73">
        <v>60.4</v>
      </c>
      <c r="O42" s="73">
        <v>60.4</v>
      </c>
      <c r="P42" s="73">
        <v>30</v>
      </c>
      <c r="Q42" s="73">
        <v>60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60.2</v>
      </c>
      <c r="AB42" s="73">
        <v>60.2</v>
      </c>
      <c r="AC42" s="73">
        <v>60.2</v>
      </c>
      <c r="AD42" s="73">
        <v>60.2</v>
      </c>
      <c r="AE42" s="73">
        <v>60.2</v>
      </c>
      <c r="AF42" s="73">
        <v>60.2</v>
      </c>
      <c r="AG42" s="67">
        <v>60</v>
      </c>
      <c r="AH42" s="54">
        <f t="shared" si="2"/>
        <v>60.7</v>
      </c>
      <c r="AI42" s="55">
        <f t="shared" si="3"/>
        <v>30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15</v>
      </c>
      <c r="E43" s="61">
        <v>15</v>
      </c>
      <c r="F43" s="61">
        <v>15</v>
      </c>
      <c r="G43" s="61">
        <v>15</v>
      </c>
      <c r="H43" s="61">
        <v>15</v>
      </c>
      <c r="I43" s="61">
        <v>15</v>
      </c>
      <c r="J43" s="61">
        <v>15</v>
      </c>
      <c r="K43" s="61">
        <v>15</v>
      </c>
      <c r="L43" s="61">
        <v>15</v>
      </c>
      <c r="M43" s="50">
        <v>28.7</v>
      </c>
      <c r="N43" s="50">
        <v>28.7</v>
      </c>
      <c r="O43" s="50">
        <v>28.7</v>
      </c>
      <c r="P43" s="5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23.3</v>
      </c>
      <c r="X43" s="50">
        <v>23.3</v>
      </c>
      <c r="Y43" s="50">
        <v>23.3</v>
      </c>
      <c r="Z43" s="50">
        <v>23.3</v>
      </c>
      <c r="AA43" s="73">
        <v>28.2</v>
      </c>
      <c r="AB43" s="73">
        <v>28.2</v>
      </c>
      <c r="AC43" s="73">
        <v>28</v>
      </c>
      <c r="AD43" s="73">
        <v>25</v>
      </c>
      <c r="AE43" s="73">
        <v>10</v>
      </c>
      <c r="AF43" s="73">
        <v>0</v>
      </c>
      <c r="AG43" s="67">
        <v>30</v>
      </c>
      <c r="AH43" s="54">
        <f t="shared" si="2"/>
        <v>28.7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50">
        <v>2.5</v>
      </c>
      <c r="N46" s="50">
        <v>2.5</v>
      </c>
      <c r="O46" s="50">
        <v>2.5</v>
      </c>
      <c r="P46" s="50">
        <v>2.5</v>
      </c>
      <c r="Q46" s="50">
        <v>2.5</v>
      </c>
      <c r="R46" s="50">
        <v>2.5</v>
      </c>
      <c r="S46" s="50">
        <v>2.5</v>
      </c>
      <c r="T46" s="50">
        <v>2.5</v>
      </c>
      <c r="U46" s="50">
        <v>2.5</v>
      </c>
      <c r="V46" s="50">
        <v>2.5</v>
      </c>
      <c r="W46" s="50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50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74">
        <v>6</v>
      </c>
      <c r="D48" s="74">
        <v>6</v>
      </c>
      <c r="E48" s="74">
        <v>6</v>
      </c>
      <c r="F48" s="74">
        <v>6</v>
      </c>
      <c r="G48" s="74">
        <v>6</v>
      </c>
      <c r="H48" s="74">
        <v>6</v>
      </c>
      <c r="I48" s="74">
        <v>6</v>
      </c>
      <c r="J48" s="74">
        <v>6</v>
      </c>
      <c r="K48" s="74">
        <v>6</v>
      </c>
      <c r="L48" s="74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50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262.24</v>
      </c>
      <c r="C52" s="72">
        <f t="shared" ref="C52:AF52" si="6">SUM(C39:C51)</f>
        <v>228.44</v>
      </c>
      <c r="D52" s="72">
        <f t="shared" si="6"/>
        <v>241.34</v>
      </c>
      <c r="E52" s="72">
        <f t="shared" si="6"/>
        <v>240.74</v>
      </c>
      <c r="F52" s="72">
        <f t="shared" si="6"/>
        <v>216.14</v>
      </c>
      <c r="G52" s="72">
        <f t="shared" si="6"/>
        <v>250.74</v>
      </c>
      <c r="H52" s="72">
        <f t="shared" si="6"/>
        <v>297.94</v>
      </c>
      <c r="I52" s="72">
        <f t="shared" si="6"/>
        <v>342.74</v>
      </c>
      <c r="J52" s="72">
        <f t="shared" si="6"/>
        <v>399.74</v>
      </c>
      <c r="K52" s="72">
        <f t="shared" si="6"/>
        <v>413.74</v>
      </c>
      <c r="L52" s="72">
        <f t="shared" si="6"/>
        <v>413.74</v>
      </c>
      <c r="M52" s="72">
        <f t="shared" si="6"/>
        <v>420.14</v>
      </c>
      <c r="N52" s="72">
        <f t="shared" si="6"/>
        <v>420.14</v>
      </c>
      <c r="O52" s="72">
        <f t="shared" si="6"/>
        <v>420.14</v>
      </c>
      <c r="P52" s="72">
        <f t="shared" si="6"/>
        <v>381.04</v>
      </c>
      <c r="Q52" s="72">
        <f t="shared" si="6"/>
        <v>353.04</v>
      </c>
      <c r="R52" s="72">
        <f t="shared" si="6"/>
        <v>360.84</v>
      </c>
      <c r="S52" s="72">
        <f t="shared" si="6"/>
        <v>362.73999999999995</v>
      </c>
      <c r="T52" s="72">
        <f t="shared" si="6"/>
        <v>376.53999999999996</v>
      </c>
      <c r="U52" s="72">
        <f t="shared" si="6"/>
        <v>371.84</v>
      </c>
      <c r="V52" s="72">
        <f t="shared" si="6"/>
        <v>399.53999999999996</v>
      </c>
      <c r="W52" s="72">
        <f t="shared" si="6"/>
        <v>422.84</v>
      </c>
      <c r="X52" s="72">
        <f t="shared" si="6"/>
        <v>422.84</v>
      </c>
      <c r="Y52" s="72">
        <f t="shared" si="6"/>
        <v>412.84</v>
      </c>
      <c r="Z52" s="72">
        <f t="shared" si="6"/>
        <v>418.24</v>
      </c>
      <c r="AA52" s="72">
        <f t="shared" si="6"/>
        <v>410.44</v>
      </c>
      <c r="AB52" s="72">
        <f t="shared" si="6"/>
        <v>410.44</v>
      </c>
      <c r="AC52" s="72">
        <f t="shared" si="6"/>
        <v>365.64</v>
      </c>
      <c r="AD52" s="72">
        <f t="shared" si="6"/>
        <v>327.64</v>
      </c>
      <c r="AE52" s="72">
        <f t="shared" si="6"/>
        <v>291.83999999999997</v>
      </c>
      <c r="AF52" s="72">
        <f t="shared" si="6"/>
        <v>257.64</v>
      </c>
      <c r="AG52" s="78">
        <f>SUM(AG39:AG51)</f>
        <v>489.91</v>
      </c>
      <c r="AH52" s="54">
        <f t="shared" si="2"/>
        <v>422.84</v>
      </c>
      <c r="AI52" s="55">
        <f t="shared" si="3"/>
        <v>216.14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30</v>
      </c>
      <c r="M53" s="79">
        <v>50.7</v>
      </c>
      <c r="N53" s="79">
        <v>30</v>
      </c>
      <c r="O53" s="79">
        <v>30</v>
      </c>
      <c r="P53" s="79">
        <v>29</v>
      </c>
      <c r="Q53" s="79">
        <v>29</v>
      </c>
      <c r="R53" s="50">
        <v>10</v>
      </c>
      <c r="S53" s="50">
        <v>10.6</v>
      </c>
      <c r="T53" s="50">
        <v>10.4</v>
      </c>
      <c r="U53" s="50">
        <v>10.4</v>
      </c>
      <c r="V53" s="50">
        <v>40</v>
      </c>
      <c r="W53" s="50">
        <v>40</v>
      </c>
      <c r="X53" s="50">
        <v>42.5</v>
      </c>
      <c r="Y53" s="50">
        <v>42.9</v>
      </c>
      <c r="Z53" s="50">
        <v>42.9</v>
      </c>
      <c r="AA53" s="50">
        <v>42.9</v>
      </c>
      <c r="AB53" s="50">
        <v>42.9</v>
      </c>
      <c r="AC53" s="50">
        <v>30</v>
      </c>
      <c r="AD53" s="50">
        <v>10</v>
      </c>
      <c r="AE53" s="50">
        <v>0</v>
      </c>
      <c r="AF53" s="50">
        <v>0</v>
      </c>
      <c r="AG53" s="62">
        <v>60</v>
      </c>
      <c r="AH53" s="54">
        <f t="shared" si="2"/>
        <v>50.7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19.2</v>
      </c>
      <c r="N54" s="79">
        <v>15</v>
      </c>
      <c r="O54" s="79">
        <v>15</v>
      </c>
      <c r="P54" s="79">
        <v>16.100000000000001</v>
      </c>
      <c r="Q54" s="79">
        <v>18</v>
      </c>
      <c r="R54" s="73">
        <v>6</v>
      </c>
      <c r="S54" s="50">
        <v>4.8</v>
      </c>
      <c r="T54" s="50">
        <v>4.9000000000000004</v>
      </c>
      <c r="U54" s="50">
        <v>4.9000000000000004</v>
      </c>
      <c r="V54" s="73">
        <v>17</v>
      </c>
      <c r="W54" s="73">
        <v>19.399999999999999</v>
      </c>
      <c r="X54" s="73">
        <v>18.8</v>
      </c>
      <c r="Y54" s="73">
        <v>19.399999999999999</v>
      </c>
      <c r="Z54" s="73">
        <v>19.399999999999999</v>
      </c>
      <c r="AA54" s="73">
        <v>19.600000000000001</v>
      </c>
      <c r="AB54" s="73">
        <v>19.600000000000001</v>
      </c>
      <c r="AC54" s="73">
        <v>10</v>
      </c>
      <c r="AD54" s="73">
        <v>4.5999999999999996</v>
      </c>
      <c r="AE54" s="73">
        <v>0</v>
      </c>
      <c r="AF54" s="73">
        <v>0</v>
      </c>
      <c r="AG54" s="67">
        <v>32</v>
      </c>
      <c r="AH54" s="54">
        <f t="shared" si="2"/>
        <v>19.600000000000001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7</v>
      </c>
      <c r="N55" s="81">
        <v>6</v>
      </c>
      <c r="O55" s="81">
        <v>6</v>
      </c>
      <c r="P55" s="81">
        <v>5.9</v>
      </c>
      <c r="Q55" s="81">
        <v>5.9</v>
      </c>
      <c r="R55" s="80">
        <v>2.2000000000000002</v>
      </c>
      <c r="S55" s="50">
        <v>1.8</v>
      </c>
      <c r="T55" s="50">
        <v>1.8</v>
      </c>
      <c r="U55" s="50">
        <v>1.8</v>
      </c>
      <c r="V55" s="80">
        <v>6</v>
      </c>
      <c r="W55" s="80">
        <v>7</v>
      </c>
      <c r="X55" s="80">
        <v>6.8</v>
      </c>
      <c r="Y55" s="80">
        <v>7.1</v>
      </c>
      <c r="Z55" s="80">
        <v>7.1</v>
      </c>
      <c r="AA55" s="80">
        <v>7.2</v>
      </c>
      <c r="AB55" s="80">
        <v>7.2</v>
      </c>
      <c r="AC55" s="80">
        <v>3</v>
      </c>
      <c r="AD55" s="80">
        <v>1.7</v>
      </c>
      <c r="AE55" s="80">
        <v>0</v>
      </c>
      <c r="AF55" s="80">
        <v>0</v>
      </c>
      <c r="AG55" s="82">
        <v>14</v>
      </c>
      <c r="AH55" s="54">
        <f t="shared" si="2"/>
        <v>7.2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30</v>
      </c>
      <c r="M56" s="72">
        <f t="shared" si="7"/>
        <v>76.900000000000006</v>
      </c>
      <c r="N56" s="72">
        <f t="shared" si="7"/>
        <v>51</v>
      </c>
      <c r="O56" s="72">
        <f t="shared" si="7"/>
        <v>51</v>
      </c>
      <c r="P56" s="72">
        <f t="shared" si="7"/>
        <v>51</v>
      </c>
      <c r="Q56" s="72">
        <f t="shared" si="7"/>
        <v>52.9</v>
      </c>
      <c r="R56" s="72">
        <f t="shared" si="7"/>
        <v>18.2</v>
      </c>
      <c r="S56" s="72">
        <f t="shared" si="7"/>
        <v>17.2</v>
      </c>
      <c r="T56" s="72">
        <f t="shared" si="7"/>
        <v>17.100000000000001</v>
      </c>
      <c r="U56" s="72">
        <f t="shared" si="7"/>
        <v>17.100000000000001</v>
      </c>
      <c r="V56" s="72">
        <f t="shared" si="7"/>
        <v>63</v>
      </c>
      <c r="W56" s="72">
        <f t="shared" si="7"/>
        <v>66.400000000000006</v>
      </c>
      <c r="X56" s="72">
        <f t="shared" si="7"/>
        <v>68.099999999999994</v>
      </c>
      <c r="Y56" s="72">
        <f t="shared" si="7"/>
        <v>69.399999999999991</v>
      </c>
      <c r="Z56" s="72">
        <f t="shared" si="7"/>
        <v>69.399999999999991</v>
      </c>
      <c r="AA56" s="72">
        <f t="shared" si="7"/>
        <v>69.7</v>
      </c>
      <c r="AB56" s="72">
        <f t="shared" si="7"/>
        <v>69.7</v>
      </c>
      <c r="AC56" s="72">
        <f t="shared" si="7"/>
        <v>43</v>
      </c>
      <c r="AD56" s="72">
        <f t="shared" si="7"/>
        <v>16.3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76.900000000000006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42.8</v>
      </c>
      <c r="C57" s="50">
        <v>40</v>
      </c>
      <c r="D57" s="50">
        <v>33.799999999999997</v>
      </c>
      <c r="E57" s="50">
        <v>28.8</v>
      </c>
      <c r="F57" s="50">
        <v>24</v>
      </c>
      <c r="G57" s="50">
        <v>28.2</v>
      </c>
      <c r="H57" s="50">
        <v>32.200000000000003</v>
      </c>
      <c r="I57" s="50">
        <v>40</v>
      </c>
      <c r="J57" s="50">
        <v>46</v>
      </c>
      <c r="K57" s="50">
        <v>52</v>
      </c>
      <c r="L57" s="50">
        <v>55</v>
      </c>
      <c r="M57" s="50">
        <v>48.1</v>
      </c>
      <c r="N57" s="50">
        <v>50</v>
      </c>
      <c r="O57" s="50">
        <v>50</v>
      </c>
      <c r="P57" s="50">
        <v>44.3</v>
      </c>
      <c r="Q57" s="50">
        <v>16</v>
      </c>
      <c r="R57" s="50">
        <v>25</v>
      </c>
      <c r="S57" s="50">
        <v>23.6</v>
      </c>
      <c r="T57" s="50">
        <v>46.2</v>
      </c>
      <c r="U57" s="50">
        <v>42.9</v>
      </c>
      <c r="V57" s="50">
        <v>42</v>
      </c>
      <c r="W57" s="50">
        <v>42</v>
      </c>
      <c r="X57" s="50">
        <v>52.1</v>
      </c>
      <c r="Y57" s="50">
        <v>55.5</v>
      </c>
      <c r="Z57" s="50">
        <v>52.9</v>
      </c>
      <c r="AA57" s="50">
        <v>50.9</v>
      </c>
      <c r="AB57" s="50">
        <v>50.9</v>
      </c>
      <c r="AC57" s="50">
        <v>50</v>
      </c>
      <c r="AD57" s="50">
        <v>49.4</v>
      </c>
      <c r="AE57" s="50">
        <v>50</v>
      </c>
      <c r="AF57" s="50">
        <v>51</v>
      </c>
      <c r="AG57" s="62"/>
      <c r="AH57" s="54">
        <f t="shared" si="2"/>
        <v>55.5</v>
      </c>
      <c r="AI57" s="55">
        <f t="shared" si="3"/>
        <v>16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40.1</v>
      </c>
      <c r="C59" s="73">
        <v>38</v>
      </c>
      <c r="D59" s="73">
        <v>9.8000000000000007</v>
      </c>
      <c r="E59" s="73">
        <v>12</v>
      </c>
      <c r="F59" s="73">
        <v>0</v>
      </c>
      <c r="G59" s="73">
        <v>12</v>
      </c>
      <c r="H59" s="50">
        <v>30</v>
      </c>
      <c r="I59" s="50">
        <v>56</v>
      </c>
      <c r="J59" s="50">
        <v>104</v>
      </c>
      <c r="K59" s="50">
        <v>96</v>
      </c>
      <c r="L59" s="50">
        <v>89</v>
      </c>
      <c r="M59" s="73">
        <v>1.2</v>
      </c>
      <c r="N59" s="73">
        <v>0</v>
      </c>
      <c r="O59" s="73">
        <v>20</v>
      </c>
      <c r="P59" s="73">
        <v>192</v>
      </c>
      <c r="Q59" s="73">
        <v>240</v>
      </c>
      <c r="R59" s="73">
        <v>282</v>
      </c>
      <c r="S59" s="73">
        <v>314.10000000000002</v>
      </c>
      <c r="T59" s="73">
        <v>263.10000000000002</v>
      </c>
      <c r="U59" s="73">
        <v>290</v>
      </c>
      <c r="V59" s="73">
        <v>26</v>
      </c>
      <c r="W59" s="73">
        <v>37.4</v>
      </c>
      <c r="X59" s="84">
        <v>86.1</v>
      </c>
      <c r="Y59" s="84">
        <v>7.8</v>
      </c>
      <c r="Z59" s="84">
        <v>170</v>
      </c>
      <c r="AA59" s="84">
        <v>197.3</v>
      </c>
      <c r="AB59" s="84">
        <v>249</v>
      </c>
      <c r="AC59" s="73">
        <v>240</v>
      </c>
      <c r="AD59" s="73">
        <v>250</v>
      </c>
      <c r="AE59" s="73">
        <v>220</v>
      </c>
      <c r="AF59" s="73">
        <v>100</v>
      </c>
      <c r="AG59" s="85"/>
      <c r="AH59" s="54">
        <f t="shared" si="2"/>
        <v>314.10000000000002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50</v>
      </c>
      <c r="Y60" s="73">
        <v>50</v>
      </c>
      <c r="Z60" s="73">
        <v>26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50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51.5</v>
      </c>
      <c r="X61" s="50">
        <v>68.099999999999994</v>
      </c>
      <c r="Y61" s="50">
        <v>60.6</v>
      </c>
      <c r="Z61" s="50">
        <v>70.099999999999994</v>
      </c>
      <c r="AA61" s="50">
        <v>75.400000000000006</v>
      </c>
      <c r="AB61" s="50">
        <v>78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78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50">
        <v>0</v>
      </c>
      <c r="Q62" s="50">
        <v>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10</v>
      </c>
      <c r="P66" s="50">
        <v>10</v>
      </c>
      <c r="Q66" s="50">
        <v>10</v>
      </c>
      <c r="R66" s="50">
        <v>10</v>
      </c>
      <c r="S66" s="50">
        <v>10</v>
      </c>
      <c r="T66" s="50">
        <v>10</v>
      </c>
      <c r="U66" s="50">
        <v>10</v>
      </c>
      <c r="V66" s="50">
        <v>0</v>
      </c>
      <c r="W66" s="50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82.9</v>
      </c>
      <c r="C68" s="72">
        <f>SUM(C57:C67)</f>
        <v>78</v>
      </c>
      <c r="D68" s="72">
        <f t="shared" ref="D68:AF68" si="8">SUM(D57:D67)</f>
        <v>43.599999999999994</v>
      </c>
      <c r="E68" s="72">
        <f t="shared" si="8"/>
        <v>40.799999999999997</v>
      </c>
      <c r="F68" s="72">
        <f t="shared" si="8"/>
        <v>24</v>
      </c>
      <c r="G68" s="72">
        <f t="shared" si="8"/>
        <v>40.200000000000003</v>
      </c>
      <c r="H68" s="72">
        <f t="shared" si="8"/>
        <v>62.2</v>
      </c>
      <c r="I68" s="72">
        <f t="shared" si="8"/>
        <v>96</v>
      </c>
      <c r="J68" s="72">
        <f t="shared" si="8"/>
        <v>150</v>
      </c>
      <c r="K68" s="72">
        <f t="shared" si="8"/>
        <v>148</v>
      </c>
      <c r="L68" s="72">
        <f t="shared" si="8"/>
        <v>144</v>
      </c>
      <c r="M68" s="72">
        <f t="shared" si="8"/>
        <v>49.300000000000004</v>
      </c>
      <c r="N68" s="72">
        <f t="shared" si="8"/>
        <v>50</v>
      </c>
      <c r="O68" s="72">
        <f t="shared" si="8"/>
        <v>80</v>
      </c>
      <c r="P68" s="72">
        <f t="shared" si="8"/>
        <v>246.3</v>
      </c>
      <c r="Q68" s="72">
        <f t="shared" si="8"/>
        <v>266</v>
      </c>
      <c r="R68" s="72">
        <f t="shared" si="8"/>
        <v>317</v>
      </c>
      <c r="S68" s="72">
        <f t="shared" si="8"/>
        <v>347.70000000000005</v>
      </c>
      <c r="T68" s="72">
        <f t="shared" si="8"/>
        <v>319.3</v>
      </c>
      <c r="U68" s="72">
        <f t="shared" si="8"/>
        <v>342.9</v>
      </c>
      <c r="V68" s="72">
        <f t="shared" si="8"/>
        <v>68</v>
      </c>
      <c r="W68" s="72">
        <f t="shared" si="8"/>
        <v>130.9</v>
      </c>
      <c r="X68" s="72">
        <f t="shared" si="8"/>
        <v>256.29999999999995</v>
      </c>
      <c r="Y68" s="72">
        <f t="shared" si="8"/>
        <v>173.9</v>
      </c>
      <c r="Z68" s="72">
        <f t="shared" si="8"/>
        <v>319</v>
      </c>
      <c r="AA68" s="72">
        <f t="shared" si="8"/>
        <v>323.60000000000002</v>
      </c>
      <c r="AB68" s="72">
        <f t="shared" si="8"/>
        <v>377.9</v>
      </c>
      <c r="AC68" s="72">
        <f t="shared" si="8"/>
        <v>290</v>
      </c>
      <c r="AD68" s="72">
        <f t="shared" si="8"/>
        <v>299.39999999999998</v>
      </c>
      <c r="AE68" s="72">
        <f t="shared" si="8"/>
        <v>270</v>
      </c>
      <c r="AF68" s="72">
        <f t="shared" si="8"/>
        <v>151</v>
      </c>
      <c r="AG68" s="78">
        <f>SUM(AG57:AG67)</f>
        <v>0</v>
      </c>
      <c r="AH68" s="54">
        <f t="shared" si="2"/>
        <v>377.9</v>
      </c>
      <c r="AI68" s="55">
        <f t="shared" si="3"/>
        <v>24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830.33999999999992</v>
      </c>
      <c r="C73" s="89">
        <f>C68+C56+C52+C38+C72</f>
        <v>795.44</v>
      </c>
      <c r="D73" s="89">
        <f t="shared" ref="D73:AG73" si="10">D68+D56+D52+D38+D72</f>
        <v>771.24</v>
      </c>
      <c r="E73" s="89">
        <f t="shared" si="10"/>
        <v>764.74</v>
      </c>
      <c r="F73" s="89">
        <f t="shared" si="10"/>
        <v>753.34</v>
      </c>
      <c r="G73" s="89">
        <f t="shared" si="10"/>
        <v>814.1400000000001</v>
      </c>
      <c r="H73" s="89">
        <f t="shared" si="10"/>
        <v>883.34</v>
      </c>
      <c r="I73" s="89">
        <f t="shared" si="10"/>
        <v>965.74</v>
      </c>
      <c r="J73" s="89">
        <f t="shared" si="10"/>
        <v>1231.74</v>
      </c>
      <c r="K73" s="89">
        <f t="shared" si="10"/>
        <v>1273.74</v>
      </c>
      <c r="L73" s="89">
        <f t="shared" si="10"/>
        <v>1299.74</v>
      </c>
      <c r="M73" s="89">
        <f t="shared" si="10"/>
        <v>1393.3400000000001</v>
      </c>
      <c r="N73" s="89">
        <f t="shared" si="10"/>
        <v>1360.14</v>
      </c>
      <c r="O73" s="89">
        <f t="shared" si="10"/>
        <v>1330.1399999999999</v>
      </c>
      <c r="P73" s="89">
        <f t="shared" si="10"/>
        <v>1299.94</v>
      </c>
      <c r="Q73" s="89">
        <f t="shared" si="10"/>
        <v>1248.54</v>
      </c>
      <c r="R73" s="89">
        <f t="shared" si="10"/>
        <v>1222.6399999999999</v>
      </c>
      <c r="S73" s="89">
        <f t="shared" si="10"/>
        <v>1249.24</v>
      </c>
      <c r="T73" s="89">
        <f t="shared" si="10"/>
        <v>1229.54</v>
      </c>
      <c r="U73" s="89">
        <f t="shared" si="10"/>
        <v>1248.7399999999998</v>
      </c>
      <c r="V73" s="89">
        <f t="shared" si="10"/>
        <v>1314.1399999999999</v>
      </c>
      <c r="W73" s="89">
        <f t="shared" si="10"/>
        <v>1453.74</v>
      </c>
      <c r="X73" s="89">
        <f t="shared" si="10"/>
        <v>1586.8400000000001</v>
      </c>
      <c r="Y73" s="89">
        <f t="shared" si="10"/>
        <v>1535.7400000000002</v>
      </c>
      <c r="Z73" s="89">
        <f t="shared" si="10"/>
        <v>1486.24</v>
      </c>
      <c r="AA73" s="89">
        <f t="shared" si="10"/>
        <v>1463.3400000000001</v>
      </c>
      <c r="AB73" s="89">
        <f t="shared" si="10"/>
        <v>1427.6399999999999</v>
      </c>
      <c r="AC73" s="89">
        <f t="shared" si="10"/>
        <v>1268.2399999999998</v>
      </c>
      <c r="AD73" s="89">
        <f t="shared" si="10"/>
        <v>1212.9399999999998</v>
      </c>
      <c r="AE73" s="89">
        <f t="shared" si="10"/>
        <v>1131.4399999999998</v>
      </c>
      <c r="AF73" s="89">
        <f t="shared" si="10"/>
        <v>978.2399999999999</v>
      </c>
      <c r="AG73" s="89">
        <f t="shared" si="10"/>
        <v>2144.14</v>
      </c>
      <c r="AH73" s="54">
        <f t="shared" si="2"/>
        <v>1586.8400000000001</v>
      </c>
      <c r="AI73" s="55">
        <f t="shared" si="3"/>
        <v>753.34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830.33999999999992</v>
      </c>
      <c r="C75" s="89">
        <f>C73+C74</f>
        <v>795.44</v>
      </c>
      <c r="D75" s="89">
        <f t="shared" ref="D75:AF75" si="11">D72+D68+D56+D52+D38+D74</f>
        <v>771.24</v>
      </c>
      <c r="E75" s="89">
        <f t="shared" si="11"/>
        <v>764.74</v>
      </c>
      <c r="F75" s="89">
        <f t="shared" si="11"/>
        <v>753.34</v>
      </c>
      <c r="G75" s="89">
        <f t="shared" si="11"/>
        <v>814.1400000000001</v>
      </c>
      <c r="H75" s="89">
        <f t="shared" si="11"/>
        <v>883.34</v>
      </c>
      <c r="I75" s="89">
        <f t="shared" si="11"/>
        <v>965.74</v>
      </c>
      <c r="J75" s="89">
        <f t="shared" si="11"/>
        <v>1231.74</v>
      </c>
      <c r="K75" s="89">
        <f t="shared" si="11"/>
        <v>1273.74</v>
      </c>
      <c r="L75" s="89">
        <f t="shared" si="11"/>
        <v>1299.74</v>
      </c>
      <c r="M75" s="89">
        <f t="shared" si="11"/>
        <v>1393.3400000000001</v>
      </c>
      <c r="N75" s="89">
        <f t="shared" si="11"/>
        <v>1360.14</v>
      </c>
      <c r="O75" s="89">
        <f t="shared" si="11"/>
        <v>1330.1399999999999</v>
      </c>
      <c r="P75" s="89">
        <f t="shared" si="11"/>
        <v>1299.94</v>
      </c>
      <c r="Q75" s="89">
        <f t="shared" si="11"/>
        <v>1248.54</v>
      </c>
      <c r="R75" s="89">
        <f t="shared" si="11"/>
        <v>1222.6399999999999</v>
      </c>
      <c r="S75" s="89">
        <f t="shared" si="11"/>
        <v>1249.24</v>
      </c>
      <c r="T75" s="89">
        <f t="shared" si="11"/>
        <v>1229.54</v>
      </c>
      <c r="U75" s="89">
        <f t="shared" si="11"/>
        <v>1248.7399999999998</v>
      </c>
      <c r="V75" s="89">
        <f t="shared" si="11"/>
        <v>1314.1399999999999</v>
      </c>
      <c r="W75" s="89">
        <f t="shared" si="11"/>
        <v>1453.74</v>
      </c>
      <c r="X75" s="89">
        <f t="shared" si="11"/>
        <v>1586.8400000000001</v>
      </c>
      <c r="Y75" s="89">
        <f t="shared" si="11"/>
        <v>1535.7400000000002</v>
      </c>
      <c r="Z75" s="89">
        <f t="shared" si="11"/>
        <v>1486.24</v>
      </c>
      <c r="AA75" s="89">
        <f t="shared" si="11"/>
        <v>1463.3400000000001</v>
      </c>
      <c r="AB75" s="89">
        <f t="shared" si="11"/>
        <v>1427.6399999999999</v>
      </c>
      <c r="AC75" s="89">
        <f t="shared" si="11"/>
        <v>1268.2399999999998</v>
      </c>
      <c r="AD75" s="89">
        <f t="shared" si="11"/>
        <v>1212.9399999999998</v>
      </c>
      <c r="AE75" s="89">
        <f t="shared" si="11"/>
        <v>1131.4399999999998</v>
      </c>
      <c r="AF75" s="89">
        <f t="shared" si="11"/>
        <v>978.2399999999999</v>
      </c>
      <c r="AG75" s="78">
        <f>AG72+AG68+AG56+AG52+AG38+AG74</f>
        <v>2144.14</v>
      </c>
      <c r="AH75" s="54">
        <f t="shared" si="2"/>
        <v>1586.8400000000001</v>
      </c>
      <c r="AI75" s="55">
        <f t="shared" si="3"/>
        <v>753.34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1660.6799999999998</v>
      </c>
      <c r="C83" s="72">
        <f t="shared" ref="C83:AG83" si="20">SUM(C70:C82)</f>
        <v>1590.88</v>
      </c>
      <c r="D83" s="72">
        <f t="shared" si="20"/>
        <v>1542.48</v>
      </c>
      <c r="E83" s="72">
        <f t="shared" si="20"/>
        <v>1529.48</v>
      </c>
      <c r="F83" s="72">
        <f t="shared" si="20"/>
        <v>1506.68</v>
      </c>
      <c r="G83" s="72">
        <f t="shared" si="20"/>
        <v>1628.2800000000002</v>
      </c>
      <c r="H83" s="72">
        <f t="shared" si="20"/>
        <v>1766.68</v>
      </c>
      <c r="I83" s="72">
        <f t="shared" si="20"/>
        <v>1931.48</v>
      </c>
      <c r="J83" s="72">
        <f t="shared" si="20"/>
        <v>2463.48</v>
      </c>
      <c r="K83" s="72">
        <f t="shared" si="20"/>
        <v>2547.48</v>
      </c>
      <c r="L83" s="72">
        <f t="shared" si="20"/>
        <v>2599.48</v>
      </c>
      <c r="M83" s="72">
        <f t="shared" si="20"/>
        <v>2786.6800000000003</v>
      </c>
      <c r="N83" s="72">
        <f t="shared" si="20"/>
        <v>2720.28</v>
      </c>
      <c r="O83" s="72">
        <f t="shared" si="20"/>
        <v>2660.2799999999997</v>
      </c>
      <c r="P83" s="72">
        <f t="shared" si="20"/>
        <v>2599.88</v>
      </c>
      <c r="Q83" s="72">
        <f t="shared" si="20"/>
        <v>2497.08</v>
      </c>
      <c r="R83" s="72">
        <f t="shared" si="20"/>
        <v>2445.2799999999997</v>
      </c>
      <c r="S83" s="72">
        <f t="shared" si="20"/>
        <v>2498.48</v>
      </c>
      <c r="T83" s="72">
        <f t="shared" si="20"/>
        <v>2459.08</v>
      </c>
      <c r="U83" s="72">
        <f t="shared" si="20"/>
        <v>2497.4799999999996</v>
      </c>
      <c r="V83" s="72">
        <f t="shared" si="20"/>
        <v>2628.2799999999997</v>
      </c>
      <c r="W83" s="72">
        <f t="shared" si="20"/>
        <v>2907.48</v>
      </c>
      <c r="X83" s="72">
        <f t="shared" si="20"/>
        <v>3173.6800000000003</v>
      </c>
      <c r="Y83" s="72">
        <f t="shared" si="20"/>
        <v>3071.4800000000005</v>
      </c>
      <c r="Z83" s="72">
        <f t="shared" si="20"/>
        <v>2972.48</v>
      </c>
      <c r="AA83" s="72">
        <f t="shared" si="20"/>
        <v>2926.6800000000003</v>
      </c>
      <c r="AB83" s="72">
        <f t="shared" si="20"/>
        <v>2855.2799999999997</v>
      </c>
      <c r="AC83" s="72">
        <f t="shared" si="20"/>
        <v>2536.4799999999996</v>
      </c>
      <c r="AD83" s="72">
        <f t="shared" si="20"/>
        <v>2425.8799999999997</v>
      </c>
      <c r="AE83" s="72">
        <f t="shared" si="20"/>
        <v>2262.8799999999997</v>
      </c>
      <c r="AF83" s="72">
        <f t="shared" si="20"/>
        <v>1956.4799999999998</v>
      </c>
      <c r="AG83" s="78">
        <f t="shared" si="20"/>
        <v>4360.08</v>
      </c>
      <c r="AH83" s="54">
        <f t="shared" si="13"/>
        <v>3173.6800000000003</v>
      </c>
      <c r="AI83" s="55">
        <f t="shared" si="14"/>
        <v>1506.68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50.031999999999996</v>
      </c>
      <c r="C84" s="95">
        <v>49.886000000000003</v>
      </c>
      <c r="D84" s="95">
        <v>49.987000000000002</v>
      </c>
      <c r="E84" s="95">
        <v>49.98</v>
      </c>
      <c r="F84" s="95">
        <v>50</v>
      </c>
      <c r="G84" s="95">
        <v>50.055999999999997</v>
      </c>
      <c r="H84" s="95">
        <v>50.012</v>
      </c>
      <c r="I84" s="95">
        <v>50.021000000000001</v>
      </c>
      <c r="J84" s="95">
        <v>50.021000000000001</v>
      </c>
      <c r="K84" s="95">
        <v>50.021000000000001</v>
      </c>
      <c r="L84" s="95">
        <v>50.046999999999997</v>
      </c>
      <c r="M84" s="95">
        <v>49.996000000000002</v>
      </c>
      <c r="N84" s="95">
        <v>50.024000000000001</v>
      </c>
      <c r="O84" s="95">
        <v>50.021999999999998</v>
      </c>
      <c r="P84" s="95">
        <v>50.04</v>
      </c>
      <c r="Q84" s="95">
        <v>50.140999999999998</v>
      </c>
      <c r="R84" s="95">
        <v>50.072000000000003</v>
      </c>
      <c r="S84" s="95">
        <v>50.014000000000003</v>
      </c>
      <c r="T84" s="95">
        <v>49.936999999999998</v>
      </c>
      <c r="U84" s="95">
        <v>50.031999999999996</v>
      </c>
      <c r="V84" s="95">
        <v>49.962000000000003</v>
      </c>
      <c r="W84" s="95">
        <v>50.081000000000003</v>
      </c>
      <c r="X84" s="95">
        <v>50.034999999999997</v>
      </c>
      <c r="Y84" s="95">
        <v>50.033999999999999</v>
      </c>
      <c r="Z84" s="95">
        <v>50.031999999999996</v>
      </c>
      <c r="AA84" s="95">
        <v>50.012999999999998</v>
      </c>
      <c r="AB84" s="95">
        <v>50.040999999999997</v>
      </c>
      <c r="AC84" s="95">
        <v>49.99</v>
      </c>
      <c r="AD84" s="95">
        <v>50.006999999999998</v>
      </c>
      <c r="AE84" s="95">
        <v>50.06</v>
      </c>
      <c r="AF84" s="95">
        <v>50.033000000000001</v>
      </c>
      <c r="AG84" s="96"/>
      <c r="AH84" s="54">
        <f t="shared" si="13"/>
        <v>50.140999999999998</v>
      </c>
      <c r="AI84" s="55">
        <f t="shared" si="14"/>
        <v>49.886000000000003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126.4</v>
      </c>
      <c r="C85" s="73">
        <v>126.9</v>
      </c>
      <c r="D85" s="73">
        <v>127.1</v>
      </c>
      <c r="E85" s="73">
        <v>127</v>
      </c>
      <c r="F85" s="73">
        <v>127.6</v>
      </c>
      <c r="G85" s="73">
        <v>126.1</v>
      </c>
      <c r="H85" s="73">
        <v>126.2</v>
      </c>
      <c r="I85" s="73">
        <v>123.3</v>
      </c>
      <c r="J85" s="73">
        <v>123.3</v>
      </c>
      <c r="K85" s="73">
        <v>123.3</v>
      </c>
      <c r="L85" s="73">
        <v>121.3</v>
      </c>
      <c r="M85" s="73">
        <v>122.4</v>
      </c>
      <c r="N85" s="73">
        <v>121.2</v>
      </c>
      <c r="O85" s="73">
        <v>121.8</v>
      </c>
      <c r="P85" s="73">
        <v>120.7</v>
      </c>
      <c r="Q85" s="73">
        <v>121.3</v>
      </c>
      <c r="R85" s="73">
        <v>121.3</v>
      </c>
      <c r="S85" s="73">
        <v>119.2</v>
      </c>
      <c r="T85" s="73">
        <v>121.7</v>
      </c>
      <c r="U85" s="98">
        <v>120.3</v>
      </c>
      <c r="V85" s="98">
        <v>122.3</v>
      </c>
      <c r="W85" s="98">
        <v>122.1</v>
      </c>
      <c r="X85" s="98">
        <v>121.8</v>
      </c>
      <c r="Y85" s="98">
        <v>121.1</v>
      </c>
      <c r="Z85" s="98">
        <v>123.7</v>
      </c>
      <c r="AA85" s="98">
        <v>123</v>
      </c>
      <c r="AB85" s="73">
        <v>123.4</v>
      </c>
      <c r="AC85" s="73">
        <v>123.6</v>
      </c>
      <c r="AD85" s="73">
        <v>123</v>
      </c>
      <c r="AE85" s="73">
        <v>124.4</v>
      </c>
      <c r="AF85" s="73">
        <v>126</v>
      </c>
      <c r="AG85" s="99"/>
      <c r="AH85" s="54">
        <f t="shared" si="13"/>
        <v>127.6</v>
      </c>
      <c r="AI85" s="55">
        <f t="shared" si="14"/>
        <v>119.2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130.6</v>
      </c>
      <c r="C86" s="73">
        <v>131.19999999999999</v>
      </c>
      <c r="D86" s="73">
        <v>131.4</v>
      </c>
      <c r="E86" s="73">
        <v>131</v>
      </c>
      <c r="F86" s="73">
        <v>131.5</v>
      </c>
      <c r="G86" s="73">
        <v>130.1</v>
      </c>
      <c r="H86" s="73">
        <v>130.1</v>
      </c>
      <c r="I86" s="73">
        <v>127.1</v>
      </c>
      <c r="J86" s="73">
        <v>127.1</v>
      </c>
      <c r="K86" s="73">
        <v>127.1</v>
      </c>
      <c r="L86" s="73">
        <v>125.4</v>
      </c>
      <c r="M86" s="73">
        <v>125.2</v>
      </c>
      <c r="N86" s="73">
        <v>123</v>
      </c>
      <c r="O86" s="73">
        <v>123</v>
      </c>
      <c r="P86" s="73">
        <v>122.7</v>
      </c>
      <c r="Q86" s="73">
        <v>123.3</v>
      </c>
      <c r="R86" s="73">
        <v>123.8</v>
      </c>
      <c r="S86" s="73">
        <v>121.9</v>
      </c>
      <c r="T86" s="73">
        <v>123.7</v>
      </c>
      <c r="U86" s="98">
        <v>123.2</v>
      </c>
      <c r="V86" s="98">
        <v>123.2</v>
      </c>
      <c r="W86" s="98">
        <v>123.9</v>
      </c>
      <c r="X86" s="98">
        <v>123.1</v>
      </c>
      <c r="Y86" s="98">
        <v>122.3</v>
      </c>
      <c r="Z86" s="98">
        <v>124.5</v>
      </c>
      <c r="AA86" s="98">
        <v>124.6</v>
      </c>
      <c r="AB86" s="73">
        <v>125.5</v>
      </c>
      <c r="AC86" s="73">
        <v>126.3</v>
      </c>
      <c r="AD86" s="73">
        <v>126</v>
      </c>
      <c r="AE86" s="73">
        <v>127</v>
      </c>
      <c r="AF86" s="73">
        <v>129</v>
      </c>
      <c r="AG86" s="99"/>
      <c r="AH86" s="54">
        <f t="shared" si="13"/>
        <v>131.5</v>
      </c>
      <c r="AI86" s="55">
        <f t="shared" si="14"/>
        <v>121.9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129.5</v>
      </c>
      <c r="C87" s="73">
        <v>128.69999999999999</v>
      </c>
      <c r="D87" s="73">
        <v>127.6</v>
      </c>
      <c r="E87" s="73">
        <v>129.5</v>
      </c>
      <c r="F87" s="73">
        <v>128.69999999999999</v>
      </c>
      <c r="G87" s="73">
        <v>127.8</v>
      </c>
      <c r="H87" s="73">
        <v>127.6</v>
      </c>
      <c r="I87" s="73">
        <v>12</v>
      </c>
      <c r="J87" s="73">
        <v>12</v>
      </c>
      <c r="K87" s="73">
        <v>12</v>
      </c>
      <c r="L87" s="73">
        <v>127.8</v>
      </c>
      <c r="M87" s="73">
        <v>127.6</v>
      </c>
      <c r="N87" s="73">
        <v>126.1</v>
      </c>
      <c r="O87" s="73">
        <v>126.1</v>
      </c>
      <c r="P87" s="73">
        <v>128</v>
      </c>
      <c r="Q87" s="73">
        <v>129.4</v>
      </c>
      <c r="R87" s="73">
        <v>128</v>
      </c>
      <c r="S87" s="73">
        <v>127.7</v>
      </c>
      <c r="T87" s="73">
        <v>128.9</v>
      </c>
      <c r="U87" s="73">
        <v>128.6</v>
      </c>
      <c r="V87" s="73">
        <v>128.6</v>
      </c>
      <c r="W87" s="73">
        <v>126.5</v>
      </c>
      <c r="X87" s="98">
        <v>129</v>
      </c>
      <c r="Y87" s="98">
        <v>128.80000000000001</v>
      </c>
      <c r="Z87" s="98">
        <v>129.5</v>
      </c>
      <c r="AA87" s="98">
        <v>130.6</v>
      </c>
      <c r="AB87" s="73">
        <v>129.9</v>
      </c>
      <c r="AC87" s="73">
        <v>130</v>
      </c>
      <c r="AD87" s="73">
        <v>130</v>
      </c>
      <c r="AE87" s="73">
        <v>130</v>
      </c>
      <c r="AF87" s="73">
        <v>131</v>
      </c>
      <c r="AG87" s="99"/>
      <c r="AH87" s="54">
        <f t="shared" si="13"/>
        <v>131</v>
      </c>
      <c r="AI87" s="55">
        <f t="shared" si="14"/>
        <v>12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134.30000000000001</v>
      </c>
      <c r="C88" s="73">
        <v>134.1</v>
      </c>
      <c r="D88" s="73">
        <v>131.9</v>
      </c>
      <c r="E88" s="73">
        <v>133.69999999999999</v>
      </c>
      <c r="F88" s="73">
        <v>133.19999999999999</v>
      </c>
      <c r="G88" s="73">
        <v>131.1</v>
      </c>
      <c r="H88" s="73">
        <v>130.30000000000001</v>
      </c>
      <c r="I88" s="73">
        <v>131.30000000000001</v>
      </c>
      <c r="J88" s="73">
        <v>131.30000000000001</v>
      </c>
      <c r="K88" s="73">
        <v>131.30000000000001</v>
      </c>
      <c r="L88" s="73">
        <v>133.80000000000001</v>
      </c>
      <c r="M88" s="73">
        <v>131.5</v>
      </c>
      <c r="N88" s="73">
        <v>131.69999999999999</v>
      </c>
      <c r="O88" s="73">
        <v>131.69999999999999</v>
      </c>
      <c r="P88" s="73">
        <v>133.5</v>
      </c>
      <c r="Q88" s="73">
        <v>134.69999999999999</v>
      </c>
      <c r="R88" s="73">
        <v>133.80000000000001</v>
      </c>
      <c r="S88" s="73">
        <v>133.80000000000001</v>
      </c>
      <c r="T88" s="73">
        <v>134</v>
      </c>
      <c r="U88" s="73">
        <v>134.19999999999999</v>
      </c>
      <c r="V88" s="73">
        <v>134.19999999999999</v>
      </c>
      <c r="W88" s="73">
        <v>131.69999999999999</v>
      </c>
      <c r="X88" s="98">
        <v>133.5</v>
      </c>
      <c r="Y88" s="98">
        <v>134.4</v>
      </c>
      <c r="Z88" s="98">
        <v>133.6</v>
      </c>
      <c r="AA88" s="98">
        <v>135</v>
      </c>
      <c r="AB88" s="73">
        <v>135.5</v>
      </c>
      <c r="AC88" s="73">
        <v>135</v>
      </c>
      <c r="AD88" s="73">
        <v>135</v>
      </c>
      <c r="AE88" s="73">
        <v>135</v>
      </c>
      <c r="AF88" s="73">
        <v>136</v>
      </c>
      <c r="AG88" s="99"/>
      <c r="AH88" s="54">
        <f t="shared" si="13"/>
        <v>136</v>
      </c>
      <c r="AI88" s="55">
        <f t="shared" si="14"/>
        <v>130.30000000000001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134.80000000000001</v>
      </c>
      <c r="C89" s="101">
        <v>133.1</v>
      </c>
      <c r="D89" s="101">
        <v>134</v>
      </c>
      <c r="E89" s="101">
        <v>133.1</v>
      </c>
      <c r="F89" s="101">
        <v>132.80000000000001</v>
      </c>
      <c r="G89" s="101">
        <v>133.30000000000001</v>
      </c>
      <c r="H89" s="101">
        <v>133</v>
      </c>
      <c r="I89" s="101">
        <v>131.9</v>
      </c>
      <c r="J89" s="101">
        <v>131.9</v>
      </c>
      <c r="K89" s="101">
        <v>131.9</v>
      </c>
      <c r="L89" s="101">
        <v>134.30000000000001</v>
      </c>
      <c r="M89" s="101">
        <v>132</v>
      </c>
      <c r="N89" s="101">
        <v>131.9</v>
      </c>
      <c r="O89" s="101">
        <v>131.9</v>
      </c>
      <c r="P89" s="101">
        <v>135.69999999999999</v>
      </c>
      <c r="Q89" s="101">
        <v>132.6</v>
      </c>
      <c r="R89" s="101">
        <v>135.80000000000001</v>
      </c>
      <c r="S89" s="101">
        <v>134</v>
      </c>
      <c r="T89" s="101">
        <v>132.19999999999999</v>
      </c>
      <c r="U89" s="101">
        <v>146</v>
      </c>
      <c r="V89" s="101">
        <v>146</v>
      </c>
      <c r="W89" s="101">
        <v>132.19999999999999</v>
      </c>
      <c r="X89" s="98">
        <v>133.19999999999999</v>
      </c>
      <c r="Y89" s="98">
        <v>133.1</v>
      </c>
      <c r="Z89" s="98">
        <v>134.6</v>
      </c>
      <c r="AA89" s="98">
        <v>131.30000000000001</v>
      </c>
      <c r="AB89" s="101">
        <v>133.4</v>
      </c>
      <c r="AC89" s="101">
        <v>130</v>
      </c>
      <c r="AD89" s="101">
        <v>130</v>
      </c>
      <c r="AE89" s="101">
        <v>133</v>
      </c>
      <c r="AF89" s="101">
        <v>132</v>
      </c>
      <c r="AG89" s="102"/>
      <c r="AH89" s="54">
        <f t="shared" si="13"/>
        <v>146</v>
      </c>
      <c r="AI89" s="55">
        <f t="shared" si="14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136.5</v>
      </c>
      <c r="C90" s="73">
        <v>137.1</v>
      </c>
      <c r="D90" s="73">
        <v>137.69999999999999</v>
      </c>
      <c r="E90" s="73">
        <v>138.4</v>
      </c>
      <c r="F90" s="73">
        <v>38</v>
      </c>
      <c r="G90" s="73">
        <v>137.9</v>
      </c>
      <c r="H90" s="73">
        <v>136</v>
      </c>
      <c r="I90" s="73">
        <v>132.9</v>
      </c>
      <c r="J90" s="73">
        <v>132.9</v>
      </c>
      <c r="K90" s="73">
        <v>132.9</v>
      </c>
      <c r="L90" s="73">
        <v>130.19999999999999</v>
      </c>
      <c r="M90" s="73">
        <v>129.30000000000001</v>
      </c>
      <c r="N90" s="73">
        <v>129.69999999999999</v>
      </c>
      <c r="O90" s="73">
        <v>129.69999999999999</v>
      </c>
      <c r="P90" s="73">
        <v>132.69999999999999</v>
      </c>
      <c r="Q90" s="73">
        <v>131.80000000000001</v>
      </c>
      <c r="R90" s="73">
        <v>131.5</v>
      </c>
      <c r="S90" s="73">
        <v>131.4</v>
      </c>
      <c r="T90" s="73">
        <v>136.1</v>
      </c>
      <c r="U90" s="73">
        <v>136.30000000000001</v>
      </c>
      <c r="V90" s="73">
        <v>136.30000000000001</v>
      </c>
      <c r="W90" s="73">
        <v>134.80000000000001</v>
      </c>
      <c r="X90" s="98">
        <v>132.80000000000001</v>
      </c>
      <c r="Y90" s="98">
        <v>133.1</v>
      </c>
      <c r="Z90" s="98">
        <v>134.80000000000001</v>
      </c>
      <c r="AA90" s="98">
        <v>135.69999999999999</v>
      </c>
      <c r="AB90" s="73">
        <v>132.69999999999999</v>
      </c>
      <c r="AC90" s="73">
        <v>133.6</v>
      </c>
      <c r="AD90" s="73">
        <v>133</v>
      </c>
      <c r="AE90" s="73">
        <v>135</v>
      </c>
      <c r="AF90" s="73">
        <v>132</v>
      </c>
      <c r="AG90" s="99"/>
      <c r="AH90" s="54">
        <f t="shared" si="13"/>
        <v>138.4</v>
      </c>
      <c r="AI90" s="55">
        <f t="shared" si="14"/>
        <v>38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</v>
      </c>
      <c r="C91" s="103">
        <v>66.400000000000006</v>
      </c>
      <c r="D91" s="103">
        <v>66.099999999999994</v>
      </c>
      <c r="E91" s="103">
        <v>66.599999999999994</v>
      </c>
      <c r="F91" s="103">
        <v>66.8</v>
      </c>
      <c r="G91" s="103">
        <v>66</v>
      </c>
      <c r="H91" s="103">
        <v>65.5</v>
      </c>
      <c r="I91" s="103">
        <v>64.5</v>
      </c>
      <c r="J91" s="103">
        <v>64.5</v>
      </c>
      <c r="K91" s="103">
        <v>64.5</v>
      </c>
      <c r="L91" s="103">
        <v>65</v>
      </c>
      <c r="M91" s="103">
        <v>63.8</v>
      </c>
      <c r="N91" s="103">
        <v>62.8</v>
      </c>
      <c r="O91" s="103">
        <v>62.8</v>
      </c>
      <c r="P91" s="103">
        <v>61.7</v>
      </c>
      <c r="Q91" s="103">
        <v>62.4</v>
      </c>
      <c r="R91" s="103">
        <v>62.9</v>
      </c>
      <c r="S91" s="103">
        <v>61.8</v>
      </c>
      <c r="T91" s="103">
        <v>62.7</v>
      </c>
      <c r="U91" s="103">
        <v>62.5</v>
      </c>
      <c r="V91" s="103">
        <v>62.5</v>
      </c>
      <c r="W91" s="103">
        <v>63.1</v>
      </c>
      <c r="X91" s="103">
        <v>62.5</v>
      </c>
      <c r="Y91" s="103">
        <v>62</v>
      </c>
      <c r="Z91" s="103">
        <v>63.2</v>
      </c>
      <c r="AA91" s="103">
        <v>63.3</v>
      </c>
      <c r="AB91" s="103">
        <v>63.8</v>
      </c>
      <c r="AC91" s="103">
        <v>64.099999999999994</v>
      </c>
      <c r="AD91" s="103">
        <v>64</v>
      </c>
      <c r="AE91" s="103">
        <v>65</v>
      </c>
      <c r="AF91" s="103">
        <v>65.5</v>
      </c>
      <c r="AG91" s="104"/>
      <c r="AH91" s="54">
        <f t="shared" si="13"/>
        <v>66.8</v>
      </c>
      <c r="AI91" s="55">
        <f t="shared" si="14"/>
        <v>61.7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190.44</v>
      </c>
      <c r="C93" s="110">
        <f>SUM(C15,C18,C21:C22,C42,C44:C45,C47,C49,C94:C97,C102,C108,C114,C123,C125,C137,C144,C147:C148,C155,C157,C159,C163:C165,C167:C169,C174,C180:C181,C183:C185,C193,C198)</f>
        <v>173.84</v>
      </c>
      <c r="D93" s="110">
        <f t="shared" ref="D93:AF93" si="21">SUM(D15,D18,D21:D22,D42,D44:D45,D47,D49,D94:D97,D102,D108,D114,D123,D125,D137,D144,D147:D148,D155,D157,D159,D163:D165,D167:D169,D174,D180:D181,D183:D185,D193,D198)</f>
        <v>167.14</v>
      </c>
      <c r="E93" s="110">
        <f t="shared" si="21"/>
        <v>169.14</v>
      </c>
      <c r="F93" s="110">
        <f t="shared" si="21"/>
        <v>168.93999999999997</v>
      </c>
      <c r="G93" s="109">
        <f t="shared" si="21"/>
        <v>202.03999999999996</v>
      </c>
      <c r="H93" s="109">
        <f t="shared" si="21"/>
        <v>196.83999999999997</v>
      </c>
      <c r="I93" s="109">
        <f t="shared" si="21"/>
        <v>250.93999999999997</v>
      </c>
      <c r="J93" s="109">
        <f t="shared" si="21"/>
        <v>281.94</v>
      </c>
      <c r="K93" s="109">
        <f t="shared" si="21"/>
        <v>307.94000000000005</v>
      </c>
      <c r="L93" s="109">
        <f t="shared" si="21"/>
        <v>400.94</v>
      </c>
      <c r="M93" s="109">
        <f t="shared" si="21"/>
        <v>430.54000000000008</v>
      </c>
      <c r="N93" s="109">
        <f t="shared" si="21"/>
        <v>452.64000000000004</v>
      </c>
      <c r="O93" s="109">
        <f t="shared" si="21"/>
        <v>446.34000000000003</v>
      </c>
      <c r="P93" s="109">
        <f t="shared" si="21"/>
        <v>415.14000000000004</v>
      </c>
      <c r="Q93" s="109">
        <f t="shared" si="21"/>
        <v>423.54</v>
      </c>
      <c r="R93" s="109">
        <f t="shared" si="21"/>
        <v>389.94000000000005</v>
      </c>
      <c r="S93" s="109">
        <f t="shared" si="21"/>
        <v>393.44000000000005</v>
      </c>
      <c r="T93" s="109">
        <f t="shared" si="21"/>
        <v>385.34000000000003</v>
      </c>
      <c r="U93" s="109">
        <f t="shared" si="21"/>
        <v>394.84000000000003</v>
      </c>
      <c r="V93" s="109">
        <f t="shared" si="21"/>
        <v>464.14</v>
      </c>
      <c r="W93" s="109">
        <f t="shared" si="21"/>
        <v>471.44000000000005</v>
      </c>
      <c r="X93" s="109">
        <f t="shared" si="21"/>
        <v>505.54</v>
      </c>
      <c r="Y93" s="109">
        <f t="shared" si="21"/>
        <v>494.14000000000004</v>
      </c>
      <c r="Z93" s="109">
        <f t="shared" si="21"/>
        <v>498.54</v>
      </c>
      <c r="AA93" s="109">
        <f t="shared" si="21"/>
        <v>482.53999999999996</v>
      </c>
      <c r="AB93" s="109">
        <f t="shared" si="21"/>
        <v>452.44000000000005</v>
      </c>
      <c r="AC93" s="109">
        <f t="shared" si="21"/>
        <v>374.74</v>
      </c>
      <c r="AD93" s="109">
        <f t="shared" si="21"/>
        <v>372.74</v>
      </c>
      <c r="AE93" s="109">
        <f t="shared" si="21"/>
        <v>347.74</v>
      </c>
      <c r="AF93" s="109">
        <f t="shared" si="21"/>
        <v>252.23999999999998</v>
      </c>
      <c r="AG93" s="111"/>
      <c r="AH93" s="54">
        <f>MAX(C93:AF93)</f>
        <v>505.54</v>
      </c>
      <c r="AI93" s="55">
        <f>MIN(C93:AF93)</f>
        <v>167.14</v>
      </c>
    </row>
    <row r="94" spans="1:88" x14ac:dyDescent="0.25">
      <c r="A94" s="112" t="s">
        <v>98</v>
      </c>
      <c r="B94" s="175">
        <v>56</v>
      </c>
      <c r="C94" s="58">
        <v>43.9</v>
      </c>
      <c r="D94" s="58">
        <v>49.2</v>
      </c>
      <c r="E94" s="58">
        <v>38</v>
      </c>
      <c r="F94" s="58">
        <v>34.5</v>
      </c>
      <c r="G94" s="114">
        <v>52.7</v>
      </c>
      <c r="H94" s="114">
        <v>60.4</v>
      </c>
      <c r="I94" s="114">
        <v>73.900000000000006</v>
      </c>
      <c r="J94" s="114">
        <v>73.900000000000006</v>
      </c>
      <c r="K94" s="114">
        <v>73.900000000000006</v>
      </c>
      <c r="L94" s="114">
        <v>74.5</v>
      </c>
      <c r="M94" s="113">
        <v>66.3</v>
      </c>
      <c r="N94" s="114">
        <v>67</v>
      </c>
      <c r="O94" s="114">
        <v>68</v>
      </c>
      <c r="P94" s="114">
        <v>76.8</v>
      </c>
      <c r="Q94" s="114">
        <v>51</v>
      </c>
      <c r="R94" s="114">
        <v>51</v>
      </c>
      <c r="S94" s="114">
        <v>49</v>
      </c>
      <c r="T94" s="114">
        <v>56.9</v>
      </c>
      <c r="U94" s="113">
        <v>57.2</v>
      </c>
      <c r="V94" s="113">
        <v>66.7</v>
      </c>
      <c r="W94" s="113">
        <v>66.5</v>
      </c>
      <c r="X94" s="114">
        <v>67.8</v>
      </c>
      <c r="Y94" s="114">
        <v>71</v>
      </c>
      <c r="Z94" s="114">
        <v>72.7</v>
      </c>
      <c r="AA94" s="114">
        <v>62.1</v>
      </c>
      <c r="AB94" s="113">
        <v>72.400000000000006</v>
      </c>
      <c r="AC94" s="113">
        <v>42</v>
      </c>
      <c r="AD94" s="113">
        <v>43</v>
      </c>
      <c r="AE94" s="113">
        <v>39</v>
      </c>
      <c r="AF94" s="113">
        <v>30.5</v>
      </c>
      <c r="AG94" s="115">
        <v>75</v>
      </c>
      <c r="AH94" s="54">
        <f t="shared" ref="AH94:AH99" si="22">IF(ABS(MAX(C94:AF94))&gt;ABS(MIN(C94:AF94)),MAX(C94:AF94),MIN(C94:AF94))</f>
        <v>76.8</v>
      </c>
      <c r="AI94" s="116">
        <f t="shared" ref="AI94:AI99" si="23">INDEX($C$9:$AF$9,1,MATCH(AH94,C94:AF94,0))</f>
        <v>0.45833333333333298</v>
      </c>
    </row>
    <row r="95" spans="1:88" x14ac:dyDescent="0.25">
      <c r="A95" s="117" t="s">
        <v>99</v>
      </c>
      <c r="B95" s="176">
        <v>-65.7</v>
      </c>
      <c r="C95" s="60">
        <v>-70</v>
      </c>
      <c r="D95" s="60">
        <v>-73.2</v>
      </c>
      <c r="E95" s="60">
        <v>-70</v>
      </c>
      <c r="F95" s="60">
        <v>-68</v>
      </c>
      <c r="G95" s="60">
        <v>-61.5</v>
      </c>
      <c r="H95" s="60">
        <v>-58</v>
      </c>
      <c r="I95" s="60">
        <v>-48.9</v>
      </c>
      <c r="J95" s="60">
        <v>-32</v>
      </c>
      <c r="K95" s="60">
        <v>-12</v>
      </c>
      <c r="L95" s="60">
        <v>-1</v>
      </c>
      <c r="M95" s="60">
        <v>17</v>
      </c>
      <c r="N95" s="60">
        <v>29</v>
      </c>
      <c r="O95" s="60">
        <v>35</v>
      </c>
      <c r="P95" s="60">
        <f>17.9+15</f>
        <v>32.9</v>
      </c>
      <c r="Q95" s="60">
        <v>33</v>
      </c>
      <c r="R95" s="60">
        <v>22</v>
      </c>
      <c r="S95" s="60">
        <v>32.6</v>
      </c>
      <c r="T95" s="60">
        <v>18.5</v>
      </c>
      <c r="U95" s="60">
        <v>9</v>
      </c>
      <c r="V95" s="60">
        <v>66.599999999999994</v>
      </c>
      <c r="W95" s="60">
        <v>70.400000000000006</v>
      </c>
      <c r="X95" s="60">
        <v>87</v>
      </c>
      <c r="Y95" s="60">
        <v>90</v>
      </c>
      <c r="Z95" s="60">
        <v>81.3</v>
      </c>
      <c r="AA95" s="60">
        <v>80.400000000000006</v>
      </c>
      <c r="AB95" s="73">
        <f>14+9</f>
        <v>23</v>
      </c>
      <c r="AC95" s="73">
        <v>10</v>
      </c>
      <c r="AD95" s="73">
        <v>10</v>
      </c>
      <c r="AE95" s="73">
        <v>1</v>
      </c>
      <c r="AF95" s="73">
        <v>-34</v>
      </c>
      <c r="AG95" s="115">
        <v>240</v>
      </c>
      <c r="AH95" s="54">
        <f t="shared" si="22"/>
        <v>90</v>
      </c>
      <c r="AI95" s="116">
        <f t="shared" si="23"/>
        <v>0.77083333333333337</v>
      </c>
    </row>
    <row r="96" spans="1:88" x14ac:dyDescent="0.25">
      <c r="A96" s="117" t="s">
        <v>100</v>
      </c>
      <c r="B96" s="176">
        <v>-5.0999999999999996</v>
      </c>
      <c r="C96" s="60">
        <v>-7.1</v>
      </c>
      <c r="D96" s="60">
        <v>-7.5</v>
      </c>
      <c r="E96" s="60">
        <v>-6.3</v>
      </c>
      <c r="F96" s="60">
        <v>-4.8</v>
      </c>
      <c r="G96" s="60">
        <v>-6.2</v>
      </c>
      <c r="H96" s="60">
        <v>-21</v>
      </c>
      <c r="I96" s="60">
        <v>0.9</v>
      </c>
      <c r="J96" s="60">
        <v>15</v>
      </c>
      <c r="K96" s="60">
        <v>21</v>
      </c>
      <c r="L96" s="60">
        <v>37.4</v>
      </c>
      <c r="M96" s="60">
        <v>48.3</v>
      </c>
      <c r="N96" s="60">
        <v>49.3</v>
      </c>
      <c r="O96" s="60">
        <v>52</v>
      </c>
      <c r="P96" s="60">
        <v>52.6</v>
      </c>
      <c r="Q96" s="60">
        <v>53</v>
      </c>
      <c r="R96" s="60">
        <v>34</v>
      </c>
      <c r="S96" s="60">
        <v>33.5</v>
      </c>
      <c r="T96" s="60">
        <v>33</v>
      </c>
      <c r="U96" s="60">
        <v>34.299999999999997</v>
      </c>
      <c r="V96" s="60">
        <v>61.4</v>
      </c>
      <c r="W96" s="60">
        <v>61.3</v>
      </c>
      <c r="X96" s="60">
        <v>64.099999999999994</v>
      </c>
      <c r="Y96" s="60">
        <v>64.2</v>
      </c>
      <c r="Z96" s="60">
        <v>64.400000000000006</v>
      </c>
      <c r="AA96" s="60">
        <v>64.7</v>
      </c>
      <c r="AB96" s="73">
        <v>58.6</v>
      </c>
      <c r="AC96" s="73">
        <v>26</v>
      </c>
      <c r="AD96" s="73">
        <v>25</v>
      </c>
      <c r="AE96" s="73">
        <v>19</v>
      </c>
      <c r="AF96" s="73">
        <v>8</v>
      </c>
      <c r="AG96" s="115">
        <v>60</v>
      </c>
      <c r="AH96" s="54">
        <f t="shared" si="22"/>
        <v>64.7</v>
      </c>
      <c r="AI96" s="116">
        <f t="shared" si="23"/>
        <v>0.8125</v>
      </c>
    </row>
    <row r="97" spans="1:37" x14ac:dyDescent="0.25">
      <c r="A97" s="118" t="s">
        <v>101</v>
      </c>
      <c r="B97" s="177">
        <v>13.6</v>
      </c>
      <c r="C97" s="63">
        <v>15.4</v>
      </c>
      <c r="D97" s="63">
        <v>9.1999999999999993</v>
      </c>
      <c r="E97" s="63">
        <v>18</v>
      </c>
      <c r="F97" s="63">
        <v>17.8</v>
      </c>
      <c r="G97" s="63">
        <v>28</v>
      </c>
      <c r="H97" s="63">
        <v>26.4</v>
      </c>
      <c r="I97" s="63">
        <v>36</v>
      </c>
      <c r="J97" s="63">
        <v>36</v>
      </c>
      <c r="K97" s="63">
        <v>36</v>
      </c>
      <c r="L97" s="63">
        <v>101</v>
      </c>
      <c r="M97" s="63">
        <v>108.6</v>
      </c>
      <c r="N97" s="63">
        <v>117</v>
      </c>
      <c r="O97" s="63">
        <v>101</v>
      </c>
      <c r="P97" s="63">
        <v>93.3</v>
      </c>
      <c r="Q97" s="63">
        <v>97</v>
      </c>
      <c r="R97" s="63">
        <v>93</v>
      </c>
      <c r="S97" s="63">
        <v>88.4</v>
      </c>
      <c r="T97" s="63">
        <v>87</v>
      </c>
      <c r="U97" s="63">
        <v>104.4</v>
      </c>
      <c r="V97" s="63">
        <v>79.5</v>
      </c>
      <c r="W97" s="63">
        <v>83.3</v>
      </c>
      <c r="X97" s="63">
        <v>96.7</v>
      </c>
      <c r="Y97" s="63">
        <v>79</v>
      </c>
      <c r="Z97" s="63">
        <v>90.2</v>
      </c>
      <c r="AA97" s="63">
        <v>85.6</v>
      </c>
      <c r="AB97" s="119">
        <v>108.7</v>
      </c>
      <c r="AC97" s="119">
        <v>107</v>
      </c>
      <c r="AD97" s="119">
        <v>105</v>
      </c>
      <c r="AE97" s="119">
        <v>99</v>
      </c>
      <c r="AF97" s="119">
        <v>58</v>
      </c>
      <c r="AG97" s="120">
        <v>120</v>
      </c>
      <c r="AH97" s="54">
        <f t="shared" si="22"/>
        <v>117</v>
      </c>
      <c r="AI97" s="116">
        <f t="shared" si="23"/>
        <v>0.375</v>
      </c>
    </row>
    <row r="98" spans="1:37" x14ac:dyDescent="0.25">
      <c r="A98" s="118" t="s">
        <v>102</v>
      </c>
      <c r="B98" s="177">
        <v>32.1</v>
      </c>
      <c r="C98" s="63">
        <v>30.9</v>
      </c>
      <c r="D98" s="63">
        <v>27.4</v>
      </c>
      <c r="E98" s="63">
        <v>36</v>
      </c>
      <c r="F98" s="63">
        <v>30</v>
      </c>
      <c r="G98" s="63">
        <v>33</v>
      </c>
      <c r="H98" s="63">
        <v>34</v>
      </c>
      <c r="I98" s="63">
        <v>44.9</v>
      </c>
      <c r="J98" s="63">
        <v>44.9</v>
      </c>
      <c r="K98" s="63">
        <v>44.9</v>
      </c>
      <c r="L98" s="63">
        <v>75</v>
      </c>
      <c r="M98" s="63">
        <v>75.599999999999994</v>
      </c>
      <c r="N98" s="63">
        <v>74</v>
      </c>
      <c r="O98" s="63">
        <v>80</v>
      </c>
      <c r="P98" s="63">
        <v>98</v>
      </c>
      <c r="Q98" s="63">
        <v>131.6</v>
      </c>
      <c r="R98" s="63">
        <v>94</v>
      </c>
      <c r="S98" s="63">
        <v>108.1</v>
      </c>
      <c r="T98" s="63">
        <v>84.8</v>
      </c>
      <c r="U98" s="63">
        <v>91.6</v>
      </c>
      <c r="V98" s="63">
        <v>82</v>
      </c>
      <c r="W98" s="63">
        <v>89</v>
      </c>
      <c r="X98" s="63">
        <v>97</v>
      </c>
      <c r="Y98" s="63">
        <v>104.2</v>
      </c>
      <c r="Z98" s="63">
        <v>87.2</v>
      </c>
      <c r="AA98" s="63">
        <v>100.6</v>
      </c>
      <c r="AB98" s="119">
        <v>93.9</v>
      </c>
      <c r="AC98" s="119">
        <v>100</v>
      </c>
      <c r="AD98" s="119">
        <v>98</v>
      </c>
      <c r="AE98" s="119">
        <v>94</v>
      </c>
      <c r="AF98" s="119">
        <v>62</v>
      </c>
      <c r="AG98" s="120"/>
      <c r="AH98" s="54">
        <f t="shared" si="22"/>
        <v>131.6</v>
      </c>
      <c r="AI98" s="116">
        <f t="shared" si="23"/>
        <v>0.5</v>
      </c>
    </row>
    <row r="99" spans="1:37" ht="15.75" thickBot="1" x14ac:dyDescent="0.3">
      <c r="A99" s="118" t="s">
        <v>217</v>
      </c>
      <c r="B99" s="177">
        <v>23.1</v>
      </c>
      <c r="C99" s="63">
        <v>35.9</v>
      </c>
      <c r="D99" s="63">
        <v>29.5</v>
      </c>
      <c r="E99" s="63">
        <v>35.799999999999997</v>
      </c>
      <c r="F99" s="63">
        <v>36</v>
      </c>
      <c r="G99" s="63">
        <v>30</v>
      </c>
      <c r="H99" s="63">
        <v>60.9</v>
      </c>
      <c r="I99" s="63">
        <v>22.9</v>
      </c>
      <c r="J99" s="63">
        <v>22.9</v>
      </c>
      <c r="K99" s="63">
        <v>22.9</v>
      </c>
      <c r="L99" s="63">
        <v>24.3</v>
      </c>
      <c r="M99" s="63">
        <v>31.9</v>
      </c>
      <c r="N99" s="63">
        <v>40</v>
      </c>
      <c r="O99" s="63">
        <v>35</v>
      </c>
      <c r="P99" s="63">
        <v>31.8</v>
      </c>
      <c r="Q99" s="63">
        <v>65</v>
      </c>
      <c r="R99" s="63">
        <v>42</v>
      </c>
      <c r="S99" s="63">
        <v>46.8</v>
      </c>
      <c r="T99" s="63">
        <v>44.4</v>
      </c>
      <c r="U99" s="63">
        <v>40.700000000000003</v>
      </c>
      <c r="V99" s="63">
        <v>44.5</v>
      </c>
      <c r="W99" s="63">
        <v>44.6</v>
      </c>
      <c r="X99" s="63">
        <v>32.200000000000003</v>
      </c>
      <c r="Y99" s="63">
        <v>27.1</v>
      </c>
      <c r="Z99" s="63">
        <v>27.8</v>
      </c>
      <c r="AA99" s="63">
        <v>42.3</v>
      </c>
      <c r="AB99" s="119">
        <v>34.299999999999997</v>
      </c>
      <c r="AC99" s="119">
        <v>46</v>
      </c>
      <c r="AD99" s="119">
        <v>46</v>
      </c>
      <c r="AE99" s="119">
        <v>41</v>
      </c>
      <c r="AF99" s="119">
        <v>43</v>
      </c>
      <c r="AG99" s="121"/>
      <c r="AH99" s="54">
        <f t="shared" si="22"/>
        <v>65</v>
      </c>
      <c r="AI99" s="116">
        <f t="shared" si="23"/>
        <v>0.5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1393.3400000000001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2078/09/15)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830.33999999999992</v>
      </c>
      <c r="U213" s="167">
        <f t="shared" si="60"/>
        <v>795.44</v>
      </c>
      <c r="V213" s="167">
        <f t="shared" si="60"/>
        <v>771.24</v>
      </c>
      <c r="W213" s="167">
        <f t="shared" si="60"/>
        <v>764.74</v>
      </c>
      <c r="X213" s="167">
        <f t="shared" si="60"/>
        <v>753.34</v>
      </c>
      <c r="Y213" s="167">
        <f t="shared" si="60"/>
        <v>814.1400000000001</v>
      </c>
      <c r="Z213" s="167">
        <f t="shared" si="60"/>
        <v>883.34</v>
      </c>
      <c r="AA213" s="167">
        <f t="shared" si="60"/>
        <v>965.74</v>
      </c>
      <c r="AB213" s="167">
        <f t="shared" si="60"/>
        <v>1231.74</v>
      </c>
      <c r="AC213" s="167">
        <f t="shared" si="60"/>
        <v>1273.74</v>
      </c>
      <c r="AD213" s="167">
        <f t="shared" si="60"/>
        <v>1299.74</v>
      </c>
      <c r="AE213" s="167">
        <f t="shared" si="60"/>
        <v>1393.3400000000001</v>
      </c>
      <c r="AF213" s="167">
        <f t="shared" si="60"/>
        <v>1360.14</v>
      </c>
      <c r="AG213" s="167">
        <f t="shared" si="60"/>
        <v>1330.1399999999999</v>
      </c>
      <c r="AH213" s="167">
        <f t="shared" si="60"/>
        <v>1299.94</v>
      </c>
      <c r="AI213" s="167">
        <f t="shared" si="60"/>
        <v>1248.54</v>
      </c>
      <c r="AJ213" s="167">
        <f t="shared" si="60"/>
        <v>1222.6399999999999</v>
      </c>
      <c r="AK213" s="167">
        <f t="shared" si="60"/>
        <v>1249.24</v>
      </c>
      <c r="AL213" s="167">
        <f t="shared" si="60"/>
        <v>1229.54</v>
      </c>
      <c r="AM213" s="167">
        <f t="shared" si="60"/>
        <v>1248.7399999999998</v>
      </c>
      <c r="AN213" s="167">
        <f t="shared" si="60"/>
        <v>1314.1399999999999</v>
      </c>
      <c r="AO213" s="167">
        <f t="shared" si="60"/>
        <v>1453.74</v>
      </c>
      <c r="AP213" s="167">
        <f t="shared" si="60"/>
        <v>1586.8400000000001</v>
      </c>
      <c r="AQ213" s="167">
        <f t="shared" si="60"/>
        <v>1535.7400000000002</v>
      </c>
      <c r="AR213" s="167">
        <f t="shared" si="60"/>
        <v>1486.24</v>
      </c>
      <c r="AS213" s="167">
        <f t="shared" si="60"/>
        <v>1463.3400000000001</v>
      </c>
      <c r="AT213" s="167">
        <f t="shared" si="60"/>
        <v>1427.6399999999999</v>
      </c>
      <c r="AU213" s="167">
        <f t="shared" si="60"/>
        <v>1268.2399999999998</v>
      </c>
      <c r="AV213" s="167">
        <f t="shared" si="60"/>
        <v>1212.9399999999998</v>
      </c>
      <c r="AW213" s="167">
        <f t="shared" si="60"/>
        <v>1131.4399999999998</v>
      </c>
      <c r="AX213" s="167">
        <f t="shared" si="60"/>
        <v>978.2399999999999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C63:D67 P39:R39 P40:Q42 R42 R40:T41 M58:N59 X85:AA91 AB81:AF81 B81:R81 C56:AF56 B82:AF83 D193:AF199 B193:B199 C68:AF72 AB84:AF91 B84:B91 B73:AF80 B9:AF10 B191:AF191 AF57:AF59 B53:B72 AG73 AB94:AF99 B94:B99 U212:AF212 C57:L59 C60:N61 M39:O42 O58:O61 M11:P14 Q39:Q42 M36:R37 Q12:W14 M16:W32 N45:W48 P58:W67 U40:Z42 M53:AF55 Q11:AE11 Z40:AE43 X18:AF30 S36:AF36 AF42:AF43">
    <cfRule type="expression" dxfId="5266" priority="277">
      <formula>B$9&gt;=20/24</formula>
    </cfRule>
    <cfRule type="expression" dxfId="5265" priority="278">
      <formula>AND(B$9&gt;=14/24,B$9&lt;20/24)</formula>
    </cfRule>
    <cfRule type="expression" dxfId="5264" priority="279">
      <formula>AND(B$9&gt;=8/24,B$9&lt;14/24)</formula>
    </cfRule>
    <cfRule type="expression" dxfId="5263" priority="280">
      <formula>B$9&lt;8/24</formula>
    </cfRule>
  </conditionalFormatting>
  <conditionalFormatting sqref="AL4:AL6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262" priority="272">
      <formula>M$9&gt;=20/24</formula>
    </cfRule>
    <cfRule type="expression" dxfId="5261" priority="273">
      <formula>AND(M$9&gt;=14/24,M$9&lt;20/24)</formula>
    </cfRule>
    <cfRule type="expression" dxfId="5260" priority="274">
      <formula>AND(M$9&gt;=8/24,M$9&lt;14/24)</formula>
    </cfRule>
    <cfRule type="expression" dxfId="5259" priority="275">
      <formula>M$9&lt;8/24</formula>
    </cfRule>
  </conditionalFormatting>
  <conditionalFormatting sqref="M43:W43">
    <cfRule type="expression" dxfId="5258" priority="268">
      <formula>M$9&gt;=20/24</formula>
    </cfRule>
    <cfRule type="expression" dxfId="5257" priority="269">
      <formula>AND(M$9&gt;=14/24,M$9&lt;20/24)</formula>
    </cfRule>
    <cfRule type="expression" dxfId="5256" priority="270">
      <formula>AND(M$9&gt;=8/24,M$9&lt;14/24)</formula>
    </cfRule>
    <cfRule type="expression" dxfId="5255" priority="271">
      <formula>M$9&lt;8/24</formula>
    </cfRule>
  </conditionalFormatting>
  <conditionalFormatting sqref="S39:AE39">
    <cfRule type="expression" dxfId="5254" priority="260">
      <formula>S$9&gt;=20/24</formula>
    </cfRule>
    <cfRule type="expression" dxfId="5253" priority="261">
      <formula>AND(S$9&gt;=14/24,S$9&lt;20/24)</formula>
    </cfRule>
    <cfRule type="expression" dxfId="5252" priority="262">
      <formula>AND(S$9&gt;=8/24,S$9&lt;14/24)</formula>
    </cfRule>
    <cfRule type="expression" dxfId="5251" priority="263">
      <formula>S$9&lt;8/24</formula>
    </cfRule>
  </conditionalFormatting>
  <conditionalFormatting sqref="S57:AE57">
    <cfRule type="expression" dxfId="5250" priority="256">
      <formula>S$9&gt;=20/24</formula>
    </cfRule>
    <cfRule type="expression" dxfId="5249" priority="257">
      <formula>AND(S$9&gt;=14/24,S$9&lt;20/24)</formula>
    </cfRule>
    <cfRule type="expression" dxfId="5248" priority="258">
      <formula>AND(S$9&gt;=8/24,S$9&lt;14/24)</formula>
    </cfRule>
    <cfRule type="expression" dxfId="5247" priority="259">
      <formula>S$9&lt;8/24</formula>
    </cfRule>
  </conditionalFormatting>
  <conditionalFormatting sqref="S81:AA81">
    <cfRule type="expression" dxfId="5246" priority="252">
      <formula>S$9&gt;=20/24</formula>
    </cfRule>
    <cfRule type="expression" dxfId="5245" priority="253">
      <formula>AND(S$9&gt;=14/24,S$9&lt;20/24)</formula>
    </cfRule>
    <cfRule type="expression" dxfId="5244" priority="254">
      <formula>AND(S$9&gt;=8/24,S$9&lt;14/24)</formula>
    </cfRule>
    <cfRule type="expression" dxfId="5243" priority="255">
      <formula>S$9&lt;8/24</formula>
    </cfRule>
  </conditionalFormatting>
  <conditionalFormatting sqref="U84:AA84">
    <cfRule type="expression" dxfId="5242" priority="248">
      <formula>U$9&gt;=20/24</formula>
    </cfRule>
    <cfRule type="expression" dxfId="5241" priority="249">
      <formula>AND(U$9&gt;=14/24,U$9&lt;20/24)</formula>
    </cfRule>
    <cfRule type="expression" dxfId="5240" priority="250">
      <formula>AND(U$9&gt;=8/24,U$9&lt;14/24)</formula>
    </cfRule>
    <cfRule type="expression" dxfId="5239" priority="251">
      <formula>U$9&lt;8/24</formula>
    </cfRule>
  </conditionalFormatting>
  <conditionalFormatting sqref="M35:W35">
    <cfRule type="expression" dxfId="5238" priority="244">
      <formula>M$9&gt;=20/24</formula>
    </cfRule>
    <cfRule type="expression" dxfId="5237" priority="245">
      <formula>AND(M$9&gt;=14/24,M$9&lt;20/24)</formula>
    </cfRule>
    <cfRule type="expression" dxfId="5236" priority="246">
      <formula>AND(M$9&gt;=8/24,M$9&lt;14/24)</formula>
    </cfRule>
    <cfRule type="expression" dxfId="5235" priority="247">
      <formula>M$9&lt;8/24</formula>
    </cfRule>
  </conditionalFormatting>
  <conditionalFormatting sqref="M49:W49">
    <cfRule type="expression" dxfId="5234" priority="240">
      <formula>M$9&gt;=20/24</formula>
    </cfRule>
    <cfRule type="expression" dxfId="5233" priority="241">
      <formula>AND(M$9&gt;=14/24,M$9&lt;20/24)</formula>
    </cfRule>
    <cfRule type="expression" dxfId="5232" priority="242">
      <formula>AND(M$9&gt;=8/24,M$9&lt;14/24)</formula>
    </cfRule>
    <cfRule type="expression" dxfId="5231" priority="243">
      <formula>M$9&lt;8/24</formula>
    </cfRule>
  </conditionalFormatting>
  <conditionalFormatting sqref="M50:W50">
    <cfRule type="expression" dxfId="5230" priority="236">
      <formula>M$9&gt;=20/24</formula>
    </cfRule>
    <cfRule type="expression" dxfId="5229" priority="237">
      <formula>AND(M$9&gt;=14/24,M$9&lt;20/24)</formula>
    </cfRule>
    <cfRule type="expression" dxfId="5228" priority="238">
      <formula>AND(M$9&gt;=8/24,M$9&lt;14/24)</formula>
    </cfRule>
    <cfRule type="expression" dxfId="5227" priority="239">
      <formula>M$9&lt;8/24</formula>
    </cfRule>
  </conditionalFormatting>
  <conditionalFormatting sqref="M45:W48">
    <cfRule type="expression" dxfId="5226" priority="232">
      <formula>M$9&gt;=20/24</formula>
    </cfRule>
    <cfRule type="expression" dxfId="5225" priority="233">
      <formula>AND(M$9&gt;=14/24,M$9&lt;20/24)</formula>
    </cfRule>
    <cfRule type="expression" dxfId="5224" priority="234">
      <formula>AND(M$9&gt;=8/24,M$9&lt;14/24)</formula>
    </cfRule>
    <cfRule type="expression" dxfId="5223" priority="235">
      <formula>M$9&lt;8/24</formula>
    </cfRule>
  </conditionalFormatting>
  <conditionalFormatting sqref="S37:AF37">
    <cfRule type="expression" dxfId="5222" priority="228">
      <formula>S$9&gt;=20/24</formula>
    </cfRule>
    <cfRule type="expression" dxfId="5221" priority="229">
      <formula>AND(S$9&gt;=14/24,S$9&lt;20/24)</formula>
    </cfRule>
    <cfRule type="expression" dxfId="5220" priority="230">
      <formula>AND(S$9&gt;=8/24,S$9&lt;14/24)</formula>
    </cfRule>
    <cfRule type="expression" dxfId="5219" priority="231">
      <formula>S$9&lt;8/24</formula>
    </cfRule>
  </conditionalFormatting>
  <conditionalFormatting sqref="X31:AF32 X35:AF35">
    <cfRule type="expression" dxfId="5218" priority="224">
      <formula>X$9&gt;=20/24</formula>
    </cfRule>
    <cfRule type="expression" dxfId="5217" priority="225">
      <formula>AND(X$9&gt;=14/24,X$9&lt;20/24)</formula>
    </cfRule>
    <cfRule type="expression" dxfId="5216" priority="226">
      <formula>AND(X$9&gt;=8/24,X$9&lt;14/24)</formula>
    </cfRule>
    <cfRule type="expression" dxfId="5215" priority="227">
      <formula>X$9&lt;8/24</formula>
    </cfRule>
  </conditionalFormatting>
  <conditionalFormatting sqref="S42:T43 T43:Z43 S45:AF48">
    <cfRule type="expression" dxfId="5214" priority="220">
      <formula>S$9&gt;=20/24</formula>
    </cfRule>
    <cfRule type="expression" dxfId="5213" priority="221">
      <formula>AND(S$9&gt;=14/24,S$9&lt;20/24)</formula>
    </cfRule>
    <cfRule type="expression" dxfId="5212" priority="222">
      <formula>AND(S$9&gt;=8/24,S$9&lt;14/24)</formula>
    </cfRule>
    <cfRule type="expression" dxfId="5211" priority="223">
      <formula>S$9&lt;8/24</formula>
    </cfRule>
  </conditionalFormatting>
  <conditionalFormatting sqref="S49:AF49">
    <cfRule type="expression" dxfId="5210" priority="216">
      <formula>S$9&gt;=20/24</formula>
    </cfRule>
    <cfRule type="expression" dxfId="5209" priority="217">
      <formula>AND(S$9&gt;=14/24,S$9&lt;20/24)</formula>
    </cfRule>
    <cfRule type="expression" dxfId="5208" priority="218">
      <formula>AND(S$9&gt;=8/24,S$9&lt;14/24)</formula>
    </cfRule>
    <cfRule type="expression" dxfId="5207" priority="219">
      <formula>S$9&lt;8/24</formula>
    </cfRule>
  </conditionalFormatting>
  <conditionalFormatting sqref="S50:AF50">
    <cfRule type="expression" dxfId="5206" priority="212">
      <formula>S$9&gt;=20/24</formula>
    </cfRule>
    <cfRule type="expression" dxfId="5205" priority="213">
      <formula>AND(S$9&gt;=14/24,S$9&lt;20/24)</formula>
    </cfRule>
    <cfRule type="expression" dxfId="5204" priority="214">
      <formula>AND(S$9&gt;=8/24,S$9&lt;14/24)</formula>
    </cfRule>
    <cfRule type="expression" dxfId="5203" priority="215">
      <formula>S$9&lt;8/24</formula>
    </cfRule>
  </conditionalFormatting>
  <conditionalFormatting sqref="X60:AF67">
    <cfRule type="expression" dxfId="5202" priority="208">
      <formula>X$9&gt;=20/24</formula>
    </cfRule>
    <cfRule type="expression" dxfId="5201" priority="209">
      <formula>AND(X$9&gt;=14/24,X$9&lt;20/24)</formula>
    </cfRule>
    <cfRule type="expression" dxfId="5200" priority="210">
      <formula>AND(X$9&gt;=8/24,X$9&lt;14/24)</formula>
    </cfRule>
    <cfRule type="expression" dxfId="5199" priority="211">
      <formula>X$9&lt;8/24</formula>
    </cfRule>
  </conditionalFormatting>
  <conditionalFormatting sqref="I63:L67 C62:L62">
    <cfRule type="expression" dxfId="5198" priority="204">
      <formula>C$9&gt;=20/24</formula>
    </cfRule>
    <cfRule type="expression" dxfId="5197" priority="205">
      <formula>AND(C$9&gt;=14/24,C$9&lt;20/24)</formula>
    </cfRule>
    <cfRule type="expression" dxfId="5196" priority="206">
      <formula>AND(C$9&gt;=8/24,C$9&lt;14/24)</formula>
    </cfRule>
    <cfRule type="expression" dxfId="5195" priority="207">
      <formula>C$9&lt;8/24</formula>
    </cfRule>
  </conditionalFormatting>
  <conditionalFormatting sqref="U94:AA97">
    <cfRule type="expression" dxfId="5194" priority="200">
      <formula>U$9&gt;=20/24</formula>
    </cfRule>
    <cfRule type="expression" dxfId="5193" priority="201">
      <formula>AND(U$9&gt;=14/24,U$9&lt;20/24)</formula>
    </cfRule>
    <cfRule type="expression" dxfId="5192" priority="202">
      <formula>AND(U$9&gt;=8/24,U$9&lt;14/24)</formula>
    </cfRule>
    <cfRule type="expression" dxfId="5191" priority="203">
      <formula>U$9&lt;8/24</formula>
    </cfRule>
  </conditionalFormatting>
  <conditionalFormatting sqref="AG51 C11:N11 E12:N14 O11:P14 Q12:W14 M16:W32 M34:AA36 B37:AA37 Q11:AF11 X18:AF32 AB34:AF37 B38:AF56">
    <cfRule type="expression" dxfId="5190" priority="199">
      <formula>B11&gt;$AG11</formula>
    </cfRule>
  </conditionalFormatting>
  <conditionalFormatting sqref="A100:A156 A84:A97 A11:A14 A16:A32 A45:A72 A80:A82 A74:A78 A35:A43 A169:A199">
    <cfRule type="expression" dxfId="5189" priority="198">
      <formula>$AH11=0</formula>
    </cfRule>
  </conditionalFormatting>
  <conditionalFormatting sqref="U98:AA98">
    <cfRule type="expression" dxfId="5188" priority="194">
      <formula>U$9&gt;=20/24</formula>
    </cfRule>
    <cfRule type="expression" dxfId="5187" priority="195">
      <formula>AND(U$9&gt;=14/24,U$9&lt;20/24)</formula>
    </cfRule>
    <cfRule type="expression" dxfId="5186" priority="196">
      <formula>AND(U$9&gt;=8/24,U$9&lt;14/24)</formula>
    </cfRule>
    <cfRule type="expression" dxfId="5185" priority="197">
      <formula>U$9&lt;8/24</formula>
    </cfRule>
  </conditionalFormatting>
  <conditionalFormatting sqref="A98">
    <cfRule type="expression" dxfId="5184" priority="193">
      <formula>$AH98=0</formula>
    </cfRule>
  </conditionalFormatting>
  <conditionalFormatting sqref="E63:H67">
    <cfRule type="expression" dxfId="5183" priority="185">
      <formula>E$9&gt;=20/24</formula>
    </cfRule>
    <cfRule type="expression" dxfId="5182" priority="186">
      <formula>AND(E$9&gt;=14/24,E$9&lt;20/24)</formula>
    </cfRule>
    <cfRule type="expression" dxfId="5181" priority="187">
      <formula>AND(E$9&gt;=8/24,E$9&lt;14/24)</formula>
    </cfRule>
    <cfRule type="expression" dxfId="5180" priority="188">
      <formula>E$9&lt;8/24</formula>
    </cfRule>
  </conditionalFormatting>
  <conditionalFormatting sqref="M62:O67">
    <cfRule type="expression" dxfId="5179" priority="181">
      <formula>M$9&gt;=20/24</formula>
    </cfRule>
    <cfRule type="expression" dxfId="5178" priority="182">
      <formula>AND(M$9&gt;=14/24,M$9&lt;20/24)</formula>
    </cfRule>
    <cfRule type="expression" dxfId="5177" priority="183">
      <formula>AND(M$9&gt;=8/24,M$9&lt;14/24)</formula>
    </cfRule>
    <cfRule type="expression" dxfId="5176" priority="184">
      <formula>M$9&lt;8/24</formula>
    </cfRule>
  </conditionalFormatting>
  <conditionalFormatting sqref="AL3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M34:W34">
    <cfRule type="expression" dxfId="5175" priority="172">
      <formula>M$9&gt;=20/24</formula>
    </cfRule>
    <cfRule type="expression" dxfId="5174" priority="173">
      <formula>AND(M$9&gt;=14/24,M$9&lt;20/24)</formula>
    </cfRule>
    <cfRule type="expression" dxfId="5173" priority="174">
      <formula>AND(M$9&gt;=8/24,M$9&lt;14/24)</formula>
    </cfRule>
    <cfRule type="expression" dxfId="5172" priority="175">
      <formula>M$9&lt;8/24</formula>
    </cfRule>
  </conditionalFormatting>
  <conditionalFormatting sqref="X34:AF34">
    <cfRule type="expression" dxfId="5171" priority="168">
      <formula>X$9&gt;=20/24</formula>
    </cfRule>
    <cfRule type="expression" dxfId="5170" priority="169">
      <formula>AND(X$9&gt;=14/24,X$9&lt;20/24)</formula>
    </cfRule>
    <cfRule type="expression" dxfId="5169" priority="170">
      <formula>AND(X$9&gt;=8/24,X$9&lt;14/24)</formula>
    </cfRule>
    <cfRule type="expression" dxfId="5168" priority="171">
      <formula>X$9&lt;8/24</formula>
    </cfRule>
  </conditionalFormatting>
  <conditionalFormatting sqref="A34">
    <cfRule type="expression" dxfId="5167" priority="167">
      <formula>$AH34=0</formula>
    </cfRule>
  </conditionalFormatting>
  <conditionalFormatting sqref="A83">
    <cfRule type="expression" dxfId="5166" priority="166">
      <formula>$AH83=0</formula>
    </cfRule>
  </conditionalFormatting>
  <conditionalFormatting sqref="M15:W15">
    <cfRule type="expression" dxfId="5165" priority="158">
      <formula>M$9&gt;=20/24</formula>
    </cfRule>
    <cfRule type="expression" dxfId="5164" priority="159">
      <formula>AND(M$9&gt;=14/24,M$9&lt;20/24)</formula>
    </cfRule>
    <cfRule type="expression" dxfId="5163" priority="160">
      <formula>AND(M$9&gt;=8/24,M$9&lt;14/24)</formula>
    </cfRule>
    <cfRule type="expression" dxfId="5162" priority="161">
      <formula>M$9&lt;8/24</formula>
    </cfRule>
  </conditionalFormatting>
  <conditionalFormatting sqref="M15:W15">
    <cfRule type="expression" dxfId="5161" priority="157">
      <formula>M15&gt;$AG15</formula>
    </cfRule>
  </conditionalFormatting>
  <conditionalFormatting sqref="A15">
    <cfRule type="expression" dxfId="5160" priority="156">
      <formula>$AH15=0</formula>
    </cfRule>
  </conditionalFormatting>
  <conditionalFormatting sqref="A163:A168">
    <cfRule type="expression" dxfId="5159" priority="155">
      <formula>$AH163=0</formula>
    </cfRule>
  </conditionalFormatting>
  <conditionalFormatting sqref="A157:A162">
    <cfRule type="expression" dxfId="5158" priority="154">
      <formula>$AH157=0</formula>
    </cfRule>
  </conditionalFormatting>
  <conditionalFormatting sqref="Z44:AF44">
    <cfRule type="expression" dxfId="5157" priority="150">
      <formula>Z$9&gt;=20/24</formula>
    </cfRule>
    <cfRule type="expression" dxfId="5156" priority="151">
      <formula>AND(Z$9&gt;=14/24,Z$9&lt;20/24)</formula>
    </cfRule>
    <cfRule type="expression" dxfId="5155" priority="152">
      <formula>AND(Z$9&gt;=8/24,Z$9&lt;14/24)</formula>
    </cfRule>
    <cfRule type="expression" dxfId="5154" priority="153">
      <formula>Z$9&lt;8/24</formula>
    </cfRule>
  </conditionalFormatting>
  <conditionalFormatting sqref="M44:W44">
    <cfRule type="expression" dxfId="5153" priority="146">
      <formula>M$9&gt;=20/24</formula>
    </cfRule>
    <cfRule type="expression" dxfId="5152" priority="147">
      <formula>AND(M$9&gt;=14/24,M$9&lt;20/24)</formula>
    </cfRule>
    <cfRule type="expression" dxfId="5151" priority="148">
      <formula>AND(M$9&gt;=8/24,M$9&lt;14/24)</formula>
    </cfRule>
    <cfRule type="expression" dxfId="5150" priority="149">
      <formula>M$9&lt;8/24</formula>
    </cfRule>
  </conditionalFormatting>
  <conditionalFormatting sqref="S44:AF44">
    <cfRule type="expression" dxfId="5149" priority="142">
      <formula>S$9&gt;=20/24</formula>
    </cfRule>
    <cfRule type="expression" dxfId="5148" priority="143">
      <formula>AND(S$9&gt;=14/24,S$9&lt;20/24)</formula>
    </cfRule>
    <cfRule type="expression" dxfId="5147" priority="144">
      <formula>AND(S$9&gt;=8/24,S$9&lt;14/24)</formula>
    </cfRule>
    <cfRule type="expression" dxfId="5146" priority="145">
      <formula>S$9&lt;8/24</formula>
    </cfRule>
  </conditionalFormatting>
  <conditionalFormatting sqref="A44">
    <cfRule type="expression" dxfId="5145" priority="141">
      <formula>$AH44=0</formula>
    </cfRule>
  </conditionalFormatting>
  <conditionalFormatting sqref="A79">
    <cfRule type="expression" dxfId="5144" priority="140">
      <formula>$AH79=0</formula>
    </cfRule>
  </conditionalFormatting>
  <conditionalFormatting sqref="A73">
    <cfRule type="expression" dxfId="5143" priority="139">
      <formula>$AH73=0</formula>
    </cfRule>
  </conditionalFormatting>
  <conditionalFormatting sqref="AL34:AL35 AL7:AL31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5142" priority="131">
      <formula>U$9&gt;=20/24</formula>
    </cfRule>
    <cfRule type="expression" dxfId="5141" priority="132">
      <formula>AND(U$9&gt;=14/24,U$9&lt;20/24)</formula>
    </cfRule>
    <cfRule type="expression" dxfId="5140" priority="133">
      <formula>AND(U$9&gt;=8/24,U$9&lt;14/24)</formula>
    </cfRule>
    <cfRule type="expression" dxfId="5139" priority="134">
      <formula>U$9&lt;8/24</formula>
    </cfRule>
  </conditionalFormatting>
  <conditionalFormatting sqref="S85:T91 C84:R91">
    <cfRule type="expression" dxfId="5138" priority="127">
      <formula>C$9&gt;=20/24</formula>
    </cfRule>
    <cfRule type="expression" dxfId="5137" priority="128">
      <formula>AND(C$9&gt;=14/24,C$9&lt;20/24)</formula>
    </cfRule>
    <cfRule type="expression" dxfId="5136" priority="129">
      <formula>AND(C$9&gt;=8/24,C$9&lt;14/24)</formula>
    </cfRule>
    <cfRule type="expression" dxfId="5135" priority="130">
      <formula>C$9&lt;8/24</formula>
    </cfRule>
  </conditionalFormatting>
  <conditionalFormatting sqref="S84:T84">
    <cfRule type="expression" dxfId="5134" priority="123">
      <formula>S$9&gt;=20/24</formula>
    </cfRule>
    <cfRule type="expression" dxfId="5133" priority="124">
      <formula>AND(S$9&gt;=14/24,S$9&lt;20/24)</formula>
    </cfRule>
    <cfRule type="expression" dxfId="5132" priority="125">
      <formula>AND(S$9&gt;=8/24,S$9&lt;14/24)</formula>
    </cfRule>
    <cfRule type="expression" dxfId="5131" priority="126">
      <formula>S$9&lt;8/24</formula>
    </cfRule>
  </conditionalFormatting>
  <conditionalFormatting sqref="C94:F94 C95:M97">
    <cfRule type="expression" dxfId="5130" priority="119">
      <formula>C$9&gt;=20/24</formula>
    </cfRule>
    <cfRule type="expression" dxfId="5129" priority="120">
      <formula>AND(C$9&gt;=14/24,C$9&lt;20/24)</formula>
    </cfRule>
    <cfRule type="expression" dxfId="5128" priority="121">
      <formula>AND(C$9&gt;=8/24,C$9&lt;14/24)</formula>
    </cfRule>
    <cfRule type="expression" dxfId="5127" priority="122">
      <formula>C$9&lt;8/24</formula>
    </cfRule>
  </conditionalFormatting>
  <conditionalFormatting sqref="N95:R97 O94:R94">
    <cfRule type="expression" dxfId="5126" priority="115">
      <formula>N$9&gt;=20/24</formula>
    </cfRule>
    <cfRule type="expression" dxfId="5125" priority="116">
      <formula>AND(N$9&gt;=14/24,N$9&lt;20/24)</formula>
    </cfRule>
    <cfRule type="expression" dxfId="5124" priority="117">
      <formula>AND(N$9&gt;=8/24,N$9&lt;14/24)</formula>
    </cfRule>
    <cfRule type="expression" dxfId="5123" priority="118">
      <formula>N$9&lt;8/24</formula>
    </cfRule>
  </conditionalFormatting>
  <conditionalFormatting sqref="S94:T97">
    <cfRule type="expression" dxfId="5122" priority="111">
      <formula>S$9&gt;=20/24</formula>
    </cfRule>
    <cfRule type="expression" dxfId="5121" priority="112">
      <formula>AND(S$9&gt;=14/24,S$9&lt;20/24)</formula>
    </cfRule>
    <cfRule type="expression" dxfId="5120" priority="113">
      <formula>AND(S$9&gt;=8/24,S$9&lt;14/24)</formula>
    </cfRule>
    <cfRule type="expression" dxfId="5119" priority="114">
      <formula>S$9&lt;8/24</formula>
    </cfRule>
  </conditionalFormatting>
  <conditionalFormatting sqref="C98:M98">
    <cfRule type="expression" dxfId="5118" priority="107">
      <formula>C$9&gt;=20/24</formula>
    </cfRule>
    <cfRule type="expression" dxfId="5117" priority="108">
      <formula>AND(C$9&gt;=14/24,C$9&lt;20/24)</formula>
    </cfRule>
    <cfRule type="expression" dxfId="5116" priority="109">
      <formula>AND(C$9&gt;=8/24,C$9&lt;14/24)</formula>
    </cfRule>
    <cfRule type="expression" dxfId="5115" priority="110">
      <formula>C$9&lt;8/24</formula>
    </cfRule>
  </conditionalFormatting>
  <conditionalFormatting sqref="N98:R98">
    <cfRule type="expression" dxfId="5114" priority="103">
      <formula>N$9&gt;=20/24</formula>
    </cfRule>
    <cfRule type="expression" dxfId="5113" priority="104">
      <formula>AND(N$9&gt;=14/24,N$9&lt;20/24)</formula>
    </cfRule>
    <cfRule type="expression" dxfId="5112" priority="105">
      <formula>AND(N$9&gt;=8/24,N$9&lt;14/24)</formula>
    </cfRule>
    <cfRule type="expression" dxfId="5111" priority="106">
      <formula>N$9&lt;8/24</formula>
    </cfRule>
  </conditionalFormatting>
  <conditionalFormatting sqref="S98:T98">
    <cfRule type="expression" dxfId="5110" priority="99">
      <formula>S$9&gt;=20/24</formula>
    </cfRule>
    <cfRule type="expression" dxfId="5109" priority="100">
      <formula>AND(S$9&gt;=14/24,S$9&lt;20/24)</formula>
    </cfRule>
    <cfRule type="expression" dxfId="5108" priority="101">
      <formula>AND(S$9&gt;=8/24,S$9&lt;14/24)</formula>
    </cfRule>
    <cfRule type="expression" dxfId="5107" priority="102">
      <formula>S$9&lt;8/24</formula>
    </cfRule>
  </conditionalFormatting>
  <conditionalFormatting sqref="M94:N94">
    <cfRule type="expression" dxfId="5106" priority="95">
      <formula>M$9&gt;=20/24</formula>
    </cfRule>
    <cfRule type="expression" dxfId="5105" priority="96">
      <formula>AND(M$9&gt;=14/24,M$9&lt;20/24)</formula>
    </cfRule>
    <cfRule type="expression" dxfId="5104" priority="97">
      <formula>AND(M$9&gt;=8/24,M$9&lt;14/24)</formula>
    </cfRule>
    <cfRule type="expression" dxfId="5103" priority="98">
      <formula>M$9&lt;8/24</formula>
    </cfRule>
  </conditionalFormatting>
  <conditionalFormatting sqref="G94:L94">
    <cfRule type="expression" dxfId="5102" priority="91">
      <formula>G$9&gt;=20/24</formula>
    </cfRule>
    <cfRule type="expression" dxfId="5101" priority="92">
      <formula>AND(G$9&gt;=14/24,G$9&lt;20/24)</formula>
    </cfRule>
    <cfRule type="expression" dxfId="5100" priority="93">
      <formula>AND(G$9&gt;=8/24,G$9&lt;14/24)</formula>
    </cfRule>
    <cfRule type="expression" dxfId="5099" priority="94">
      <formula>G$9&lt;8/24</formula>
    </cfRule>
  </conditionalFormatting>
  <conditionalFormatting sqref="U94:W94">
    <cfRule type="expression" dxfId="5098" priority="87">
      <formula>U$9&gt;=20/24</formula>
    </cfRule>
    <cfRule type="expression" dxfId="5097" priority="88">
      <formula>AND(U$9&gt;=14/24,U$9&lt;20/24)</formula>
    </cfRule>
    <cfRule type="expression" dxfId="5096" priority="89">
      <formula>AND(U$9&gt;=8/24,U$9&lt;14/24)</formula>
    </cfRule>
    <cfRule type="expression" dxfId="5095" priority="90">
      <formula>U$9&lt;8/24</formula>
    </cfRule>
  </conditionalFormatting>
  <conditionalFormatting sqref="N94:T94">
    <cfRule type="expression" dxfId="5094" priority="83">
      <formula>N$9&gt;=20/24</formula>
    </cfRule>
    <cfRule type="expression" dxfId="5093" priority="84">
      <formula>AND(N$9&gt;=14/24,N$9&lt;20/24)</formula>
    </cfRule>
    <cfRule type="expression" dxfId="5092" priority="85">
      <formula>AND(N$9&gt;=8/24,N$9&lt;14/24)</formula>
    </cfRule>
    <cfRule type="expression" dxfId="5091" priority="86">
      <formula>N$9&lt;8/24</formula>
    </cfRule>
  </conditionalFormatting>
  <conditionalFormatting sqref="U99:AA99">
    <cfRule type="expression" dxfId="5090" priority="79">
      <formula>U$9&gt;=20/24</formula>
    </cfRule>
    <cfRule type="expression" dxfId="5089" priority="80">
      <formula>AND(U$9&gt;=14/24,U$9&lt;20/24)</formula>
    </cfRule>
    <cfRule type="expression" dxfId="5088" priority="81">
      <formula>AND(U$9&gt;=8/24,U$9&lt;14/24)</formula>
    </cfRule>
    <cfRule type="expression" dxfId="5087" priority="82">
      <formula>U$9&lt;8/24</formula>
    </cfRule>
  </conditionalFormatting>
  <conditionalFormatting sqref="C99:M99">
    <cfRule type="expression" dxfId="5086" priority="75">
      <formula>C$9&gt;=20/24</formula>
    </cfRule>
    <cfRule type="expression" dxfId="5085" priority="76">
      <formula>AND(C$9&gt;=14/24,C$9&lt;20/24)</formula>
    </cfRule>
    <cfRule type="expression" dxfId="5084" priority="77">
      <formula>AND(C$9&gt;=8/24,C$9&lt;14/24)</formula>
    </cfRule>
    <cfRule type="expression" dxfId="5083" priority="78">
      <formula>C$9&lt;8/24</formula>
    </cfRule>
  </conditionalFormatting>
  <conditionalFormatting sqref="N99:R99">
    <cfRule type="expression" dxfId="5082" priority="71">
      <formula>N$9&gt;=20/24</formula>
    </cfRule>
    <cfRule type="expression" dxfId="5081" priority="72">
      <formula>AND(N$9&gt;=14/24,N$9&lt;20/24)</formula>
    </cfRule>
    <cfRule type="expression" dxfId="5080" priority="73">
      <formula>AND(N$9&gt;=8/24,N$9&lt;14/24)</formula>
    </cfRule>
    <cfRule type="expression" dxfId="5079" priority="74">
      <formula>N$9&lt;8/24</formula>
    </cfRule>
  </conditionalFormatting>
  <conditionalFormatting sqref="S99:T99">
    <cfRule type="expression" dxfId="5078" priority="67">
      <formula>S$9&gt;=20/24</formula>
    </cfRule>
    <cfRule type="expression" dxfId="5077" priority="68">
      <formula>AND(S$9&gt;=14/24,S$9&lt;20/24)</formula>
    </cfRule>
    <cfRule type="expression" dxfId="5076" priority="69">
      <formula>AND(S$9&gt;=8/24,S$9&lt;14/24)</formula>
    </cfRule>
    <cfRule type="expression" dxfId="5075" priority="70">
      <formula>S$9&lt;8/24</formula>
    </cfRule>
  </conditionalFormatting>
  <conditionalFormatting sqref="X12:AF16">
    <cfRule type="expression" dxfId="5074" priority="63">
      <formula>X$9&gt;=20/24</formula>
    </cfRule>
    <cfRule type="expression" dxfId="5073" priority="64">
      <formula>AND(X$9&gt;=14/24,X$9&lt;20/24)</formula>
    </cfRule>
    <cfRule type="expression" dxfId="5072" priority="65">
      <formula>AND(X$9&gt;=8/24,X$9&lt;14/24)</formula>
    </cfRule>
    <cfRule type="expression" dxfId="5071" priority="66">
      <formula>X$9&lt;8/24</formula>
    </cfRule>
  </conditionalFormatting>
  <conditionalFormatting sqref="X17:AF17">
    <cfRule type="expression" dxfId="5070" priority="59">
      <formula>X$9&gt;=20/24</formula>
    </cfRule>
    <cfRule type="expression" dxfId="5069" priority="60">
      <formula>AND(X$9&gt;=14/24,X$9&lt;20/24)</formula>
    </cfRule>
    <cfRule type="expression" dxfId="5068" priority="61">
      <formula>AND(X$9&gt;=8/24,X$9&lt;14/24)</formula>
    </cfRule>
    <cfRule type="expression" dxfId="5067" priority="62">
      <formula>X$9&lt;8/24</formula>
    </cfRule>
  </conditionalFormatting>
  <conditionalFormatting sqref="X12:AF13">
    <cfRule type="expression" dxfId="5066" priority="55">
      <formula>X$9&gt;=20/24</formula>
    </cfRule>
    <cfRule type="expression" dxfId="5065" priority="56">
      <formula>AND(X$9&gt;=14/24,X$9&lt;20/24)</formula>
    </cfRule>
    <cfRule type="expression" dxfId="5064" priority="57">
      <formula>AND(X$9&gt;=8/24,X$9&lt;14/24)</formula>
    </cfRule>
    <cfRule type="expression" dxfId="5063" priority="58">
      <formula>X$9&lt;8/24</formula>
    </cfRule>
  </conditionalFormatting>
  <conditionalFormatting sqref="AC58:AE59">
    <cfRule type="expression" dxfId="5062" priority="51">
      <formula>AC$9&gt;=20/24</formula>
    </cfRule>
    <cfRule type="expression" dxfId="5061" priority="52">
      <formula>AND(AC$9&gt;=14/24,AC$9&lt;20/24)</formula>
    </cfRule>
    <cfRule type="expression" dxfId="5060" priority="53">
      <formula>AND(AC$9&gt;=8/24,AC$9&lt;14/24)</formula>
    </cfRule>
    <cfRule type="expression" dxfId="5059" priority="54">
      <formula>AC$9&lt;8/24</formula>
    </cfRule>
  </conditionalFormatting>
  <conditionalFormatting sqref="AL33">
    <cfRule type="iconSet" priority="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58" priority="284">
      <formula>C$9&gt;=20/24</formula>
    </cfRule>
    <cfRule type="expression" dxfId="5057" priority="285">
      <formula>AND(C$9&gt;=14/24,C$9&lt;20/24)</formula>
    </cfRule>
    <cfRule type="expression" dxfId="5056" priority="286">
      <formula>AND(C$9&gt;=8/24,C$9&lt;14/24)</formula>
    </cfRule>
    <cfRule type="expression" dxfId="5055" priority="287">
      <formula>C$9&lt;8/24</formula>
    </cfRule>
  </conditionalFormatting>
  <conditionalFormatting sqref="A200">
    <cfRule type="expression" dxfId="5054" priority="288">
      <formula>$AH200=0</formula>
    </cfRule>
  </conditionalFormatting>
  <conditionalFormatting sqref="AG212">
    <cfRule type="expression" dxfId="5053" priority="289">
      <formula>B$9&gt;=20/24</formula>
    </cfRule>
    <cfRule type="expression" dxfId="5052" priority="290">
      <formula>AND(B$9&gt;=14/24,B$9&lt;20/24)</formula>
    </cfRule>
    <cfRule type="expression" dxfId="5051" priority="291">
      <formula>AND(B$9&gt;=8/24,B$9&lt;14/24)</formula>
    </cfRule>
    <cfRule type="expression" dxfId="5050" priority="292">
      <formula>B$9&lt;8/24</formula>
    </cfRule>
  </conditionalFormatting>
  <conditionalFormatting sqref="S8">
    <cfRule type="expression" dxfId="5049" priority="45">
      <formula>U$9&gt;=20/24</formula>
    </cfRule>
    <cfRule type="expression" dxfId="5048" priority="46">
      <formula>AND(U$9&gt;=14/24,U$9&lt;20/24)</formula>
    </cfRule>
    <cfRule type="expression" dxfId="5047" priority="47">
      <formula>AND(U$9&gt;=8/24,U$9&lt;14/24)</formula>
    </cfRule>
    <cfRule type="expression" dxfId="5046" priority="48">
      <formula>U$9&lt;8/24</formula>
    </cfRule>
  </conditionalFormatting>
  <conditionalFormatting sqref="AB8">
    <cfRule type="expression" dxfId="5045" priority="41">
      <formula>AD$9&gt;=20/24</formula>
    </cfRule>
    <cfRule type="expression" dxfId="5044" priority="42">
      <formula>AND(AD$9&gt;=14/24,AD$9&lt;20/24)</formula>
    </cfRule>
    <cfRule type="expression" dxfId="5043" priority="43">
      <formula>AND(AD$9&gt;=8/24,AD$9&lt;14/24)</formula>
    </cfRule>
    <cfRule type="expression" dxfId="5042" priority="44">
      <formula>AD$9&lt;8/24</formula>
    </cfRule>
  </conditionalFormatting>
  <conditionalFormatting sqref="AH212:AX212">
    <cfRule type="expression" dxfId="5041" priority="293">
      <formula>AG$9&gt;=20/24</formula>
    </cfRule>
    <cfRule type="expression" dxfId="5040" priority="294">
      <formula>AND(AG$9&gt;=14/24,AG$9&lt;20/24)</formula>
    </cfRule>
    <cfRule type="expression" dxfId="5039" priority="295">
      <formula>AND(AG$9&gt;=8/24,AG$9&lt;14/24)</formula>
    </cfRule>
    <cfRule type="expression" dxfId="5038" priority="296">
      <formula>AG$9&lt;8/24</formula>
    </cfRule>
  </conditionalFormatting>
  <conditionalFormatting sqref="T212">
    <cfRule type="expression" dxfId="5037" priority="297">
      <formula>AX$9&gt;=20/24</formula>
    </cfRule>
    <cfRule type="expression" dxfId="5036" priority="298">
      <formula>AND(AX$9&gt;=14/24,AX$9&lt;20/24)</formula>
    </cfRule>
    <cfRule type="expression" dxfId="5035" priority="299">
      <formula>AND(AX$9&gt;=8/24,AX$9&lt;14/24)</formula>
    </cfRule>
    <cfRule type="expression" dxfId="5034" priority="300">
      <formula>AX$9&lt;8/24</formula>
    </cfRule>
  </conditionalFormatting>
  <conditionalFormatting sqref="A99">
    <cfRule type="expression" dxfId="5033" priority="40">
      <formula>$AH99=0</formula>
    </cfRule>
  </conditionalFormatting>
  <conditionalFormatting sqref="M33:W33">
    <cfRule type="expression" dxfId="5032" priority="36">
      <formula>M$9&gt;=20/24</formula>
    </cfRule>
    <cfRule type="expression" dxfId="5031" priority="37">
      <formula>AND(M$9&gt;=14/24,M$9&lt;20/24)</formula>
    </cfRule>
    <cfRule type="expression" dxfId="5030" priority="38">
      <formula>AND(M$9&gt;=8/24,M$9&lt;14/24)</formula>
    </cfRule>
    <cfRule type="expression" dxfId="5029" priority="39">
      <formula>M$9&lt;8/24</formula>
    </cfRule>
  </conditionalFormatting>
  <conditionalFormatting sqref="X33:AF33">
    <cfRule type="expression" dxfId="5028" priority="28">
      <formula>X$9&gt;=20/24</formula>
    </cfRule>
    <cfRule type="expression" dxfId="5027" priority="29">
      <formula>AND(X$9&gt;=14/24,X$9&lt;20/24)</formula>
    </cfRule>
    <cfRule type="expression" dxfId="5026" priority="30">
      <formula>AND(X$9&gt;=8/24,X$9&lt;14/24)</formula>
    </cfRule>
    <cfRule type="expression" dxfId="5025" priority="31">
      <formula>X$9&lt;8/24</formula>
    </cfRule>
  </conditionalFormatting>
  <conditionalFormatting sqref="M33:AF33">
    <cfRule type="expression" dxfId="5024" priority="27">
      <formula>M33&gt;$AG33</formula>
    </cfRule>
  </conditionalFormatting>
  <conditionalFormatting sqref="B13:D14 B28:L31 B16:L26 B36:L36">
    <cfRule type="expression" dxfId="5023" priority="23">
      <formula>B$9&gt;=20/24</formula>
    </cfRule>
    <cfRule type="expression" dxfId="5022" priority="24">
      <formula>AND(B$9&gt;=14/24,B$9&lt;20/24)</formula>
    </cfRule>
    <cfRule type="expression" dxfId="5021" priority="25">
      <formula>AND(B$9&gt;=8/24,B$9&lt;14/24)</formula>
    </cfRule>
    <cfRule type="expression" dxfId="5020" priority="26">
      <formula>B$9&lt;8/24</formula>
    </cfRule>
  </conditionalFormatting>
  <conditionalFormatting sqref="B32:L32">
    <cfRule type="expression" dxfId="5019" priority="19">
      <formula>B$9&gt;=20/24</formula>
    </cfRule>
    <cfRule type="expression" dxfId="5018" priority="20">
      <formula>AND(B$9&gt;=14/24,B$9&lt;20/24)</formula>
    </cfRule>
    <cfRule type="expression" dxfId="5017" priority="21">
      <formula>AND(B$9&gt;=8/24,B$9&lt;14/24)</formula>
    </cfRule>
    <cfRule type="expression" dxfId="5016" priority="22">
      <formula>B$9&lt;8/24</formula>
    </cfRule>
  </conditionalFormatting>
  <conditionalFormatting sqref="B35:L35">
    <cfRule type="expression" dxfId="5015" priority="15">
      <formula>B$9&gt;=20/24</formula>
    </cfRule>
    <cfRule type="expression" dxfId="5014" priority="16">
      <formula>AND(B$9&gt;=14/24,B$9&lt;20/24)</formula>
    </cfRule>
    <cfRule type="expression" dxfId="5013" priority="17">
      <formula>AND(B$9&gt;=8/24,B$9&lt;14/24)</formula>
    </cfRule>
    <cfRule type="expression" dxfId="5012" priority="18">
      <formula>B$9&lt;8/24</formula>
    </cfRule>
  </conditionalFormatting>
  <conditionalFormatting sqref="B11:B32 C12:D32 E15:L32 B34:L36">
    <cfRule type="expression" dxfId="5011" priority="14">
      <formula>B11&gt;$AG11</formula>
    </cfRule>
  </conditionalFormatting>
  <conditionalFormatting sqref="B34:L34">
    <cfRule type="expression" dxfId="5010" priority="10">
      <formula>B$9&gt;=20/24</formula>
    </cfRule>
    <cfRule type="expression" dxfId="5009" priority="11">
      <formula>AND(B$9&gt;=14/24,B$9&lt;20/24)</formula>
    </cfRule>
    <cfRule type="expression" dxfId="5008" priority="12">
      <formula>AND(B$9&gt;=8/24,B$9&lt;14/24)</formula>
    </cfRule>
    <cfRule type="expression" dxfId="5007" priority="13">
      <formula>B$9&lt;8/24</formula>
    </cfRule>
  </conditionalFormatting>
  <conditionalFormatting sqref="B15:L15">
    <cfRule type="expression" dxfId="5006" priority="6">
      <formula>B$9&gt;=20/24</formula>
    </cfRule>
    <cfRule type="expression" dxfId="5005" priority="7">
      <formula>AND(B$9&gt;=14/24,B$9&lt;20/24)</formula>
    </cfRule>
    <cfRule type="expression" dxfId="5004" priority="8">
      <formula>AND(B$9&gt;=8/24,B$9&lt;14/24)</formula>
    </cfRule>
    <cfRule type="expression" dxfId="5003" priority="9">
      <formula>B$9&lt;8/24</formula>
    </cfRule>
  </conditionalFormatting>
  <conditionalFormatting sqref="B33:L33">
    <cfRule type="expression" dxfId="5002" priority="2">
      <formula>B$9&gt;=20/24</formula>
    </cfRule>
    <cfRule type="expression" dxfId="5001" priority="3">
      <formula>AND(B$9&gt;=14/24,B$9&lt;20/24)</formula>
    </cfRule>
    <cfRule type="expression" dxfId="5000" priority="4">
      <formula>AND(B$9&gt;=8/24,B$9&lt;14/24)</formula>
    </cfRule>
    <cfRule type="expression" dxfId="4999" priority="5">
      <formula>B$9&lt;8/24</formula>
    </cfRule>
  </conditionalFormatting>
  <conditionalFormatting sqref="B33:L33">
    <cfRule type="expression" dxfId="4998" priority="1">
      <formula>B33&gt;$AG33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" id="{5ACE2E02-FE53-4481-B2C3-86B4C5852EA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9" sqref="N9:N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8" width="6.85546875" customWidth="1"/>
    <col min="29" max="29" width="6.28515625" bestFit="1" customWidth="1"/>
    <col min="3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2078/09/16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</v>
      </c>
      <c r="C5" s="32">
        <f t="shared" si="0"/>
        <v>44</v>
      </c>
      <c r="D5" s="32">
        <f t="shared" si="0"/>
        <v>44</v>
      </c>
      <c r="E5" s="32">
        <f t="shared" si="0"/>
        <v>41</v>
      </c>
      <c r="F5" s="32">
        <f t="shared" si="0"/>
        <v>48</v>
      </c>
      <c r="G5" s="32">
        <f t="shared" si="0"/>
        <v>52</v>
      </c>
      <c r="H5" s="32">
        <f t="shared" si="0"/>
        <v>115</v>
      </c>
      <c r="I5" s="32">
        <f t="shared" si="0"/>
        <v>120</v>
      </c>
      <c r="J5" s="32">
        <f t="shared" si="0"/>
        <v>113</v>
      </c>
      <c r="K5" s="32">
        <f t="shared" si="0"/>
        <v>101</v>
      </c>
      <c r="L5" s="32">
        <f t="shared" si="0"/>
        <v>56</v>
      </c>
      <c r="M5" s="32">
        <f t="shared" si="0"/>
        <v>83</v>
      </c>
      <c r="N5" s="32">
        <f t="shared" si="0"/>
        <v>183.7</v>
      </c>
      <c r="O5" s="32">
        <f t="shared" si="0"/>
        <v>215</v>
      </c>
      <c r="P5" s="32">
        <f t="shared" si="0"/>
        <v>305.3</v>
      </c>
      <c r="Q5" s="32">
        <f t="shared" si="0"/>
        <v>296</v>
      </c>
      <c r="R5" s="32">
        <f t="shared" si="0"/>
        <v>335.40000000000003</v>
      </c>
      <c r="S5" s="32">
        <f t="shared" si="0"/>
        <v>352.5</v>
      </c>
      <c r="T5" s="32">
        <f t="shared" si="0"/>
        <v>362.8</v>
      </c>
      <c r="U5" s="32">
        <f t="shared" si="0"/>
        <v>362.1</v>
      </c>
      <c r="V5" s="32">
        <f t="shared" si="0"/>
        <v>290.8</v>
      </c>
      <c r="W5" s="32">
        <f t="shared" si="0"/>
        <v>288.7</v>
      </c>
      <c r="X5" s="32">
        <f t="shared" si="0"/>
        <v>195.9</v>
      </c>
      <c r="Y5" s="32">
        <f t="shared" si="0"/>
        <v>252.2</v>
      </c>
      <c r="Z5" s="32">
        <f t="shared" si="0"/>
        <v>223.3</v>
      </c>
      <c r="AA5" s="32">
        <f t="shared" si="0"/>
        <v>247</v>
      </c>
      <c r="AB5" s="32">
        <f t="shared" si="0"/>
        <v>224.5</v>
      </c>
      <c r="AC5" s="32">
        <f t="shared" si="0"/>
        <v>177</v>
      </c>
      <c r="AD5" s="32">
        <f t="shared" si="0"/>
        <v>170.6</v>
      </c>
      <c r="AE5" s="32">
        <f t="shared" si="0"/>
        <v>101.2</v>
      </c>
      <c r="AF5" s="32">
        <f>B68</f>
        <v>138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Load=871</v>
      </c>
      <c r="B7" s="37">
        <f>B75</f>
        <v>955.2399999999999</v>
      </c>
      <c r="C7" s="37">
        <f t="shared" ref="C7:AF7" si="1">C75</f>
        <v>918.04</v>
      </c>
      <c r="D7" s="37">
        <f t="shared" si="1"/>
        <v>900.7399999999999</v>
      </c>
      <c r="E7" s="37">
        <f t="shared" si="1"/>
        <v>882.74</v>
      </c>
      <c r="F7" s="37">
        <f t="shared" si="1"/>
        <v>870.63999999999987</v>
      </c>
      <c r="G7" s="37">
        <f t="shared" si="1"/>
        <v>941.2399999999999</v>
      </c>
      <c r="H7" s="37">
        <f t="shared" si="1"/>
        <v>1016.24</v>
      </c>
      <c r="I7" s="37">
        <f t="shared" si="1"/>
        <v>1131.24</v>
      </c>
      <c r="J7" s="37">
        <f t="shared" si="1"/>
        <v>1184.24</v>
      </c>
      <c r="K7" s="37">
        <f t="shared" si="1"/>
        <v>1381.94</v>
      </c>
      <c r="L7" s="37">
        <f t="shared" si="1"/>
        <v>1499.94</v>
      </c>
      <c r="M7" s="37">
        <f t="shared" si="1"/>
        <v>1489.94</v>
      </c>
      <c r="N7" s="37">
        <f t="shared" si="1"/>
        <v>1516.14</v>
      </c>
      <c r="O7" s="37">
        <f t="shared" si="1"/>
        <v>1505.3400000000001</v>
      </c>
      <c r="P7" s="37">
        <f t="shared" si="1"/>
        <v>1408.3400000000001</v>
      </c>
      <c r="Q7" s="37">
        <f t="shared" si="1"/>
        <v>1261.94</v>
      </c>
      <c r="R7" s="37">
        <f t="shared" si="1"/>
        <v>1253.94</v>
      </c>
      <c r="S7" s="37">
        <f t="shared" si="1"/>
        <v>1233.6399999999999</v>
      </c>
      <c r="T7" s="37">
        <f t="shared" si="1"/>
        <v>1236.94</v>
      </c>
      <c r="U7" s="37">
        <f t="shared" si="1"/>
        <v>1244.8400000000001</v>
      </c>
      <c r="V7" s="37">
        <f t="shared" si="1"/>
        <v>1289.8400000000001</v>
      </c>
      <c r="W7" s="37">
        <f t="shared" si="1"/>
        <v>1438.54</v>
      </c>
      <c r="X7" s="37">
        <f t="shared" si="1"/>
        <v>1570.04</v>
      </c>
      <c r="Y7" s="37">
        <f t="shared" si="1"/>
        <v>1552.94</v>
      </c>
      <c r="Z7" s="37">
        <f t="shared" si="1"/>
        <v>1529.2399999999998</v>
      </c>
      <c r="AA7" s="37">
        <f t="shared" si="1"/>
        <v>1476.1399999999999</v>
      </c>
      <c r="AB7" s="37">
        <f t="shared" si="1"/>
        <v>1438.3400000000001</v>
      </c>
      <c r="AC7" s="37">
        <f t="shared" si="1"/>
        <v>1376.64</v>
      </c>
      <c r="AD7" s="37">
        <f t="shared" si="1"/>
        <v>1328.8400000000001</v>
      </c>
      <c r="AE7" s="37">
        <f t="shared" si="1"/>
        <v>1130.54</v>
      </c>
      <c r="AF7" s="37">
        <f t="shared" si="1"/>
        <v>1016.04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80</v>
      </c>
      <c r="C11" s="49">
        <v>125</v>
      </c>
      <c r="D11" s="49">
        <v>75</v>
      </c>
      <c r="E11" s="49">
        <v>50</v>
      </c>
      <c r="F11" s="49">
        <v>40</v>
      </c>
      <c r="G11" s="49">
        <v>80</v>
      </c>
      <c r="H11" s="49">
        <v>150</v>
      </c>
      <c r="I11" s="49">
        <v>190</v>
      </c>
      <c r="J11" s="49">
        <v>250</v>
      </c>
      <c r="K11" s="49">
        <v>320</v>
      </c>
      <c r="L11" s="49">
        <v>390</v>
      </c>
      <c r="M11" s="50">
        <v>425</v>
      </c>
      <c r="N11" s="50">
        <v>425</v>
      </c>
      <c r="O11" s="50">
        <v>325</v>
      </c>
      <c r="P11" s="50">
        <v>200</v>
      </c>
      <c r="Q11" s="50">
        <v>45</v>
      </c>
      <c r="R11" s="51">
        <v>55</v>
      </c>
      <c r="S11" s="50">
        <v>35</v>
      </c>
      <c r="T11" s="50">
        <v>35</v>
      </c>
      <c r="U11" s="50">
        <v>32</v>
      </c>
      <c r="V11" s="50">
        <v>50</v>
      </c>
      <c r="W11" s="50">
        <v>200</v>
      </c>
      <c r="X11" s="50">
        <v>300</v>
      </c>
      <c r="Y11" s="50">
        <v>375</v>
      </c>
      <c r="Z11" s="52">
        <v>300</v>
      </c>
      <c r="AA11" s="50">
        <v>280</v>
      </c>
      <c r="AB11" s="50">
        <v>240</v>
      </c>
      <c r="AC11" s="50">
        <v>240</v>
      </c>
      <c r="AD11" s="50">
        <v>240</v>
      </c>
      <c r="AE11" s="50">
        <v>70</v>
      </c>
      <c r="AF11" s="50">
        <v>50</v>
      </c>
      <c r="AG11" s="53">
        <v>456</v>
      </c>
      <c r="AH11" s="54">
        <f>MAX(B11:AF11)</f>
        <v>425</v>
      </c>
      <c r="AI11" s="55">
        <f>MIN(B11:AF11)</f>
        <v>32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48</v>
      </c>
      <c r="H12" s="49">
        <v>48</v>
      </c>
      <c r="I12" s="49">
        <v>48</v>
      </c>
      <c r="J12" s="49">
        <v>48</v>
      </c>
      <c r="K12" s="49">
        <v>48</v>
      </c>
      <c r="L12" s="49">
        <v>48</v>
      </c>
      <c r="M12" s="49">
        <v>48</v>
      </c>
      <c r="N12" s="49">
        <v>48</v>
      </c>
      <c r="O12" s="49">
        <v>48</v>
      </c>
      <c r="P12" s="49">
        <v>48</v>
      </c>
      <c r="Q12" s="49">
        <v>48</v>
      </c>
      <c r="R12" s="49">
        <v>48</v>
      </c>
      <c r="S12" s="49">
        <v>48</v>
      </c>
      <c r="T12" s="49">
        <v>48</v>
      </c>
      <c r="U12" s="49">
        <v>48</v>
      </c>
      <c r="V12" s="49">
        <v>48</v>
      </c>
      <c r="W12" s="49">
        <v>48</v>
      </c>
      <c r="X12" s="58">
        <v>48</v>
      </c>
      <c r="Y12" s="58">
        <v>48</v>
      </c>
      <c r="Z12" s="58">
        <v>48</v>
      </c>
      <c r="AA12" s="58">
        <v>48</v>
      </c>
      <c r="AB12" s="58">
        <v>48</v>
      </c>
      <c r="AC12" s="58">
        <v>48</v>
      </c>
      <c r="AD12" s="58">
        <v>48</v>
      </c>
      <c r="AE12" s="50">
        <v>48</v>
      </c>
      <c r="AF12" s="50">
        <v>48</v>
      </c>
      <c r="AG12" s="59">
        <v>60</v>
      </c>
      <c r="AH12" s="54">
        <f t="shared" ref="AH12:AH75" si="2">MAX(B12:AF12)</f>
        <v>48</v>
      </c>
      <c r="AI12" s="55">
        <f t="shared" ref="AI12:AI75" si="3">MIN(B12:AF12)</f>
        <v>48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26.2</v>
      </c>
      <c r="C13" s="49">
        <v>26.2</v>
      </c>
      <c r="D13" s="49">
        <v>26.2</v>
      </c>
      <c r="E13" s="49">
        <v>26.2</v>
      </c>
      <c r="F13" s="49">
        <v>26.2</v>
      </c>
      <c r="G13" s="49">
        <v>26.2</v>
      </c>
      <c r="H13" s="49">
        <v>26.2</v>
      </c>
      <c r="I13" s="49">
        <v>26.2</v>
      </c>
      <c r="J13" s="49">
        <v>26.2</v>
      </c>
      <c r="K13" s="49">
        <v>26.2</v>
      </c>
      <c r="L13" s="49">
        <v>26.2</v>
      </c>
      <c r="M13" s="49">
        <v>26.2</v>
      </c>
      <c r="N13" s="49">
        <v>26.2</v>
      </c>
      <c r="O13" s="49">
        <v>26.2</v>
      </c>
      <c r="P13" s="49">
        <v>26.2</v>
      </c>
      <c r="Q13" s="49">
        <v>26.2</v>
      </c>
      <c r="R13" s="49">
        <v>26.2</v>
      </c>
      <c r="S13" s="49">
        <v>26.2</v>
      </c>
      <c r="T13" s="49">
        <v>26.2</v>
      </c>
      <c r="U13" s="49">
        <v>26.2</v>
      </c>
      <c r="V13" s="49">
        <v>26.2</v>
      </c>
      <c r="W13" s="49">
        <v>26.2</v>
      </c>
      <c r="X13" s="58">
        <v>26.2</v>
      </c>
      <c r="Y13" s="58">
        <v>26.2</v>
      </c>
      <c r="Z13" s="58">
        <v>26.2</v>
      </c>
      <c r="AA13" s="58">
        <v>26.2</v>
      </c>
      <c r="AB13" s="58">
        <v>26.2</v>
      </c>
      <c r="AC13" s="58">
        <v>26.2</v>
      </c>
      <c r="AD13" s="58">
        <v>26.2</v>
      </c>
      <c r="AE13" s="50">
        <v>26.7</v>
      </c>
      <c r="AF13" s="50">
        <v>26.7</v>
      </c>
      <c r="AG13" s="59">
        <v>52.4</v>
      </c>
      <c r="AH13" s="54">
        <f t="shared" si="2"/>
        <v>26.7</v>
      </c>
      <c r="AI13" s="55">
        <f t="shared" si="3"/>
        <v>26.2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50.5</v>
      </c>
      <c r="C14" s="49">
        <v>50.5</v>
      </c>
      <c r="D14" s="49">
        <v>50.5</v>
      </c>
      <c r="E14" s="49">
        <v>50.5</v>
      </c>
      <c r="F14" s="49">
        <v>50.5</v>
      </c>
      <c r="G14" s="49">
        <v>50.5</v>
      </c>
      <c r="H14" s="49">
        <v>50.5</v>
      </c>
      <c r="I14" s="49">
        <v>50.5</v>
      </c>
      <c r="J14" s="49">
        <v>50.5</v>
      </c>
      <c r="K14" s="49">
        <v>50.5</v>
      </c>
      <c r="L14" s="49">
        <v>50.5</v>
      </c>
      <c r="M14" s="49">
        <v>50.5</v>
      </c>
      <c r="N14" s="49">
        <v>50.5</v>
      </c>
      <c r="O14" s="49">
        <v>50.5</v>
      </c>
      <c r="P14" s="49">
        <v>50.5</v>
      </c>
      <c r="Q14" s="49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60">
        <v>50.5</v>
      </c>
      <c r="Y14" s="60">
        <v>50.5</v>
      </c>
      <c r="Z14" s="60">
        <v>50.5</v>
      </c>
      <c r="AA14" s="60">
        <v>50.5</v>
      </c>
      <c r="AB14" s="60">
        <v>50.5</v>
      </c>
      <c r="AC14" s="60">
        <v>50.5</v>
      </c>
      <c r="AD14" s="60">
        <v>50.5</v>
      </c>
      <c r="AE14" s="50">
        <v>50.2</v>
      </c>
      <c r="AF14" s="50">
        <v>50.1</v>
      </c>
      <c r="AG14" s="59">
        <v>50</v>
      </c>
      <c r="AH14" s="54">
        <f t="shared" si="2"/>
        <v>50.5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23.6</v>
      </c>
      <c r="C15" s="61">
        <v>23.6</v>
      </c>
      <c r="D15" s="61">
        <v>23.6</v>
      </c>
      <c r="E15" s="61">
        <v>23.6</v>
      </c>
      <c r="F15" s="61">
        <v>23.6</v>
      </c>
      <c r="G15" s="61">
        <v>23.6</v>
      </c>
      <c r="H15" s="61">
        <v>23.6</v>
      </c>
      <c r="I15" s="61">
        <v>23.6</v>
      </c>
      <c r="J15" s="61">
        <v>23.6</v>
      </c>
      <c r="K15" s="61">
        <v>23.6</v>
      </c>
      <c r="L15" s="61">
        <v>23.6</v>
      </c>
      <c r="M15" s="61">
        <v>23.6</v>
      </c>
      <c r="N15" s="61">
        <v>23.6</v>
      </c>
      <c r="O15" s="61">
        <v>23.6</v>
      </c>
      <c r="P15" s="61">
        <v>23.6</v>
      </c>
      <c r="Q15" s="61">
        <v>23.6</v>
      </c>
      <c r="R15" s="50">
        <v>23.6</v>
      </c>
      <c r="S15" s="50">
        <v>23.6</v>
      </c>
      <c r="T15" s="50">
        <v>23.6</v>
      </c>
      <c r="U15" s="50">
        <v>23.6</v>
      </c>
      <c r="V15" s="50">
        <v>23.6</v>
      </c>
      <c r="W15" s="50">
        <v>23.6</v>
      </c>
      <c r="X15" s="60">
        <v>23.6</v>
      </c>
      <c r="Y15" s="60">
        <v>23.6</v>
      </c>
      <c r="Z15" s="60">
        <v>23.6</v>
      </c>
      <c r="AA15" s="60">
        <v>23.6</v>
      </c>
      <c r="AB15" s="60">
        <v>23.6</v>
      </c>
      <c r="AC15" s="60">
        <v>23.6</v>
      </c>
      <c r="AD15" s="60">
        <v>23.6</v>
      </c>
      <c r="AE15" s="50">
        <v>23.3</v>
      </c>
      <c r="AF15" s="50">
        <v>23.3</v>
      </c>
      <c r="AG15" s="62">
        <v>45</v>
      </c>
      <c r="AH15" s="54">
        <f t="shared" si="2"/>
        <v>23.6</v>
      </c>
      <c r="AI15" s="55">
        <f t="shared" si="3"/>
        <v>23.3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13</v>
      </c>
      <c r="C16" s="49">
        <v>13</v>
      </c>
      <c r="D16" s="49">
        <v>13</v>
      </c>
      <c r="E16" s="49">
        <v>13</v>
      </c>
      <c r="F16" s="49">
        <v>13</v>
      </c>
      <c r="G16" s="49">
        <v>13</v>
      </c>
      <c r="H16" s="49">
        <v>13</v>
      </c>
      <c r="I16" s="49">
        <v>13</v>
      </c>
      <c r="J16" s="49">
        <v>13</v>
      </c>
      <c r="K16" s="49">
        <v>13</v>
      </c>
      <c r="L16" s="49">
        <v>13</v>
      </c>
      <c r="M16" s="49">
        <v>13</v>
      </c>
      <c r="N16" s="49">
        <v>13</v>
      </c>
      <c r="O16" s="49">
        <v>13</v>
      </c>
      <c r="P16" s="49">
        <v>13</v>
      </c>
      <c r="Q16" s="49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63">
        <v>13</v>
      </c>
      <c r="Y16" s="63">
        <v>13</v>
      </c>
      <c r="Z16" s="63">
        <v>13</v>
      </c>
      <c r="AA16" s="63">
        <v>13</v>
      </c>
      <c r="AB16" s="63">
        <v>13</v>
      </c>
      <c r="AC16" s="63">
        <v>13</v>
      </c>
      <c r="AD16" s="63">
        <v>13</v>
      </c>
      <c r="AE16" s="50">
        <v>13</v>
      </c>
      <c r="AF16" s="50">
        <v>13</v>
      </c>
      <c r="AG16" s="59">
        <v>45</v>
      </c>
      <c r="AH16" s="54">
        <f t="shared" si="2"/>
        <v>13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12</v>
      </c>
      <c r="C17" s="49">
        <v>12</v>
      </c>
      <c r="D17" s="49">
        <v>12</v>
      </c>
      <c r="E17" s="49">
        <v>12</v>
      </c>
      <c r="F17" s="49">
        <v>12</v>
      </c>
      <c r="G17" s="49">
        <v>12</v>
      </c>
      <c r="H17" s="49">
        <v>12</v>
      </c>
      <c r="I17" s="49">
        <v>12</v>
      </c>
      <c r="J17" s="49">
        <v>12</v>
      </c>
      <c r="K17" s="49">
        <v>12</v>
      </c>
      <c r="L17" s="49">
        <v>12</v>
      </c>
      <c r="M17" s="49">
        <v>12</v>
      </c>
      <c r="N17" s="49">
        <v>12</v>
      </c>
      <c r="O17" s="49">
        <v>12</v>
      </c>
      <c r="P17" s="49">
        <v>12</v>
      </c>
      <c r="Q17" s="49">
        <v>12</v>
      </c>
      <c r="R17" s="50">
        <v>12</v>
      </c>
      <c r="S17" s="50">
        <v>12</v>
      </c>
      <c r="T17" s="50">
        <v>12</v>
      </c>
      <c r="U17" s="50">
        <v>12</v>
      </c>
      <c r="V17" s="50">
        <v>12</v>
      </c>
      <c r="W17" s="50">
        <v>12</v>
      </c>
      <c r="X17" s="60">
        <v>12</v>
      </c>
      <c r="Y17" s="60">
        <v>12</v>
      </c>
      <c r="Z17" s="60">
        <v>12</v>
      </c>
      <c r="AA17" s="60">
        <v>12</v>
      </c>
      <c r="AB17" s="60">
        <v>12</v>
      </c>
      <c r="AC17" s="60">
        <v>12</v>
      </c>
      <c r="AD17" s="60">
        <v>12</v>
      </c>
      <c r="AE17" s="50">
        <v>12</v>
      </c>
      <c r="AF17" s="50">
        <v>12</v>
      </c>
      <c r="AG17" s="59">
        <v>42</v>
      </c>
      <c r="AH17" s="54">
        <f t="shared" si="2"/>
        <v>12</v>
      </c>
      <c r="AI17" s="55">
        <f t="shared" si="3"/>
        <v>12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11</v>
      </c>
      <c r="C18" s="49">
        <v>11</v>
      </c>
      <c r="D18" s="49">
        <v>11</v>
      </c>
      <c r="E18" s="49">
        <v>11</v>
      </c>
      <c r="F18" s="49">
        <v>11</v>
      </c>
      <c r="G18" s="49">
        <v>11</v>
      </c>
      <c r="H18" s="49">
        <v>11</v>
      </c>
      <c r="I18" s="49">
        <v>11</v>
      </c>
      <c r="J18" s="49">
        <v>11</v>
      </c>
      <c r="K18" s="49">
        <v>11</v>
      </c>
      <c r="L18" s="49">
        <v>11</v>
      </c>
      <c r="M18" s="49">
        <v>11</v>
      </c>
      <c r="N18" s="49">
        <v>11</v>
      </c>
      <c r="O18" s="49">
        <v>11</v>
      </c>
      <c r="P18" s="49">
        <v>11</v>
      </c>
      <c r="Q18" s="49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13</v>
      </c>
      <c r="C19" s="49">
        <v>13</v>
      </c>
      <c r="D19" s="49">
        <v>13</v>
      </c>
      <c r="E19" s="49">
        <v>13</v>
      </c>
      <c r="F19" s="49">
        <v>13</v>
      </c>
      <c r="G19" s="49">
        <v>13</v>
      </c>
      <c r="H19" s="49">
        <v>13</v>
      </c>
      <c r="I19" s="49">
        <v>13</v>
      </c>
      <c r="J19" s="49">
        <v>13</v>
      </c>
      <c r="K19" s="49">
        <v>13</v>
      </c>
      <c r="L19" s="49">
        <v>13</v>
      </c>
      <c r="M19" s="49">
        <v>13</v>
      </c>
      <c r="N19" s="49">
        <v>13</v>
      </c>
      <c r="O19" s="49">
        <v>13</v>
      </c>
      <c r="P19" s="49">
        <v>13</v>
      </c>
      <c r="Q19" s="49">
        <v>13</v>
      </c>
      <c r="R19" s="50">
        <v>13</v>
      </c>
      <c r="S19" s="50">
        <v>13</v>
      </c>
      <c r="T19" s="50">
        <v>13</v>
      </c>
      <c r="U19" s="50">
        <v>13</v>
      </c>
      <c r="V19" s="50">
        <v>13</v>
      </c>
      <c r="W19" s="50">
        <v>13</v>
      </c>
      <c r="X19" s="50">
        <v>13</v>
      </c>
      <c r="Y19" s="50">
        <v>13</v>
      </c>
      <c r="Z19" s="50">
        <v>13</v>
      </c>
      <c r="AA19" s="50">
        <v>13</v>
      </c>
      <c r="AB19" s="50">
        <v>13</v>
      </c>
      <c r="AC19" s="50">
        <v>13</v>
      </c>
      <c r="AD19" s="50">
        <v>13</v>
      </c>
      <c r="AE19" s="50">
        <v>13</v>
      </c>
      <c r="AF19" s="50">
        <v>13</v>
      </c>
      <c r="AG19" s="59">
        <v>30</v>
      </c>
      <c r="AH19" s="54">
        <f t="shared" si="2"/>
        <v>13</v>
      </c>
      <c r="AI19" s="55">
        <f t="shared" si="3"/>
        <v>13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12.6</v>
      </c>
      <c r="C22" s="49">
        <v>12.6</v>
      </c>
      <c r="D22" s="49">
        <v>12.6</v>
      </c>
      <c r="E22" s="49">
        <v>12.6</v>
      </c>
      <c r="F22" s="49">
        <v>12.6</v>
      </c>
      <c r="G22" s="49">
        <v>12.6</v>
      </c>
      <c r="H22" s="49">
        <v>12.6</v>
      </c>
      <c r="I22" s="49">
        <v>12.6</v>
      </c>
      <c r="J22" s="49">
        <v>12.6</v>
      </c>
      <c r="K22" s="49">
        <v>12.6</v>
      </c>
      <c r="L22" s="49">
        <v>12.6</v>
      </c>
      <c r="M22" s="49">
        <v>12.6</v>
      </c>
      <c r="N22" s="49">
        <v>12.6</v>
      </c>
      <c r="O22" s="49">
        <v>12.6</v>
      </c>
      <c r="P22" s="49">
        <v>12.6</v>
      </c>
      <c r="Q22" s="49">
        <v>12.6</v>
      </c>
      <c r="R22" s="50">
        <v>12.6</v>
      </c>
      <c r="S22" s="50">
        <v>12.6</v>
      </c>
      <c r="T22" s="50">
        <v>12.6</v>
      </c>
      <c r="U22" s="50">
        <v>12.6</v>
      </c>
      <c r="V22" s="50">
        <v>12.6</v>
      </c>
      <c r="W22" s="50">
        <v>12.6</v>
      </c>
      <c r="X22" s="50">
        <v>12.6</v>
      </c>
      <c r="Y22" s="50">
        <v>12.6</v>
      </c>
      <c r="Z22" s="50">
        <v>12.6</v>
      </c>
      <c r="AA22" s="50">
        <v>12.6</v>
      </c>
      <c r="AB22" s="50">
        <v>12.6</v>
      </c>
      <c r="AC22" s="50">
        <v>12.6</v>
      </c>
      <c r="AD22" s="50">
        <v>12.6</v>
      </c>
      <c r="AE22" s="50">
        <v>15.7</v>
      </c>
      <c r="AF22" s="50">
        <v>15.7</v>
      </c>
      <c r="AG22" s="59">
        <v>25</v>
      </c>
      <c r="AH22" s="54">
        <f t="shared" si="2"/>
        <v>15.7</v>
      </c>
      <c r="AI22" s="55">
        <f t="shared" si="3"/>
        <v>12.6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49">
        <v>9</v>
      </c>
      <c r="N23" s="49">
        <v>9</v>
      </c>
      <c r="O23" s="49">
        <v>9</v>
      </c>
      <c r="P23" s="49">
        <v>9</v>
      </c>
      <c r="Q23" s="49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20</v>
      </c>
      <c r="C24" s="49">
        <v>20</v>
      </c>
      <c r="D24" s="49">
        <v>20</v>
      </c>
      <c r="E24" s="49">
        <v>20</v>
      </c>
      <c r="F24" s="49">
        <v>20</v>
      </c>
      <c r="G24" s="49">
        <v>20</v>
      </c>
      <c r="H24" s="49">
        <v>20</v>
      </c>
      <c r="I24" s="49">
        <v>20</v>
      </c>
      <c r="J24" s="49">
        <v>20</v>
      </c>
      <c r="K24" s="49">
        <v>20</v>
      </c>
      <c r="L24" s="49">
        <v>20</v>
      </c>
      <c r="M24" s="49">
        <v>20</v>
      </c>
      <c r="N24" s="49">
        <v>20</v>
      </c>
      <c r="O24" s="49">
        <v>20</v>
      </c>
      <c r="P24" s="49">
        <v>20</v>
      </c>
      <c r="Q24" s="49">
        <v>20</v>
      </c>
      <c r="R24" s="50">
        <v>20</v>
      </c>
      <c r="S24" s="50">
        <v>14</v>
      </c>
      <c r="T24" s="50">
        <v>18.3</v>
      </c>
      <c r="U24" s="50">
        <v>18.3</v>
      </c>
      <c r="V24" s="50">
        <v>18.3</v>
      </c>
      <c r="W24" s="50">
        <v>18.3</v>
      </c>
      <c r="X24" s="50">
        <v>18.3</v>
      </c>
      <c r="Y24" s="50">
        <v>18.3</v>
      </c>
      <c r="Z24" s="50">
        <v>18.3</v>
      </c>
      <c r="AA24" s="50">
        <v>18.3</v>
      </c>
      <c r="AB24" s="50">
        <v>18.3</v>
      </c>
      <c r="AC24" s="50">
        <v>18.3</v>
      </c>
      <c r="AD24" s="50">
        <v>18.3</v>
      </c>
      <c r="AE24" s="50">
        <v>20</v>
      </c>
      <c r="AF24" s="50">
        <v>20</v>
      </c>
      <c r="AG24" s="59">
        <v>25</v>
      </c>
      <c r="AH24" s="54">
        <f t="shared" si="2"/>
        <v>20</v>
      </c>
      <c r="AI24" s="55">
        <f t="shared" si="3"/>
        <v>14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13</v>
      </c>
      <c r="C25" s="49">
        <v>13</v>
      </c>
      <c r="D25" s="49">
        <v>13</v>
      </c>
      <c r="E25" s="49">
        <v>13</v>
      </c>
      <c r="F25" s="49">
        <v>13</v>
      </c>
      <c r="G25" s="49">
        <v>13</v>
      </c>
      <c r="H25" s="49">
        <v>13</v>
      </c>
      <c r="I25" s="49">
        <v>13</v>
      </c>
      <c r="J25" s="49">
        <v>13</v>
      </c>
      <c r="K25" s="49">
        <v>13</v>
      </c>
      <c r="L25" s="49">
        <v>13</v>
      </c>
      <c r="M25" s="49">
        <v>13</v>
      </c>
      <c r="N25" s="49">
        <v>13</v>
      </c>
      <c r="O25" s="49">
        <v>13</v>
      </c>
      <c r="P25" s="49">
        <v>13</v>
      </c>
      <c r="Q25" s="49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11</v>
      </c>
      <c r="C26" s="49">
        <v>11</v>
      </c>
      <c r="D26" s="49">
        <v>11</v>
      </c>
      <c r="E26" s="49">
        <v>11</v>
      </c>
      <c r="F26" s="49">
        <v>11</v>
      </c>
      <c r="G26" s="49">
        <v>11</v>
      </c>
      <c r="H26" s="49">
        <v>11</v>
      </c>
      <c r="I26" s="49">
        <v>11</v>
      </c>
      <c r="J26" s="49">
        <v>11</v>
      </c>
      <c r="K26" s="49">
        <v>11</v>
      </c>
      <c r="L26" s="49">
        <v>11</v>
      </c>
      <c r="M26" s="49">
        <v>11</v>
      </c>
      <c r="N26" s="49">
        <v>11</v>
      </c>
      <c r="O26" s="49">
        <v>11</v>
      </c>
      <c r="P26" s="49">
        <v>11</v>
      </c>
      <c r="Q26" s="49">
        <v>11</v>
      </c>
      <c r="R26" s="50">
        <v>11</v>
      </c>
      <c r="S26" s="50">
        <v>11</v>
      </c>
      <c r="T26" s="50">
        <v>11</v>
      </c>
      <c r="U26" s="50">
        <v>11</v>
      </c>
      <c r="V26" s="50">
        <v>11</v>
      </c>
      <c r="W26" s="50">
        <v>11</v>
      </c>
      <c r="X26" s="50">
        <v>9</v>
      </c>
      <c r="Y26" s="50">
        <v>9</v>
      </c>
      <c r="Z26" s="50">
        <v>9</v>
      </c>
      <c r="AA26" s="50">
        <v>9</v>
      </c>
      <c r="AB26" s="50">
        <v>9</v>
      </c>
      <c r="AC26" s="50">
        <v>9</v>
      </c>
      <c r="AD26" s="50">
        <v>9</v>
      </c>
      <c r="AE26" s="50">
        <v>9</v>
      </c>
      <c r="AF26" s="50">
        <v>9</v>
      </c>
      <c r="AG26" s="59">
        <v>20</v>
      </c>
      <c r="AH26" s="54">
        <f t="shared" si="2"/>
        <v>11</v>
      </c>
      <c r="AI26" s="55">
        <f t="shared" si="3"/>
        <v>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49">
        <v>5</v>
      </c>
      <c r="M28" s="49">
        <v>5</v>
      </c>
      <c r="N28" s="49">
        <v>5</v>
      </c>
      <c r="O28" s="49">
        <v>5</v>
      </c>
      <c r="P28" s="49">
        <v>5</v>
      </c>
      <c r="Q28" s="49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49">
        <v>5</v>
      </c>
      <c r="N29" s="49">
        <v>5</v>
      </c>
      <c r="O29" s="49">
        <v>5</v>
      </c>
      <c r="P29" s="49">
        <v>5</v>
      </c>
      <c r="Q29" s="49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61">
        <v>6</v>
      </c>
      <c r="O31" s="61">
        <v>6</v>
      </c>
      <c r="P31" s="61">
        <v>6</v>
      </c>
      <c r="Q31" s="61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61">
        <v>5</v>
      </c>
      <c r="N33" s="61">
        <v>5</v>
      </c>
      <c r="O33" s="61">
        <v>5</v>
      </c>
      <c r="P33" s="61">
        <v>5</v>
      </c>
      <c r="Q33" s="61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61">
        <v>5</v>
      </c>
      <c r="N34" s="61">
        <v>5</v>
      </c>
      <c r="O34" s="61">
        <v>5</v>
      </c>
      <c r="P34" s="61">
        <v>5</v>
      </c>
      <c r="Q34" s="61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72.900000000000006</v>
      </c>
      <c r="C37" s="61">
        <v>72.900000000000006</v>
      </c>
      <c r="D37" s="61">
        <v>72.900000000000006</v>
      </c>
      <c r="E37" s="61">
        <f>49.2+26.8</f>
        <v>76</v>
      </c>
      <c r="F37" s="61">
        <f>49.2+26.8</f>
        <v>76</v>
      </c>
      <c r="G37" s="61">
        <f>49.2+26.8</f>
        <v>76</v>
      </c>
      <c r="H37" s="61">
        <f>49.2+26.8</f>
        <v>76</v>
      </c>
      <c r="I37" s="61">
        <f t="shared" ref="I37:M37" si="4">49.2+26.8</f>
        <v>76</v>
      </c>
      <c r="J37" s="61">
        <f t="shared" si="4"/>
        <v>76</v>
      </c>
      <c r="K37" s="61">
        <f t="shared" si="4"/>
        <v>76</v>
      </c>
      <c r="L37" s="61">
        <f t="shared" si="4"/>
        <v>76</v>
      </c>
      <c r="M37" s="61">
        <f t="shared" si="4"/>
        <v>76</v>
      </c>
      <c r="N37" s="61">
        <v>69.099999999999994</v>
      </c>
      <c r="O37" s="61">
        <f>23.5+45.7</f>
        <v>69.2</v>
      </c>
      <c r="P37" s="61">
        <f>23.2+45.3</f>
        <v>68.5</v>
      </c>
      <c r="Q37" s="61">
        <f>25.5+48</f>
        <v>73.5</v>
      </c>
      <c r="R37" s="70">
        <v>71.400000000000006</v>
      </c>
      <c r="S37" s="70">
        <v>67.7</v>
      </c>
      <c r="T37" s="70">
        <v>67.900000000000006</v>
      </c>
      <c r="U37" s="70">
        <v>67.900000000000006</v>
      </c>
      <c r="V37" s="70">
        <v>67.2</v>
      </c>
      <c r="W37" s="70">
        <v>65.3</v>
      </c>
      <c r="X37" s="70">
        <v>65.3</v>
      </c>
      <c r="Y37" s="70">
        <v>65.400000000000006</v>
      </c>
      <c r="Z37" s="70">
        <v>65.7</v>
      </c>
      <c r="AA37" s="70">
        <v>66.3</v>
      </c>
      <c r="AB37" s="70">
        <v>66</v>
      </c>
      <c r="AC37" s="70">
        <v>66</v>
      </c>
      <c r="AD37" s="70">
        <v>66</v>
      </c>
      <c r="AE37" s="70">
        <f>23.6+42</f>
        <v>65.599999999999994</v>
      </c>
      <c r="AF37" s="61">
        <f>25.2+44.3</f>
        <v>69.5</v>
      </c>
      <c r="AG37" s="67">
        <v>240</v>
      </c>
      <c r="AH37" s="54">
        <f t="shared" si="2"/>
        <v>76</v>
      </c>
      <c r="AI37" s="55">
        <f t="shared" si="3"/>
        <v>65.3</v>
      </c>
      <c r="AK37" s="56"/>
    </row>
    <row r="38" spans="1:88" ht="15.75" thickBot="1" x14ac:dyDescent="0.3">
      <c r="A38" s="71" t="s">
        <v>46</v>
      </c>
      <c r="B38" s="72">
        <f>SUM(B11:B36)</f>
        <v>559.59999999999991</v>
      </c>
      <c r="C38" s="72">
        <f t="shared" ref="C38:AF38" si="5">SUM(C11:C36)</f>
        <v>604.6</v>
      </c>
      <c r="D38" s="72">
        <f t="shared" si="5"/>
        <v>554.59999999999991</v>
      </c>
      <c r="E38" s="72">
        <f t="shared" si="5"/>
        <v>529.6</v>
      </c>
      <c r="F38" s="72">
        <f t="shared" si="5"/>
        <v>519.59999999999991</v>
      </c>
      <c r="G38" s="72">
        <f t="shared" si="5"/>
        <v>559.59999999999991</v>
      </c>
      <c r="H38" s="72">
        <f t="shared" si="5"/>
        <v>629.6</v>
      </c>
      <c r="I38" s="72">
        <f t="shared" si="5"/>
        <v>669.6</v>
      </c>
      <c r="J38" s="72">
        <f t="shared" si="5"/>
        <v>729.6</v>
      </c>
      <c r="K38" s="72">
        <f t="shared" si="5"/>
        <v>799.6</v>
      </c>
      <c r="L38" s="72">
        <f t="shared" si="5"/>
        <v>869.60000000000014</v>
      </c>
      <c r="M38" s="72">
        <f t="shared" si="5"/>
        <v>904.60000000000014</v>
      </c>
      <c r="N38" s="72">
        <f t="shared" si="5"/>
        <v>904.60000000000014</v>
      </c>
      <c r="O38" s="72">
        <f t="shared" si="5"/>
        <v>804.6</v>
      </c>
      <c r="P38" s="72">
        <f t="shared" si="5"/>
        <v>679.6</v>
      </c>
      <c r="Q38" s="72">
        <f t="shared" si="5"/>
        <v>524.6</v>
      </c>
      <c r="R38" s="72">
        <f t="shared" si="5"/>
        <v>534.6</v>
      </c>
      <c r="S38" s="72">
        <f t="shared" si="5"/>
        <v>508.59999999999997</v>
      </c>
      <c r="T38" s="72">
        <f t="shared" si="5"/>
        <v>512.9</v>
      </c>
      <c r="U38" s="72">
        <f t="shared" si="5"/>
        <v>509.9</v>
      </c>
      <c r="V38" s="72">
        <f t="shared" si="5"/>
        <v>527.90000000000009</v>
      </c>
      <c r="W38" s="72">
        <f t="shared" si="5"/>
        <v>677.90000000000009</v>
      </c>
      <c r="X38" s="72">
        <f t="shared" si="5"/>
        <v>775.9</v>
      </c>
      <c r="Y38" s="72">
        <f t="shared" si="5"/>
        <v>850.9</v>
      </c>
      <c r="Z38" s="72">
        <f t="shared" si="5"/>
        <v>775.9</v>
      </c>
      <c r="AA38" s="72">
        <f t="shared" si="5"/>
        <v>755.9</v>
      </c>
      <c r="AB38" s="72">
        <f t="shared" si="5"/>
        <v>715.90000000000009</v>
      </c>
      <c r="AC38" s="72">
        <f t="shared" si="5"/>
        <v>715.90000000000009</v>
      </c>
      <c r="AD38" s="72">
        <f t="shared" si="5"/>
        <v>715.90000000000009</v>
      </c>
      <c r="AE38" s="72">
        <f t="shared" si="5"/>
        <v>550.59999999999991</v>
      </c>
      <c r="AF38" s="72">
        <f t="shared" si="5"/>
        <v>530.5</v>
      </c>
      <c r="AG38" s="67">
        <f>SUM(AG11:AG37)</f>
        <v>1492.8299999999997</v>
      </c>
      <c r="AH38" s="54">
        <f t="shared" si="2"/>
        <v>904.60000000000014</v>
      </c>
      <c r="AI38" s="55">
        <f t="shared" si="3"/>
        <v>508.59999999999997</v>
      </c>
      <c r="AK38" s="56"/>
    </row>
    <row r="39" spans="1:88" x14ac:dyDescent="0.25">
      <c r="A39" s="57" t="s">
        <v>47</v>
      </c>
      <c r="B39" s="49">
        <v>91</v>
      </c>
      <c r="C39" s="61">
        <v>91.8</v>
      </c>
      <c r="D39" s="61">
        <v>91.5</v>
      </c>
      <c r="E39" s="61">
        <v>81.5</v>
      </c>
      <c r="F39" s="61">
        <v>66</v>
      </c>
      <c r="G39" s="61">
        <v>90</v>
      </c>
      <c r="H39" s="61">
        <v>100</v>
      </c>
      <c r="I39" s="61">
        <v>112</v>
      </c>
      <c r="J39" s="61">
        <v>100</v>
      </c>
      <c r="K39" s="61">
        <v>145</v>
      </c>
      <c r="L39" s="61">
        <v>146</v>
      </c>
      <c r="M39" s="61">
        <v>146</v>
      </c>
      <c r="N39" s="50">
        <v>145.9</v>
      </c>
      <c r="O39" s="50">
        <v>145.69999999999999</v>
      </c>
      <c r="P39" s="50">
        <v>145.69999999999999</v>
      </c>
      <c r="Q39" s="50">
        <v>136.1</v>
      </c>
      <c r="R39" s="50">
        <v>141.9</v>
      </c>
      <c r="S39" s="50">
        <v>131.6</v>
      </c>
      <c r="T39" s="50">
        <v>111.3</v>
      </c>
      <c r="U39" s="50">
        <v>111.5</v>
      </c>
      <c r="V39" s="50">
        <v>111.5</v>
      </c>
      <c r="W39" s="50">
        <v>142</v>
      </c>
      <c r="X39" s="50">
        <v>145.4</v>
      </c>
      <c r="Y39" s="50">
        <v>145.4</v>
      </c>
      <c r="Z39" s="50">
        <v>145.4</v>
      </c>
      <c r="AA39" s="50">
        <v>145.4</v>
      </c>
      <c r="AB39" s="50">
        <v>145.4</v>
      </c>
      <c r="AC39" s="50">
        <v>111</v>
      </c>
      <c r="AD39" s="50">
        <v>111</v>
      </c>
      <c r="AE39" s="50">
        <v>111.6</v>
      </c>
      <c r="AF39" s="49">
        <v>111.7</v>
      </c>
      <c r="AG39" s="62">
        <v>144</v>
      </c>
      <c r="AH39" s="54">
        <f t="shared" si="2"/>
        <v>146</v>
      </c>
      <c r="AI39" s="55">
        <f t="shared" si="3"/>
        <v>66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35</v>
      </c>
      <c r="E40" s="61">
        <v>34</v>
      </c>
      <c r="F40" s="61">
        <v>50</v>
      </c>
      <c r="G40" s="61">
        <v>45</v>
      </c>
      <c r="H40" s="61">
        <v>45</v>
      </c>
      <c r="I40" s="61">
        <v>45</v>
      </c>
      <c r="J40" s="61">
        <v>45</v>
      </c>
      <c r="K40" s="61">
        <v>70.8</v>
      </c>
      <c r="L40" s="61">
        <v>71</v>
      </c>
      <c r="M40" s="61">
        <v>71</v>
      </c>
      <c r="N40" s="73">
        <v>70.900000000000006</v>
      </c>
      <c r="O40" s="73">
        <v>70.2</v>
      </c>
      <c r="P40" s="73">
        <v>60.9</v>
      </c>
      <c r="Q40" s="73">
        <v>54.6</v>
      </c>
      <c r="R40" s="73">
        <v>48</v>
      </c>
      <c r="S40" s="73">
        <v>45.4</v>
      </c>
      <c r="T40" s="73">
        <v>46.1</v>
      </c>
      <c r="U40" s="73">
        <v>46.7</v>
      </c>
      <c r="V40" s="73">
        <v>46</v>
      </c>
      <c r="W40" s="73">
        <v>70.099999999999994</v>
      </c>
      <c r="X40" s="73">
        <v>70.099999999999994</v>
      </c>
      <c r="Y40" s="73">
        <v>69.900000000000006</v>
      </c>
      <c r="Z40" s="73">
        <v>69.900000000000006</v>
      </c>
      <c r="AA40" s="73">
        <v>69.900000000000006</v>
      </c>
      <c r="AB40" s="73">
        <v>69.900000000000006</v>
      </c>
      <c r="AC40" s="73">
        <v>71.5</v>
      </c>
      <c r="AD40" s="73">
        <v>71.5</v>
      </c>
      <c r="AE40" s="73">
        <v>55.5</v>
      </c>
      <c r="AF40" s="61">
        <v>45.3</v>
      </c>
      <c r="AG40" s="67">
        <v>70</v>
      </c>
      <c r="AH40" s="54">
        <f t="shared" si="2"/>
        <v>71.5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51</v>
      </c>
      <c r="C41" s="61">
        <v>61</v>
      </c>
      <c r="D41" s="61">
        <v>60</v>
      </c>
      <c r="E41" s="61">
        <v>68</v>
      </c>
      <c r="F41" s="61">
        <v>68.400000000000006</v>
      </c>
      <c r="G41" s="61">
        <v>59</v>
      </c>
      <c r="H41" s="61">
        <v>50</v>
      </c>
      <c r="I41" s="61">
        <v>50</v>
      </c>
      <c r="J41" s="61">
        <v>50</v>
      </c>
      <c r="K41" s="61">
        <v>67.7</v>
      </c>
      <c r="L41" s="61">
        <v>66.599999999999994</v>
      </c>
      <c r="M41" s="61">
        <v>66.599999999999994</v>
      </c>
      <c r="N41" s="73">
        <v>66</v>
      </c>
      <c r="O41" s="73">
        <v>60.2</v>
      </c>
      <c r="P41" s="73">
        <v>66.900000000000006</v>
      </c>
      <c r="Q41" s="73">
        <v>51.7</v>
      </c>
      <c r="R41" s="73">
        <v>60</v>
      </c>
      <c r="S41" s="73">
        <v>46.1</v>
      </c>
      <c r="T41" s="73">
        <v>46.5</v>
      </c>
      <c r="U41" s="73">
        <v>45.7</v>
      </c>
      <c r="V41" s="73">
        <v>56.5</v>
      </c>
      <c r="W41" s="73">
        <v>55.1</v>
      </c>
      <c r="X41" s="73">
        <v>67.3</v>
      </c>
      <c r="Y41" s="73">
        <v>67.3</v>
      </c>
      <c r="Z41" s="73">
        <v>67.3</v>
      </c>
      <c r="AA41" s="73">
        <v>67.3</v>
      </c>
      <c r="AB41" s="73">
        <v>67.3</v>
      </c>
      <c r="AC41" s="73">
        <v>66.8</v>
      </c>
      <c r="AD41" s="73">
        <v>66.8</v>
      </c>
      <c r="AE41" s="73">
        <v>66.7</v>
      </c>
      <c r="AF41" s="61">
        <v>66.400000000000006</v>
      </c>
      <c r="AG41" s="67">
        <v>69</v>
      </c>
      <c r="AH41" s="54">
        <f t="shared" si="2"/>
        <v>68.400000000000006</v>
      </c>
      <c r="AI41" s="55">
        <f t="shared" si="3"/>
        <v>45.7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60.2</v>
      </c>
      <c r="E42" s="61">
        <v>60.2</v>
      </c>
      <c r="F42" s="61">
        <v>60.2</v>
      </c>
      <c r="G42" s="61">
        <v>60.2</v>
      </c>
      <c r="H42" s="61">
        <v>60.2</v>
      </c>
      <c r="I42" s="61">
        <v>60.2</v>
      </c>
      <c r="J42" s="61">
        <v>60.2</v>
      </c>
      <c r="K42" s="61">
        <v>60.2</v>
      </c>
      <c r="L42" s="61">
        <v>60.2</v>
      </c>
      <c r="M42" s="61">
        <v>60.2</v>
      </c>
      <c r="N42" s="73">
        <v>60.2</v>
      </c>
      <c r="O42" s="73">
        <v>60.2</v>
      </c>
      <c r="P42" s="73">
        <v>60.2</v>
      </c>
      <c r="Q42" s="73">
        <v>60.2</v>
      </c>
      <c r="R42" s="73">
        <v>60.2</v>
      </c>
      <c r="S42" s="73">
        <v>60.2</v>
      </c>
      <c r="T42" s="73">
        <v>60.2</v>
      </c>
      <c r="U42" s="73">
        <v>60.2</v>
      </c>
      <c r="V42" s="73">
        <v>60.2</v>
      </c>
      <c r="W42" s="73">
        <v>60.2</v>
      </c>
      <c r="X42" s="73">
        <v>60.2</v>
      </c>
      <c r="Y42" s="73">
        <v>60.2</v>
      </c>
      <c r="Z42" s="73">
        <v>60.2</v>
      </c>
      <c r="AA42" s="73">
        <v>60.2</v>
      </c>
      <c r="AB42" s="73">
        <v>60.2</v>
      </c>
      <c r="AC42" s="73">
        <v>60.2</v>
      </c>
      <c r="AD42" s="73">
        <v>60.2</v>
      </c>
      <c r="AE42" s="73">
        <v>60.2</v>
      </c>
      <c r="AF42" s="61">
        <v>60.2</v>
      </c>
      <c r="AG42" s="67">
        <v>60</v>
      </c>
      <c r="AH42" s="54">
        <f t="shared" si="2"/>
        <v>60.2</v>
      </c>
      <c r="AI42" s="55">
        <f t="shared" si="3"/>
        <v>60.2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10</v>
      </c>
      <c r="G43" s="61">
        <v>24</v>
      </c>
      <c r="H43" s="61">
        <v>24</v>
      </c>
      <c r="I43" s="61">
        <v>24</v>
      </c>
      <c r="J43" s="61">
        <v>24</v>
      </c>
      <c r="K43" s="61">
        <v>30</v>
      </c>
      <c r="L43" s="61">
        <v>30</v>
      </c>
      <c r="M43" s="61">
        <v>30</v>
      </c>
      <c r="N43" s="61">
        <v>30</v>
      </c>
      <c r="O43" s="61">
        <v>30</v>
      </c>
      <c r="P43" s="61">
        <v>30</v>
      </c>
      <c r="Q43" s="50">
        <v>9.8000000000000007</v>
      </c>
      <c r="R43" s="50">
        <v>9.8000000000000007</v>
      </c>
      <c r="S43" s="50">
        <v>0</v>
      </c>
      <c r="T43" s="50">
        <v>0</v>
      </c>
      <c r="U43" s="50">
        <v>10.5</v>
      </c>
      <c r="V43" s="50">
        <v>9.6</v>
      </c>
      <c r="W43" s="50">
        <v>22</v>
      </c>
      <c r="X43" s="50">
        <v>28.7</v>
      </c>
      <c r="Y43" s="50">
        <v>28.7</v>
      </c>
      <c r="Z43" s="50">
        <v>28.7</v>
      </c>
      <c r="AA43" s="50">
        <v>28.7</v>
      </c>
      <c r="AB43" s="50">
        <v>28</v>
      </c>
      <c r="AC43" s="50">
        <v>21</v>
      </c>
      <c r="AD43" s="50">
        <v>21</v>
      </c>
      <c r="AE43" s="73">
        <v>9.6999999999999993</v>
      </c>
      <c r="AF43" s="61">
        <v>9.1999999999999993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61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61">
        <v>2.5</v>
      </c>
      <c r="N46" s="61">
        <v>2.5</v>
      </c>
      <c r="O46" s="61">
        <v>2.5</v>
      </c>
      <c r="P46" s="61">
        <v>2.5</v>
      </c>
      <c r="Q46" s="61">
        <v>2.5</v>
      </c>
      <c r="R46" s="61">
        <v>2.5</v>
      </c>
      <c r="S46" s="61">
        <v>2.5</v>
      </c>
      <c r="T46" s="61">
        <v>2.5</v>
      </c>
      <c r="U46" s="61">
        <v>2.5</v>
      </c>
      <c r="V46" s="61">
        <v>2.5</v>
      </c>
      <c r="W46" s="61">
        <v>2.5</v>
      </c>
      <c r="X46" s="50">
        <v>2.5</v>
      </c>
      <c r="Y46" s="50">
        <v>2.5</v>
      </c>
      <c r="Z46" s="50">
        <v>2.5</v>
      </c>
      <c r="AA46" s="50">
        <v>2.5</v>
      </c>
      <c r="AB46" s="50">
        <v>2.5</v>
      </c>
      <c r="AC46" s="50">
        <v>2.5</v>
      </c>
      <c r="AD46" s="50">
        <v>2.5</v>
      </c>
      <c r="AE46" s="50">
        <v>2.5</v>
      </c>
      <c r="AF46" s="61">
        <v>2.5</v>
      </c>
      <c r="AG46" s="67">
        <v>15</v>
      </c>
      <c r="AH46" s="54">
        <f t="shared" si="2"/>
        <v>2.5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61">
        <v>13</v>
      </c>
      <c r="Q47" s="61">
        <v>13</v>
      </c>
      <c r="R47" s="61">
        <v>13</v>
      </c>
      <c r="S47" s="61">
        <v>13</v>
      </c>
      <c r="T47" s="61">
        <v>13</v>
      </c>
      <c r="U47" s="61">
        <v>13</v>
      </c>
      <c r="V47" s="61">
        <v>13</v>
      </c>
      <c r="W47" s="61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61">
        <v>6</v>
      </c>
      <c r="D48" s="61">
        <v>6</v>
      </c>
      <c r="E48" s="61">
        <v>6</v>
      </c>
      <c r="F48" s="61">
        <v>6</v>
      </c>
      <c r="G48" s="61">
        <v>6</v>
      </c>
      <c r="H48" s="61">
        <v>6</v>
      </c>
      <c r="I48" s="61">
        <v>6</v>
      </c>
      <c r="J48" s="61">
        <v>6</v>
      </c>
      <c r="K48" s="61">
        <v>6</v>
      </c>
      <c r="L48" s="61">
        <v>6</v>
      </c>
      <c r="M48" s="61">
        <v>6</v>
      </c>
      <c r="N48" s="61">
        <v>6</v>
      </c>
      <c r="O48" s="61">
        <v>6</v>
      </c>
      <c r="P48" s="61">
        <v>6</v>
      </c>
      <c r="Q48" s="61">
        <v>6</v>
      </c>
      <c r="R48" s="61">
        <v>6</v>
      </c>
      <c r="S48" s="61">
        <v>6</v>
      </c>
      <c r="T48" s="61">
        <v>6</v>
      </c>
      <c r="U48" s="61">
        <v>6</v>
      </c>
      <c r="V48" s="61">
        <v>6</v>
      </c>
      <c r="W48" s="61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61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61">
        <v>8</v>
      </c>
      <c r="N49" s="61">
        <v>8</v>
      </c>
      <c r="O49" s="61">
        <v>8</v>
      </c>
      <c r="P49" s="61">
        <v>8</v>
      </c>
      <c r="Q49" s="61">
        <v>8</v>
      </c>
      <c r="R49" s="61">
        <v>8</v>
      </c>
      <c r="S49" s="61">
        <v>8</v>
      </c>
      <c r="T49" s="61">
        <v>8</v>
      </c>
      <c r="U49" s="61">
        <v>8</v>
      </c>
      <c r="V49" s="61">
        <v>8</v>
      </c>
      <c r="W49" s="61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61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61">
        <v>4.4000000000000004</v>
      </c>
      <c r="Q50" s="61">
        <v>4.4000000000000004</v>
      </c>
      <c r="R50" s="61">
        <v>4.4000000000000004</v>
      </c>
      <c r="S50" s="61">
        <v>4.4000000000000004</v>
      </c>
      <c r="T50" s="61">
        <v>4.4000000000000004</v>
      </c>
      <c r="U50" s="61">
        <v>4.4000000000000004</v>
      </c>
      <c r="V50" s="61">
        <v>4.4000000000000004</v>
      </c>
      <c r="W50" s="61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257.64</v>
      </c>
      <c r="C52" s="72">
        <f t="shared" ref="C52:AF52" si="7">SUM(C39:C51)</f>
        <v>268.44</v>
      </c>
      <c r="D52" s="72">
        <f t="shared" si="7"/>
        <v>302.14</v>
      </c>
      <c r="E52" s="72">
        <f t="shared" si="7"/>
        <v>309.14</v>
      </c>
      <c r="F52" s="72">
        <f t="shared" si="7"/>
        <v>310.04000000000002</v>
      </c>
      <c r="G52" s="72">
        <f t="shared" si="7"/>
        <v>333.64</v>
      </c>
      <c r="H52" s="72">
        <f t="shared" si="7"/>
        <v>334.64</v>
      </c>
      <c r="I52" s="72">
        <f t="shared" si="7"/>
        <v>346.64</v>
      </c>
      <c r="J52" s="72">
        <f t="shared" si="7"/>
        <v>334.64</v>
      </c>
      <c r="K52" s="72">
        <f t="shared" si="7"/>
        <v>429.14</v>
      </c>
      <c r="L52" s="72">
        <f t="shared" si="7"/>
        <v>429.24</v>
      </c>
      <c r="M52" s="72">
        <f t="shared" si="7"/>
        <v>429.24</v>
      </c>
      <c r="N52" s="72">
        <f t="shared" si="7"/>
        <v>428.44</v>
      </c>
      <c r="O52" s="72">
        <f t="shared" si="7"/>
        <v>421.73999999999995</v>
      </c>
      <c r="P52" s="72">
        <f t="shared" si="7"/>
        <v>419.14</v>
      </c>
      <c r="Q52" s="72">
        <f t="shared" si="7"/>
        <v>367.84</v>
      </c>
      <c r="R52" s="72">
        <f t="shared" si="7"/>
        <v>375.34000000000003</v>
      </c>
      <c r="S52" s="72">
        <f t="shared" si="7"/>
        <v>338.74</v>
      </c>
      <c r="T52" s="72">
        <f t="shared" si="7"/>
        <v>319.54000000000002</v>
      </c>
      <c r="U52" s="72">
        <f t="shared" si="7"/>
        <v>330.03999999999996</v>
      </c>
      <c r="V52" s="72">
        <f t="shared" si="7"/>
        <v>339.24</v>
      </c>
      <c r="W52" s="72">
        <f t="shared" si="7"/>
        <v>404.84</v>
      </c>
      <c r="X52" s="72">
        <f t="shared" si="7"/>
        <v>427.14</v>
      </c>
      <c r="Y52" s="72">
        <f t="shared" si="7"/>
        <v>426.94</v>
      </c>
      <c r="Z52" s="72">
        <f t="shared" si="7"/>
        <v>426.94</v>
      </c>
      <c r="AA52" s="72">
        <f t="shared" si="7"/>
        <v>426.94</v>
      </c>
      <c r="AB52" s="72">
        <f t="shared" si="7"/>
        <v>426.24</v>
      </c>
      <c r="AC52" s="72">
        <f t="shared" si="7"/>
        <v>385.94</v>
      </c>
      <c r="AD52" s="72">
        <f t="shared" si="7"/>
        <v>385.94</v>
      </c>
      <c r="AE52" s="72">
        <f t="shared" si="7"/>
        <v>359.14</v>
      </c>
      <c r="AF52" s="72">
        <f t="shared" si="7"/>
        <v>348.24</v>
      </c>
      <c r="AG52" s="78">
        <f>SUM(AG39:AG51)</f>
        <v>489.91</v>
      </c>
      <c r="AH52" s="54">
        <f t="shared" si="2"/>
        <v>429.24</v>
      </c>
      <c r="AI52" s="55">
        <f t="shared" si="3"/>
        <v>257.64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</v>
      </c>
      <c r="L53" s="61">
        <v>60</v>
      </c>
      <c r="M53" s="61">
        <v>60</v>
      </c>
      <c r="N53" s="61">
        <v>60</v>
      </c>
      <c r="O53" s="79">
        <v>57.9</v>
      </c>
      <c r="P53" s="79">
        <v>54.5</v>
      </c>
      <c r="Q53" s="50">
        <v>39.1</v>
      </c>
      <c r="R53" s="50">
        <v>30</v>
      </c>
      <c r="S53" s="50">
        <v>30.4</v>
      </c>
      <c r="T53" s="50">
        <v>30.4</v>
      </c>
      <c r="U53" s="50">
        <v>25.2</v>
      </c>
      <c r="V53" s="50">
        <v>40.799999999999997</v>
      </c>
      <c r="W53" s="50">
        <v>40.4</v>
      </c>
      <c r="X53" s="50">
        <v>47.8</v>
      </c>
      <c r="Y53" s="50">
        <v>49</v>
      </c>
      <c r="Z53" s="50">
        <v>46.9</v>
      </c>
      <c r="AA53" s="50">
        <v>41.1</v>
      </c>
      <c r="AB53" s="50">
        <v>30</v>
      </c>
      <c r="AC53" s="50">
        <v>29</v>
      </c>
      <c r="AD53" s="50">
        <v>29</v>
      </c>
      <c r="AE53" s="50">
        <v>29.2</v>
      </c>
      <c r="AF53" s="50">
        <v>29.8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7.5</v>
      </c>
      <c r="L54" s="61">
        <v>29.4</v>
      </c>
      <c r="M54" s="61">
        <v>29.4</v>
      </c>
      <c r="N54" s="61">
        <v>29.4</v>
      </c>
      <c r="O54" s="79">
        <v>27.4</v>
      </c>
      <c r="P54" s="79">
        <v>29.4</v>
      </c>
      <c r="Q54" s="73">
        <v>18.399999999999999</v>
      </c>
      <c r="R54" s="73">
        <v>12</v>
      </c>
      <c r="S54" s="50">
        <v>15</v>
      </c>
      <c r="T54" s="50">
        <v>15.8</v>
      </c>
      <c r="U54" s="50">
        <v>12.4</v>
      </c>
      <c r="V54" s="73">
        <v>14.5</v>
      </c>
      <c r="W54" s="73">
        <v>18</v>
      </c>
      <c r="X54" s="73">
        <v>22.3</v>
      </c>
      <c r="Y54" s="73">
        <v>22.1</v>
      </c>
      <c r="Z54" s="73">
        <v>20</v>
      </c>
      <c r="AA54" s="73">
        <v>21.2</v>
      </c>
      <c r="AB54" s="73">
        <v>14</v>
      </c>
      <c r="AC54" s="73">
        <v>15.3</v>
      </c>
      <c r="AD54" s="73">
        <v>15</v>
      </c>
      <c r="AE54" s="73">
        <v>15.4</v>
      </c>
      <c r="AF54" s="73">
        <v>4.5999999999999996</v>
      </c>
      <c r="AG54" s="67">
        <v>32</v>
      </c>
      <c r="AH54" s="54">
        <f t="shared" si="2"/>
        <v>29.4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2.7</v>
      </c>
      <c r="L55" s="74">
        <v>10.7</v>
      </c>
      <c r="M55" s="74">
        <v>10.7</v>
      </c>
      <c r="N55" s="74">
        <v>10.7</v>
      </c>
      <c r="O55" s="81">
        <v>10</v>
      </c>
      <c r="P55" s="81">
        <v>10.7</v>
      </c>
      <c r="Q55" s="80">
        <v>6.7</v>
      </c>
      <c r="R55" s="80">
        <v>6</v>
      </c>
      <c r="S55" s="50">
        <v>5.5</v>
      </c>
      <c r="T55" s="50">
        <v>5.8</v>
      </c>
      <c r="U55" s="50">
        <v>4.5</v>
      </c>
      <c r="V55" s="80">
        <v>5.3</v>
      </c>
      <c r="W55" s="80">
        <v>6.6</v>
      </c>
      <c r="X55" s="80">
        <v>8.1999999999999993</v>
      </c>
      <c r="Y55" s="80">
        <v>8.1</v>
      </c>
      <c r="Z55" s="80">
        <v>7.3</v>
      </c>
      <c r="AA55" s="80">
        <v>7.7</v>
      </c>
      <c r="AB55" s="80">
        <v>5.2</v>
      </c>
      <c r="AC55" s="80">
        <v>6</v>
      </c>
      <c r="AD55" s="80">
        <v>6</v>
      </c>
      <c r="AE55" s="80">
        <v>5.6</v>
      </c>
      <c r="AF55" s="80">
        <v>1.7</v>
      </c>
      <c r="AG55" s="82">
        <v>14</v>
      </c>
      <c r="AH55" s="54">
        <f t="shared" si="2"/>
        <v>10.7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40.200000000000003</v>
      </c>
      <c r="L56" s="72">
        <f t="shared" si="8"/>
        <v>100.10000000000001</v>
      </c>
      <c r="M56" s="72">
        <f t="shared" si="8"/>
        <v>100.10000000000001</v>
      </c>
      <c r="N56" s="72">
        <f t="shared" si="8"/>
        <v>100.10000000000001</v>
      </c>
      <c r="O56" s="72">
        <f t="shared" si="8"/>
        <v>95.3</v>
      </c>
      <c r="P56" s="72">
        <f t="shared" si="8"/>
        <v>94.600000000000009</v>
      </c>
      <c r="Q56" s="72">
        <f t="shared" si="8"/>
        <v>64.2</v>
      </c>
      <c r="R56" s="72">
        <f t="shared" si="8"/>
        <v>48</v>
      </c>
      <c r="S56" s="72">
        <f t="shared" si="8"/>
        <v>50.9</v>
      </c>
      <c r="T56" s="72">
        <f t="shared" si="8"/>
        <v>52</v>
      </c>
      <c r="U56" s="72">
        <f t="shared" si="8"/>
        <v>42.1</v>
      </c>
      <c r="V56" s="72">
        <f t="shared" si="8"/>
        <v>60.599999999999994</v>
      </c>
      <c r="W56" s="72">
        <f t="shared" si="8"/>
        <v>65</v>
      </c>
      <c r="X56" s="72">
        <f t="shared" si="8"/>
        <v>78.3</v>
      </c>
      <c r="Y56" s="72">
        <f t="shared" si="8"/>
        <v>79.199999999999989</v>
      </c>
      <c r="Z56" s="72">
        <f t="shared" si="8"/>
        <v>74.2</v>
      </c>
      <c r="AA56" s="72">
        <f t="shared" si="8"/>
        <v>70</v>
      </c>
      <c r="AB56" s="72">
        <f t="shared" si="8"/>
        <v>49.2</v>
      </c>
      <c r="AC56" s="72">
        <f t="shared" si="8"/>
        <v>50.3</v>
      </c>
      <c r="AD56" s="72">
        <f t="shared" si="8"/>
        <v>50</v>
      </c>
      <c r="AE56" s="72">
        <f t="shared" si="8"/>
        <v>50.2</v>
      </c>
      <c r="AF56" s="72">
        <f t="shared" si="8"/>
        <v>36.1</v>
      </c>
      <c r="AG56" s="78">
        <f>SUM(AG53:AG55)</f>
        <v>106</v>
      </c>
      <c r="AH56" s="54">
        <f t="shared" si="2"/>
        <v>100.10000000000001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48</v>
      </c>
      <c r="C57" s="50">
        <v>45</v>
      </c>
      <c r="D57" s="50">
        <v>44</v>
      </c>
      <c r="E57" s="50">
        <v>44</v>
      </c>
      <c r="F57" s="50">
        <v>41</v>
      </c>
      <c r="G57" s="50">
        <v>48</v>
      </c>
      <c r="H57" s="50">
        <v>52</v>
      </c>
      <c r="I57" s="50">
        <v>60</v>
      </c>
      <c r="J57" s="50">
        <v>60</v>
      </c>
      <c r="K57" s="50">
        <v>46</v>
      </c>
      <c r="L57" s="50">
        <v>50</v>
      </c>
      <c r="M57" s="50">
        <v>56</v>
      </c>
      <c r="N57" s="50">
        <v>62</v>
      </c>
      <c r="O57" s="50">
        <v>66.7</v>
      </c>
      <c r="P57" s="50">
        <v>74</v>
      </c>
      <c r="Q57" s="50">
        <v>58.8</v>
      </c>
      <c r="R57" s="50">
        <v>65</v>
      </c>
      <c r="S57" s="50">
        <v>65.400000000000006</v>
      </c>
      <c r="T57" s="50">
        <v>61</v>
      </c>
      <c r="U57" s="50">
        <v>59.4</v>
      </c>
      <c r="V57" s="50">
        <v>60.5</v>
      </c>
      <c r="W57" s="50">
        <v>48.7</v>
      </c>
      <c r="X57" s="50">
        <v>54.5</v>
      </c>
      <c r="Y57" s="50">
        <v>52.2</v>
      </c>
      <c r="Z57" s="50">
        <v>57.2</v>
      </c>
      <c r="AA57" s="50">
        <v>54.4</v>
      </c>
      <c r="AB57" s="50">
        <v>51</v>
      </c>
      <c r="AC57" s="50">
        <v>52</v>
      </c>
      <c r="AD57" s="50">
        <v>62</v>
      </c>
      <c r="AE57" s="50">
        <v>50.6</v>
      </c>
      <c r="AF57" s="50">
        <v>47.2</v>
      </c>
      <c r="AG57" s="62"/>
      <c r="AH57" s="54">
        <f t="shared" si="2"/>
        <v>74</v>
      </c>
      <c r="AI57" s="55">
        <f t="shared" si="3"/>
        <v>41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57.6</v>
      </c>
      <c r="U58" s="50">
        <v>58.3</v>
      </c>
      <c r="V58" s="50">
        <v>58.6</v>
      </c>
      <c r="W58" s="50">
        <v>70.400000000000006</v>
      </c>
      <c r="X58" s="83">
        <v>76.5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76.5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90</v>
      </c>
      <c r="C59" s="73">
        <v>0</v>
      </c>
      <c r="D59" s="73">
        <v>0</v>
      </c>
      <c r="E59" s="73">
        <v>0</v>
      </c>
      <c r="F59" s="73">
        <v>0</v>
      </c>
      <c r="G59" s="73">
        <v>0</v>
      </c>
      <c r="H59" s="73">
        <v>0</v>
      </c>
      <c r="I59" s="73">
        <v>55</v>
      </c>
      <c r="J59" s="73">
        <v>60</v>
      </c>
      <c r="K59" s="50">
        <v>67</v>
      </c>
      <c r="L59" s="50">
        <v>51</v>
      </c>
      <c r="M59" s="73">
        <v>0</v>
      </c>
      <c r="N59" s="73">
        <v>9</v>
      </c>
      <c r="O59" s="73">
        <v>105</v>
      </c>
      <c r="P59" s="73">
        <v>129</v>
      </c>
      <c r="Q59" s="73">
        <v>118</v>
      </c>
      <c r="R59" s="73">
        <v>101</v>
      </c>
      <c r="S59" s="73">
        <v>141.30000000000001</v>
      </c>
      <c r="T59" s="73">
        <v>114.4</v>
      </c>
      <c r="U59" s="73">
        <v>128.80000000000001</v>
      </c>
      <c r="V59" s="73">
        <v>105.7</v>
      </c>
      <c r="W59" s="73">
        <v>61.4</v>
      </c>
      <c r="X59" s="84">
        <v>41.7</v>
      </c>
      <c r="Y59" s="84">
        <v>19.100000000000001</v>
      </c>
      <c r="Z59" s="84">
        <v>111</v>
      </c>
      <c r="AA59" s="84">
        <v>93.6</v>
      </c>
      <c r="AB59" s="73">
        <v>120</v>
      </c>
      <c r="AC59" s="73">
        <v>107</v>
      </c>
      <c r="AD59" s="73">
        <v>115</v>
      </c>
      <c r="AE59" s="73">
        <v>120</v>
      </c>
      <c r="AF59" s="73">
        <v>54</v>
      </c>
      <c r="AG59" s="85"/>
      <c r="AH59" s="54">
        <f t="shared" si="2"/>
        <v>141.30000000000001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73">
        <v>40</v>
      </c>
      <c r="R60" s="73">
        <v>41</v>
      </c>
      <c r="S60" s="73">
        <v>40</v>
      </c>
      <c r="T60" s="73">
        <v>40</v>
      </c>
      <c r="U60" s="73">
        <v>30</v>
      </c>
      <c r="V60" s="73">
        <v>55</v>
      </c>
      <c r="W60" s="73">
        <v>56</v>
      </c>
      <c r="X60" s="73">
        <v>50</v>
      </c>
      <c r="Y60" s="73">
        <v>50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56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76.5</v>
      </c>
      <c r="R61" s="50">
        <v>77</v>
      </c>
      <c r="S61" s="50">
        <v>76.7</v>
      </c>
      <c r="T61" s="50">
        <v>67.5</v>
      </c>
      <c r="U61" s="50">
        <v>74.3</v>
      </c>
      <c r="V61" s="50">
        <v>70.3</v>
      </c>
      <c r="W61" s="50">
        <v>54.3</v>
      </c>
      <c r="X61" s="50">
        <v>66</v>
      </c>
      <c r="Y61" s="50">
        <v>74.599999999999994</v>
      </c>
      <c r="Z61" s="50">
        <v>84</v>
      </c>
      <c r="AA61" s="50">
        <v>75.3</v>
      </c>
      <c r="AB61" s="50">
        <v>76</v>
      </c>
      <c r="AC61" s="50">
        <v>65.5</v>
      </c>
      <c r="AD61" s="50">
        <v>0</v>
      </c>
      <c r="AE61" s="50">
        <v>0</v>
      </c>
      <c r="AF61" s="50">
        <v>0</v>
      </c>
      <c r="AG61" s="85"/>
      <c r="AH61" s="54">
        <f t="shared" si="2"/>
        <v>84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12</v>
      </c>
      <c r="O66" s="60">
        <v>12</v>
      </c>
      <c r="P66" s="60">
        <v>12</v>
      </c>
      <c r="Q66" s="63">
        <v>12</v>
      </c>
      <c r="R66" s="63">
        <v>12</v>
      </c>
      <c r="S66" s="63">
        <v>12</v>
      </c>
      <c r="T66" s="63">
        <v>12</v>
      </c>
      <c r="U66" s="63">
        <v>12</v>
      </c>
      <c r="V66" s="63">
        <v>12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58">
        <v>0</v>
      </c>
      <c r="AG66" s="87"/>
      <c r="AH66" s="54">
        <f t="shared" si="2"/>
        <v>12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58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138</v>
      </c>
      <c r="C68" s="72">
        <f>SUM(C57:C67)</f>
        <v>45</v>
      </c>
      <c r="D68" s="72">
        <f t="shared" ref="D68:AF68" si="9">SUM(D57:D67)</f>
        <v>44</v>
      </c>
      <c r="E68" s="72">
        <f t="shared" si="9"/>
        <v>44</v>
      </c>
      <c r="F68" s="72">
        <f t="shared" si="9"/>
        <v>41</v>
      </c>
      <c r="G68" s="72">
        <f t="shared" si="9"/>
        <v>48</v>
      </c>
      <c r="H68" s="72">
        <f t="shared" si="9"/>
        <v>52</v>
      </c>
      <c r="I68" s="72">
        <f t="shared" si="9"/>
        <v>115</v>
      </c>
      <c r="J68" s="72">
        <f t="shared" si="9"/>
        <v>120</v>
      </c>
      <c r="K68" s="72">
        <f t="shared" si="9"/>
        <v>113</v>
      </c>
      <c r="L68" s="72">
        <f t="shared" si="9"/>
        <v>101</v>
      </c>
      <c r="M68" s="72">
        <f t="shared" si="9"/>
        <v>56</v>
      </c>
      <c r="N68" s="72">
        <f t="shared" si="9"/>
        <v>83</v>
      </c>
      <c r="O68" s="72">
        <f t="shared" si="9"/>
        <v>183.7</v>
      </c>
      <c r="P68" s="72">
        <f t="shared" si="9"/>
        <v>215</v>
      </c>
      <c r="Q68" s="72">
        <f t="shared" si="9"/>
        <v>305.3</v>
      </c>
      <c r="R68" s="72">
        <f t="shared" si="9"/>
        <v>296</v>
      </c>
      <c r="S68" s="72">
        <f t="shared" si="9"/>
        <v>335.40000000000003</v>
      </c>
      <c r="T68" s="72">
        <f t="shared" si="9"/>
        <v>352.5</v>
      </c>
      <c r="U68" s="72">
        <f t="shared" si="9"/>
        <v>362.8</v>
      </c>
      <c r="V68" s="72">
        <f t="shared" si="9"/>
        <v>362.1</v>
      </c>
      <c r="W68" s="72">
        <f t="shared" si="9"/>
        <v>290.8</v>
      </c>
      <c r="X68" s="72">
        <f t="shared" si="9"/>
        <v>288.7</v>
      </c>
      <c r="Y68" s="72">
        <f t="shared" si="9"/>
        <v>195.9</v>
      </c>
      <c r="Z68" s="72">
        <f t="shared" si="9"/>
        <v>252.2</v>
      </c>
      <c r="AA68" s="72">
        <f t="shared" si="9"/>
        <v>223.3</v>
      </c>
      <c r="AB68" s="72">
        <f t="shared" si="9"/>
        <v>247</v>
      </c>
      <c r="AC68" s="72">
        <f t="shared" si="9"/>
        <v>224.5</v>
      </c>
      <c r="AD68" s="72">
        <f t="shared" si="9"/>
        <v>177</v>
      </c>
      <c r="AE68" s="72">
        <f t="shared" si="9"/>
        <v>170.6</v>
      </c>
      <c r="AF68" s="72">
        <f t="shared" si="9"/>
        <v>101.2</v>
      </c>
      <c r="AG68" s="78">
        <f>SUM(AG57:AG67)</f>
        <v>0</v>
      </c>
      <c r="AH68" s="54">
        <f t="shared" si="2"/>
        <v>362.8</v>
      </c>
      <c r="AI68" s="55">
        <f t="shared" si="3"/>
        <v>41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955.2399999999999</v>
      </c>
      <c r="C73" s="89">
        <f>C68+C56+C52+C38+C72</f>
        <v>918.04</v>
      </c>
      <c r="D73" s="89">
        <f t="shared" ref="D73:AG73" si="11">D68+D56+D52+D38+D72</f>
        <v>900.7399999999999</v>
      </c>
      <c r="E73" s="89">
        <f t="shared" si="11"/>
        <v>882.74</v>
      </c>
      <c r="F73" s="89">
        <f t="shared" si="11"/>
        <v>870.63999999999987</v>
      </c>
      <c r="G73" s="89">
        <f t="shared" si="11"/>
        <v>941.2399999999999</v>
      </c>
      <c r="H73" s="89">
        <f t="shared" si="11"/>
        <v>1016.24</v>
      </c>
      <c r="I73" s="89">
        <f t="shared" si="11"/>
        <v>1131.24</v>
      </c>
      <c r="J73" s="89">
        <f t="shared" si="11"/>
        <v>1184.24</v>
      </c>
      <c r="K73" s="89">
        <f t="shared" si="11"/>
        <v>1381.94</v>
      </c>
      <c r="L73" s="89">
        <f t="shared" si="11"/>
        <v>1499.94</v>
      </c>
      <c r="M73" s="89">
        <f t="shared" si="11"/>
        <v>1489.94</v>
      </c>
      <c r="N73" s="89">
        <f t="shared" si="11"/>
        <v>1516.14</v>
      </c>
      <c r="O73" s="89">
        <f t="shared" si="11"/>
        <v>1505.3400000000001</v>
      </c>
      <c r="P73" s="89">
        <f t="shared" si="11"/>
        <v>1408.3400000000001</v>
      </c>
      <c r="Q73" s="89">
        <f t="shared" si="11"/>
        <v>1261.94</v>
      </c>
      <c r="R73" s="89">
        <f t="shared" si="11"/>
        <v>1253.94</v>
      </c>
      <c r="S73" s="89">
        <f t="shared" si="11"/>
        <v>1233.6399999999999</v>
      </c>
      <c r="T73" s="89">
        <f t="shared" si="11"/>
        <v>1236.94</v>
      </c>
      <c r="U73" s="89">
        <f t="shared" si="11"/>
        <v>1244.8400000000001</v>
      </c>
      <c r="V73" s="89">
        <f t="shared" si="11"/>
        <v>1289.8400000000001</v>
      </c>
      <c r="W73" s="89">
        <f t="shared" si="11"/>
        <v>1438.54</v>
      </c>
      <c r="X73" s="89">
        <f t="shared" si="11"/>
        <v>1570.04</v>
      </c>
      <c r="Y73" s="89">
        <f t="shared" si="11"/>
        <v>1552.94</v>
      </c>
      <c r="Z73" s="89">
        <f t="shared" si="11"/>
        <v>1529.2399999999998</v>
      </c>
      <c r="AA73" s="89">
        <f t="shared" si="11"/>
        <v>1476.1399999999999</v>
      </c>
      <c r="AB73" s="89">
        <f t="shared" si="11"/>
        <v>1438.3400000000001</v>
      </c>
      <c r="AC73" s="89">
        <f t="shared" si="11"/>
        <v>1376.64</v>
      </c>
      <c r="AD73" s="89">
        <f t="shared" si="11"/>
        <v>1328.8400000000001</v>
      </c>
      <c r="AE73" s="89">
        <f t="shared" si="11"/>
        <v>1130.54</v>
      </c>
      <c r="AF73" s="89">
        <f t="shared" si="11"/>
        <v>1016.04</v>
      </c>
      <c r="AG73" s="89">
        <f t="shared" si="11"/>
        <v>2144.14</v>
      </c>
      <c r="AH73" s="54">
        <f t="shared" si="2"/>
        <v>1570.04</v>
      </c>
      <c r="AI73" s="55">
        <f t="shared" si="3"/>
        <v>870.63999999999987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955.2399999999999</v>
      </c>
      <c r="C75" s="89">
        <f>C73+C74</f>
        <v>918.04</v>
      </c>
      <c r="D75" s="89">
        <f t="shared" ref="D75:AF75" si="12">D72+D68+D56+D52+D38+D74</f>
        <v>900.7399999999999</v>
      </c>
      <c r="E75" s="89">
        <f t="shared" si="12"/>
        <v>882.74</v>
      </c>
      <c r="F75" s="89">
        <f t="shared" si="12"/>
        <v>870.63999999999987</v>
      </c>
      <c r="G75" s="89">
        <f t="shared" si="12"/>
        <v>941.2399999999999</v>
      </c>
      <c r="H75" s="89">
        <f t="shared" si="12"/>
        <v>1016.24</v>
      </c>
      <c r="I75" s="89">
        <f t="shared" si="12"/>
        <v>1131.24</v>
      </c>
      <c r="J75" s="89">
        <f t="shared" si="12"/>
        <v>1184.24</v>
      </c>
      <c r="K75" s="89">
        <f t="shared" si="12"/>
        <v>1381.94</v>
      </c>
      <c r="L75" s="89">
        <f t="shared" si="12"/>
        <v>1499.94</v>
      </c>
      <c r="M75" s="89">
        <f t="shared" si="12"/>
        <v>1489.94</v>
      </c>
      <c r="N75" s="89">
        <f t="shared" si="12"/>
        <v>1516.14</v>
      </c>
      <c r="O75" s="89">
        <f t="shared" si="12"/>
        <v>1505.3400000000001</v>
      </c>
      <c r="P75" s="89">
        <f t="shared" si="12"/>
        <v>1408.3400000000001</v>
      </c>
      <c r="Q75" s="89">
        <f t="shared" si="12"/>
        <v>1261.94</v>
      </c>
      <c r="R75" s="89">
        <f t="shared" si="12"/>
        <v>1253.94</v>
      </c>
      <c r="S75" s="89">
        <f t="shared" si="12"/>
        <v>1233.6399999999999</v>
      </c>
      <c r="T75" s="89">
        <f t="shared" si="12"/>
        <v>1236.94</v>
      </c>
      <c r="U75" s="89">
        <f t="shared" si="12"/>
        <v>1244.8400000000001</v>
      </c>
      <c r="V75" s="89">
        <f t="shared" si="12"/>
        <v>1289.8400000000001</v>
      </c>
      <c r="W75" s="89">
        <f t="shared" si="12"/>
        <v>1438.54</v>
      </c>
      <c r="X75" s="89">
        <f t="shared" si="12"/>
        <v>1570.04</v>
      </c>
      <c r="Y75" s="89">
        <f t="shared" si="12"/>
        <v>1552.94</v>
      </c>
      <c r="Z75" s="89">
        <f t="shared" si="12"/>
        <v>1529.2399999999998</v>
      </c>
      <c r="AA75" s="89">
        <f t="shared" si="12"/>
        <v>1476.1399999999999</v>
      </c>
      <c r="AB75" s="89">
        <f t="shared" si="12"/>
        <v>1438.3400000000001</v>
      </c>
      <c r="AC75" s="89">
        <f t="shared" si="12"/>
        <v>1376.64</v>
      </c>
      <c r="AD75" s="89">
        <f t="shared" si="12"/>
        <v>1328.8400000000001</v>
      </c>
      <c r="AE75" s="89">
        <f t="shared" si="12"/>
        <v>1130.54</v>
      </c>
      <c r="AF75" s="89">
        <f t="shared" si="12"/>
        <v>1016.04</v>
      </c>
      <c r="AG75" s="78">
        <f>AG72+AG68+AG56+AG52+AG38+AG74</f>
        <v>2144.14</v>
      </c>
      <c r="AH75" s="54">
        <f t="shared" si="2"/>
        <v>1570.04</v>
      </c>
      <c r="AI75" s="55">
        <f t="shared" si="3"/>
        <v>870.63999999999987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>
        <f t="shared" si="13"/>
        <v>0</v>
      </c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f t="shared" si="16"/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f t="shared" si="17"/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f t="shared" si="18"/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f t="shared" si="19"/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f t="shared" si="20"/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1910.4799999999998</v>
      </c>
      <c r="C83" s="72">
        <f t="shared" ref="C83:AG83" si="21">SUM(C70:C82)</f>
        <v>1836.08</v>
      </c>
      <c r="D83" s="72">
        <f t="shared" si="21"/>
        <v>1801.4799999999998</v>
      </c>
      <c r="E83" s="72">
        <f t="shared" si="21"/>
        <v>1765.48</v>
      </c>
      <c r="F83" s="72">
        <f t="shared" si="21"/>
        <v>1741.2799999999997</v>
      </c>
      <c r="G83" s="72">
        <f t="shared" si="21"/>
        <v>1882.4799999999998</v>
      </c>
      <c r="H83" s="72">
        <f t="shared" si="21"/>
        <v>2032.48</v>
      </c>
      <c r="I83" s="72">
        <f t="shared" si="21"/>
        <v>2262.48</v>
      </c>
      <c r="J83" s="72">
        <f t="shared" si="21"/>
        <v>2368.48</v>
      </c>
      <c r="K83" s="72">
        <f t="shared" si="21"/>
        <v>2763.88</v>
      </c>
      <c r="L83" s="72">
        <f t="shared" si="21"/>
        <v>2999.88</v>
      </c>
      <c r="M83" s="72">
        <f t="shared" si="21"/>
        <v>2979.88</v>
      </c>
      <c r="N83" s="72">
        <f t="shared" si="21"/>
        <v>3032.28</v>
      </c>
      <c r="O83" s="72">
        <f t="shared" si="21"/>
        <v>3010.6800000000003</v>
      </c>
      <c r="P83" s="72">
        <f t="shared" si="21"/>
        <v>2816.6800000000003</v>
      </c>
      <c r="Q83" s="72">
        <f t="shared" si="21"/>
        <v>2523.88</v>
      </c>
      <c r="R83" s="72">
        <f t="shared" si="21"/>
        <v>2507.88</v>
      </c>
      <c r="S83" s="72">
        <f t="shared" si="21"/>
        <v>2467.2799999999997</v>
      </c>
      <c r="T83" s="72">
        <f t="shared" si="21"/>
        <v>2473.88</v>
      </c>
      <c r="U83" s="72">
        <f t="shared" si="21"/>
        <v>2489.6800000000003</v>
      </c>
      <c r="V83" s="72">
        <f t="shared" si="21"/>
        <v>2579.6800000000003</v>
      </c>
      <c r="W83" s="72">
        <f t="shared" si="21"/>
        <v>2877.08</v>
      </c>
      <c r="X83" s="72">
        <f t="shared" si="21"/>
        <v>3140.08</v>
      </c>
      <c r="Y83" s="72">
        <f t="shared" si="21"/>
        <v>3105.88</v>
      </c>
      <c r="Z83" s="72">
        <f t="shared" si="21"/>
        <v>3058.4799999999996</v>
      </c>
      <c r="AA83" s="72">
        <f t="shared" si="21"/>
        <v>2952.2799999999997</v>
      </c>
      <c r="AB83" s="72">
        <f t="shared" si="21"/>
        <v>2876.6800000000003</v>
      </c>
      <c r="AC83" s="72">
        <f t="shared" si="21"/>
        <v>2753.28</v>
      </c>
      <c r="AD83" s="72">
        <f t="shared" si="21"/>
        <v>2657.6800000000003</v>
      </c>
      <c r="AE83" s="72">
        <f t="shared" si="21"/>
        <v>2261.08</v>
      </c>
      <c r="AF83" s="72">
        <f t="shared" si="21"/>
        <v>2032.08</v>
      </c>
      <c r="AG83" s="78">
        <f t="shared" si="21"/>
        <v>4360.08</v>
      </c>
      <c r="AH83" s="54">
        <f t="shared" si="14"/>
        <v>3140.08</v>
      </c>
      <c r="AI83" s="55">
        <f t="shared" si="15"/>
        <v>1741.2799999999997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</v>
      </c>
      <c r="C84" s="95">
        <v>50.1</v>
      </c>
      <c r="D84" s="95">
        <v>50.02</v>
      </c>
      <c r="E84" s="95">
        <v>50.042000000000002</v>
      </c>
      <c r="F84" s="95">
        <v>50.003</v>
      </c>
      <c r="G84" s="95">
        <v>49.889000000000003</v>
      </c>
      <c r="H84" s="95">
        <v>49.844999999999999</v>
      </c>
      <c r="I84" s="95">
        <v>49.972999999999999</v>
      </c>
      <c r="J84" s="95">
        <v>49.972999999999999</v>
      </c>
      <c r="K84" s="95">
        <v>50.000999999999998</v>
      </c>
      <c r="L84" s="95">
        <v>49.91</v>
      </c>
      <c r="M84" s="95">
        <v>50.01</v>
      </c>
      <c r="N84" s="95">
        <v>50.04</v>
      </c>
      <c r="O84" s="95">
        <v>50</v>
      </c>
      <c r="P84" s="95">
        <v>49.96</v>
      </c>
      <c r="Q84" s="95">
        <v>49.683999999999997</v>
      </c>
      <c r="R84" s="95">
        <v>49.83</v>
      </c>
      <c r="S84" s="95">
        <v>50.034999999999997</v>
      </c>
      <c r="T84" s="95">
        <v>50.01</v>
      </c>
      <c r="U84" s="95">
        <v>49.95</v>
      </c>
      <c r="V84" s="95">
        <v>49.984000000000002</v>
      </c>
      <c r="W84" s="95">
        <v>50.098999999999997</v>
      </c>
      <c r="X84" s="95">
        <v>50.037999999999997</v>
      </c>
      <c r="Y84" s="95">
        <v>50.018000000000001</v>
      </c>
      <c r="Z84" s="95">
        <v>50.009</v>
      </c>
      <c r="AA84" s="95">
        <v>49.942999999999998</v>
      </c>
      <c r="AB84" s="95">
        <v>50.088999999999999</v>
      </c>
      <c r="AC84" s="95">
        <v>50.034999999999997</v>
      </c>
      <c r="AD84" s="95"/>
      <c r="AE84" s="95">
        <v>50.03</v>
      </c>
      <c r="AF84" s="95">
        <v>50.01</v>
      </c>
      <c r="AG84" s="96"/>
      <c r="AH84" s="54">
        <f t="shared" si="14"/>
        <v>50.1</v>
      </c>
      <c r="AI84" s="55">
        <f t="shared" si="15"/>
        <v>49.683999999999997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</v>
      </c>
      <c r="C85" s="73">
        <v>127</v>
      </c>
      <c r="D85" s="73">
        <v>127</v>
      </c>
      <c r="E85" s="73">
        <v>124.9</v>
      </c>
      <c r="F85" s="73">
        <v>126.3</v>
      </c>
      <c r="G85" s="73">
        <v>125.3</v>
      </c>
      <c r="H85" s="73">
        <v>123.9</v>
      </c>
      <c r="I85" s="73">
        <v>123.4</v>
      </c>
      <c r="J85" s="73">
        <v>123.4</v>
      </c>
      <c r="K85" s="73">
        <v>122.4</v>
      </c>
      <c r="L85" s="73">
        <v>122</v>
      </c>
      <c r="M85" s="73">
        <v>122.9</v>
      </c>
      <c r="N85" s="73">
        <v>122.4</v>
      </c>
      <c r="O85" s="73">
        <v>121.2</v>
      </c>
      <c r="P85" s="73">
        <v>123.7</v>
      </c>
      <c r="Q85" s="73">
        <v>126.6</v>
      </c>
      <c r="R85" s="73">
        <v>125.9</v>
      </c>
      <c r="S85" s="73">
        <v>125.4</v>
      </c>
      <c r="T85" s="73">
        <v>125.8</v>
      </c>
      <c r="U85" s="98">
        <v>125.9</v>
      </c>
      <c r="V85" s="98">
        <v>126.7</v>
      </c>
      <c r="W85" s="98">
        <v>124.9</v>
      </c>
      <c r="X85" s="98">
        <v>122.5</v>
      </c>
      <c r="Y85" s="98">
        <v>122.6</v>
      </c>
      <c r="Z85" s="98">
        <v>123.7</v>
      </c>
      <c r="AA85" s="98">
        <v>124.9</v>
      </c>
      <c r="AB85" s="73">
        <v>125.2</v>
      </c>
      <c r="AC85" s="73">
        <v>124.7</v>
      </c>
      <c r="AD85" s="73"/>
      <c r="AE85" s="73">
        <v>125.7</v>
      </c>
      <c r="AF85" s="73">
        <v>126.6</v>
      </c>
      <c r="AG85" s="99"/>
      <c r="AH85" s="54">
        <f t="shared" si="14"/>
        <v>127</v>
      </c>
      <c r="AI85" s="55">
        <f t="shared" si="15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</v>
      </c>
      <c r="C86" s="73">
        <v>131</v>
      </c>
      <c r="D86" s="73">
        <v>131</v>
      </c>
      <c r="E86" s="73">
        <v>129.80000000000001</v>
      </c>
      <c r="F86" s="73">
        <v>130.6</v>
      </c>
      <c r="G86" s="73">
        <v>129.80000000000001</v>
      </c>
      <c r="H86" s="73">
        <v>128.19999999999999</v>
      </c>
      <c r="I86" s="73">
        <v>127.5</v>
      </c>
      <c r="J86" s="73">
        <v>127.5</v>
      </c>
      <c r="K86" s="73">
        <v>125.6</v>
      </c>
      <c r="L86" s="73">
        <v>124.5</v>
      </c>
      <c r="M86" s="73">
        <v>124.5</v>
      </c>
      <c r="N86" s="73">
        <v>124</v>
      </c>
      <c r="O86" s="73">
        <v>123.2</v>
      </c>
      <c r="P86" s="73">
        <v>125.1</v>
      </c>
      <c r="Q86" s="73">
        <v>127.7</v>
      </c>
      <c r="R86" s="73">
        <v>127</v>
      </c>
      <c r="S86" s="73">
        <v>127.3</v>
      </c>
      <c r="T86" s="73">
        <v>127.7</v>
      </c>
      <c r="U86" s="98">
        <v>127.9</v>
      </c>
      <c r="V86" s="98">
        <v>128</v>
      </c>
      <c r="W86" s="98">
        <v>126.4</v>
      </c>
      <c r="X86" s="98">
        <v>124.1</v>
      </c>
      <c r="Y86" s="98">
        <v>124.2</v>
      </c>
      <c r="Z86" s="98">
        <v>125.2</v>
      </c>
      <c r="AA86" s="98">
        <v>126.5</v>
      </c>
      <c r="AB86" s="73">
        <v>126.3</v>
      </c>
      <c r="AC86" s="73">
        <v>126.2</v>
      </c>
      <c r="AD86" s="73"/>
      <c r="AE86" s="73">
        <v>128.5</v>
      </c>
      <c r="AF86" s="73">
        <v>129.6</v>
      </c>
      <c r="AG86" s="99"/>
      <c r="AH86" s="54">
        <f t="shared" si="14"/>
        <v>131</v>
      </c>
      <c r="AI86" s="55">
        <f t="shared" si="15"/>
        <v>123.2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</v>
      </c>
      <c r="C87" s="73">
        <v>130</v>
      </c>
      <c r="D87" s="73">
        <v>130</v>
      </c>
      <c r="E87" s="73">
        <v>129.9</v>
      </c>
      <c r="F87" s="73">
        <v>130.9</v>
      </c>
      <c r="G87" s="73">
        <v>129</v>
      </c>
      <c r="H87" s="73">
        <v>128</v>
      </c>
      <c r="I87" s="73">
        <v>129.69999999999999</v>
      </c>
      <c r="J87" s="73">
        <v>129.69999999999999</v>
      </c>
      <c r="K87" s="73">
        <v>126.8</v>
      </c>
      <c r="L87" s="73">
        <v>127</v>
      </c>
      <c r="M87" s="73">
        <v>125.8</v>
      </c>
      <c r="N87" s="73">
        <v>127.4</v>
      </c>
      <c r="O87" s="73">
        <v>125.8</v>
      </c>
      <c r="P87" s="73">
        <v>128.69999999999999</v>
      </c>
      <c r="Q87" s="73">
        <v>128.9</v>
      </c>
      <c r="R87" s="73">
        <v>128.80000000000001</v>
      </c>
      <c r="S87" s="73">
        <v>127.5</v>
      </c>
      <c r="T87" s="73">
        <v>131.4</v>
      </c>
      <c r="U87" s="73">
        <v>129.19999999999999</v>
      </c>
      <c r="V87" s="73">
        <v>130.6</v>
      </c>
      <c r="W87" s="73">
        <v>128.9</v>
      </c>
      <c r="X87" s="98">
        <v>128.19999999999999</v>
      </c>
      <c r="Y87" s="98">
        <v>127.4</v>
      </c>
      <c r="Z87" s="98">
        <v>129.69999999999999</v>
      </c>
      <c r="AA87" s="98">
        <v>130.19999999999999</v>
      </c>
      <c r="AB87" s="73">
        <v>130</v>
      </c>
      <c r="AC87" s="73">
        <v>129.80000000000001</v>
      </c>
      <c r="AD87" s="73"/>
      <c r="AE87" s="73">
        <v>129.30000000000001</v>
      </c>
      <c r="AF87" s="73">
        <v>128.30000000000001</v>
      </c>
      <c r="AG87" s="99"/>
      <c r="AH87" s="54">
        <f t="shared" si="14"/>
        <v>131.4</v>
      </c>
      <c r="AI87" s="55">
        <f t="shared" si="15"/>
        <v>125.8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</v>
      </c>
      <c r="C88" s="73">
        <v>133</v>
      </c>
      <c r="D88" s="73">
        <v>133</v>
      </c>
      <c r="E88" s="73">
        <v>133</v>
      </c>
      <c r="F88" s="73">
        <v>133.69999999999999</v>
      </c>
      <c r="G88" s="73">
        <v>132</v>
      </c>
      <c r="H88" s="73">
        <v>130.9</v>
      </c>
      <c r="I88" s="73">
        <v>133.80000000000001</v>
      </c>
      <c r="J88" s="73">
        <v>133.80000000000001</v>
      </c>
      <c r="K88" s="73">
        <v>131.19999999999999</v>
      </c>
      <c r="L88" s="73">
        <v>131</v>
      </c>
      <c r="M88" s="73">
        <v>130.4</v>
      </c>
      <c r="N88" s="73">
        <v>132</v>
      </c>
      <c r="O88" s="73">
        <v>131.30000000000001</v>
      </c>
      <c r="P88" s="73">
        <v>134.1</v>
      </c>
      <c r="Q88" s="73">
        <v>131.9</v>
      </c>
      <c r="R88" s="73">
        <v>131.5</v>
      </c>
      <c r="S88" s="73">
        <v>130.1</v>
      </c>
      <c r="T88" s="73">
        <v>133.30000000000001</v>
      </c>
      <c r="U88" s="73">
        <v>130.4</v>
      </c>
      <c r="V88" s="73">
        <v>131.4</v>
      </c>
      <c r="W88" s="73">
        <v>129.9</v>
      </c>
      <c r="X88" s="98">
        <v>130.9</v>
      </c>
      <c r="Y88" s="98">
        <v>131.1</v>
      </c>
      <c r="Z88" s="98">
        <v>133.4</v>
      </c>
      <c r="AA88" s="98">
        <v>134.6</v>
      </c>
      <c r="AB88" s="73">
        <v>133.4</v>
      </c>
      <c r="AC88" s="73">
        <v>133.4</v>
      </c>
      <c r="AD88" s="73"/>
      <c r="AE88" s="73">
        <v>133.1</v>
      </c>
      <c r="AF88" s="73">
        <v>132.69999999999999</v>
      </c>
      <c r="AG88" s="99"/>
      <c r="AH88" s="54">
        <f t="shared" si="14"/>
        <v>134.6</v>
      </c>
      <c r="AI88" s="55">
        <f t="shared" si="15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133</v>
      </c>
      <c r="C89" s="101">
        <v>136</v>
      </c>
      <c r="D89" s="101">
        <v>135</v>
      </c>
      <c r="E89" s="101">
        <v>131.1</v>
      </c>
      <c r="F89" s="101">
        <v>134.1</v>
      </c>
      <c r="G89" s="101">
        <v>135.69999999999999</v>
      </c>
      <c r="H89" s="101">
        <v>135.19999999999999</v>
      </c>
      <c r="I89" s="101">
        <v>132.80000000000001</v>
      </c>
      <c r="J89" s="101">
        <v>132.80000000000001</v>
      </c>
      <c r="K89" s="101">
        <v>133.19999999999999</v>
      </c>
      <c r="L89" s="101">
        <v>130.9</v>
      </c>
      <c r="M89" s="101">
        <v>133.30000000000001</v>
      </c>
      <c r="N89" s="101">
        <v>134</v>
      </c>
      <c r="O89" s="101">
        <v>134.19999999999999</v>
      </c>
      <c r="P89" s="101">
        <v>131.9</v>
      </c>
      <c r="Q89" s="101">
        <v>134.19999999999999</v>
      </c>
      <c r="R89" s="101">
        <v>133</v>
      </c>
      <c r="S89" s="101">
        <v>131.69999999999999</v>
      </c>
      <c r="T89" s="101">
        <v>132.4</v>
      </c>
      <c r="U89" s="101">
        <v>133.1</v>
      </c>
      <c r="V89" s="101">
        <v>135</v>
      </c>
      <c r="W89" s="101">
        <v>135.30000000000001</v>
      </c>
      <c r="X89" s="98">
        <v>132</v>
      </c>
      <c r="Y89" s="98">
        <v>133</v>
      </c>
      <c r="Z89" s="98">
        <v>132.80000000000001</v>
      </c>
      <c r="AA89" s="98">
        <v>135</v>
      </c>
      <c r="AB89" s="101">
        <v>134.80000000000001</v>
      </c>
      <c r="AC89" s="101">
        <v>133.69999999999999</v>
      </c>
      <c r="AD89" s="101"/>
      <c r="AE89" s="101">
        <v>136.19999999999999</v>
      </c>
      <c r="AF89" s="101">
        <v>134.5</v>
      </c>
      <c r="AG89" s="102"/>
      <c r="AH89" s="54">
        <f t="shared" si="14"/>
        <v>136.19999999999999</v>
      </c>
      <c r="AI89" s="55">
        <f t="shared" si="15"/>
        <v>130.9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135</v>
      </c>
      <c r="C90" s="73">
        <v>135</v>
      </c>
      <c r="D90" s="73">
        <v>135</v>
      </c>
      <c r="E90" s="73">
        <v>136.6</v>
      </c>
      <c r="F90" s="73">
        <v>135.19999999999999</v>
      </c>
      <c r="G90" s="73">
        <v>125.2</v>
      </c>
      <c r="H90" s="73">
        <v>125.8</v>
      </c>
      <c r="I90" s="73">
        <v>133.1</v>
      </c>
      <c r="J90" s="73">
        <v>133.1</v>
      </c>
      <c r="K90" s="73">
        <v>133</v>
      </c>
      <c r="L90" s="73">
        <v>129.5</v>
      </c>
      <c r="M90" s="73">
        <v>130.80000000000001</v>
      </c>
      <c r="N90" s="73">
        <v>127</v>
      </c>
      <c r="O90" s="73">
        <v>130.4</v>
      </c>
      <c r="P90" s="73">
        <v>129.69999999999999</v>
      </c>
      <c r="Q90" s="73">
        <v>135.80000000000001</v>
      </c>
      <c r="R90" s="73">
        <v>134</v>
      </c>
      <c r="S90" s="73">
        <v>131.69999999999999</v>
      </c>
      <c r="T90" s="73">
        <v>133.80000000000001</v>
      </c>
      <c r="U90" s="73">
        <v>130.9</v>
      </c>
      <c r="V90" s="73">
        <v>133.80000000000001</v>
      </c>
      <c r="W90" s="73">
        <v>136.80000000000001</v>
      </c>
      <c r="X90" s="98">
        <v>128.19999999999999</v>
      </c>
      <c r="Y90" s="98">
        <v>130.9</v>
      </c>
      <c r="Z90" s="98">
        <v>130</v>
      </c>
      <c r="AA90" s="98">
        <v>130.4</v>
      </c>
      <c r="AB90" s="73">
        <v>132.6</v>
      </c>
      <c r="AC90" s="73">
        <v>133.6</v>
      </c>
      <c r="AD90" s="73"/>
      <c r="AE90" s="73">
        <v>133.69999999999999</v>
      </c>
      <c r="AF90" s="73">
        <v>135.4</v>
      </c>
      <c r="AG90" s="99"/>
      <c r="AH90" s="54">
        <f t="shared" si="14"/>
        <v>136.80000000000001</v>
      </c>
      <c r="AI90" s="55">
        <f t="shared" si="15"/>
        <v>125.2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</v>
      </c>
      <c r="C91" s="103">
        <v>66.5</v>
      </c>
      <c r="D91" s="103">
        <v>66.5</v>
      </c>
      <c r="E91" s="103">
        <v>65.8</v>
      </c>
      <c r="F91" s="103">
        <v>66.3</v>
      </c>
      <c r="G91" s="103">
        <v>65.8</v>
      </c>
      <c r="H91" s="103">
        <v>65</v>
      </c>
      <c r="I91" s="103">
        <v>64.599999999999994</v>
      </c>
      <c r="J91" s="103">
        <v>64.599999999999994</v>
      </c>
      <c r="K91" s="103">
        <v>64.5</v>
      </c>
      <c r="L91" s="103">
        <v>63.5</v>
      </c>
      <c r="M91" s="103">
        <v>63.1</v>
      </c>
      <c r="N91" s="103">
        <v>62.9</v>
      </c>
      <c r="O91" s="103">
        <v>62.3</v>
      </c>
      <c r="P91" s="103">
        <v>63.4</v>
      </c>
      <c r="Q91" s="103">
        <v>64.8</v>
      </c>
      <c r="R91" s="103">
        <v>64</v>
      </c>
      <c r="S91" s="103">
        <v>64.3</v>
      </c>
      <c r="T91" s="103">
        <v>64.5</v>
      </c>
      <c r="U91" s="103">
        <v>64.7</v>
      </c>
      <c r="V91" s="103">
        <v>64.599999999999994</v>
      </c>
      <c r="W91" s="103">
        <v>64.099999999999994</v>
      </c>
      <c r="X91" s="103">
        <v>63</v>
      </c>
      <c r="Y91" s="103">
        <v>63.2</v>
      </c>
      <c r="Z91" s="103">
        <v>63.7</v>
      </c>
      <c r="AA91" s="103">
        <v>64.3</v>
      </c>
      <c r="AB91" s="103">
        <v>63.8</v>
      </c>
      <c r="AC91" s="103">
        <v>63.8</v>
      </c>
      <c r="AD91" s="103"/>
      <c r="AE91" s="103">
        <v>64.3</v>
      </c>
      <c r="AF91" s="103">
        <v>65.2</v>
      </c>
      <c r="AG91" s="104"/>
      <c r="AH91" s="54">
        <f t="shared" si="14"/>
        <v>66.5</v>
      </c>
      <c r="AI91" s="55">
        <f t="shared" si="15"/>
        <v>62.3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215.73999999999998</v>
      </c>
      <c r="C93" s="110">
        <f>SUM(C15,C18,C21:C22,C42,C44:C45,C47,C49,C94:C97,C102,C108,C114,C123,C125,C137,C144,C147:C148,C155,C157,C159,C163:C165,C167:C169,C174,C180:C181,C183:C185,C193,C198)</f>
        <v>191.23999999999998</v>
      </c>
      <c r="D93" s="110">
        <f t="shared" ref="D93:AF93" si="22">SUM(D15,D18,D21:D22,D42,D44:D45,D47,D49,D94:D97,D102,D108,D114,D123,D125,D137,D144,D147:D148,D155,D157,D159,D163:D165,D167:D169,D174,D180:D181,D183:D185,D193,D198)</f>
        <v>181.73999999999998</v>
      </c>
      <c r="E93" s="110">
        <f t="shared" si="22"/>
        <v>172.64</v>
      </c>
      <c r="F93" s="110">
        <f t="shared" si="22"/>
        <v>173.23999999999998</v>
      </c>
      <c r="G93" s="109">
        <f t="shared" si="22"/>
        <v>187.23999999999998</v>
      </c>
      <c r="H93" s="109">
        <f t="shared" si="22"/>
        <v>232.03999999999996</v>
      </c>
      <c r="I93" s="109">
        <f t="shared" si="22"/>
        <v>279.74</v>
      </c>
      <c r="J93" s="109">
        <f t="shared" si="22"/>
        <v>279.74</v>
      </c>
      <c r="K93" s="109">
        <f t="shared" si="22"/>
        <v>395.44000000000005</v>
      </c>
      <c r="L93" s="109">
        <f t="shared" si="22"/>
        <v>454.74</v>
      </c>
      <c r="M93" s="109">
        <f t="shared" si="22"/>
        <v>473.54</v>
      </c>
      <c r="N93" s="109">
        <f t="shared" si="22"/>
        <v>479.54000000000008</v>
      </c>
      <c r="O93" s="109">
        <f t="shared" si="22"/>
        <v>439.34000000000009</v>
      </c>
      <c r="P93" s="109">
        <f t="shared" si="22"/>
        <v>464.44000000000005</v>
      </c>
      <c r="Q93" s="109">
        <f t="shared" si="22"/>
        <v>403.04</v>
      </c>
      <c r="R93" s="109">
        <f t="shared" si="22"/>
        <v>374.64</v>
      </c>
      <c r="S93" s="109">
        <f t="shared" si="22"/>
        <v>368.24</v>
      </c>
      <c r="T93" s="109">
        <f t="shared" si="22"/>
        <v>369.94000000000005</v>
      </c>
      <c r="U93" s="109">
        <f t="shared" si="22"/>
        <v>369.84000000000003</v>
      </c>
      <c r="V93" s="109">
        <f t="shared" si="22"/>
        <v>393.74000000000007</v>
      </c>
      <c r="W93" s="109">
        <f t="shared" si="22"/>
        <v>447.04000000000008</v>
      </c>
      <c r="X93" s="109">
        <f t="shared" si="22"/>
        <v>496.64000000000004</v>
      </c>
      <c r="Y93" s="109">
        <f t="shared" si="22"/>
        <v>500.54</v>
      </c>
      <c r="Z93" s="109">
        <f t="shared" si="22"/>
        <v>497.14000000000004</v>
      </c>
      <c r="AA93" s="109">
        <f t="shared" si="22"/>
        <v>483.44</v>
      </c>
      <c r="AB93" s="109">
        <f t="shared" si="22"/>
        <v>460.64</v>
      </c>
      <c r="AC93" s="109">
        <f t="shared" si="22"/>
        <v>444.34000000000003</v>
      </c>
      <c r="AD93" s="109">
        <f t="shared" si="22"/>
        <v>189.73999999999998</v>
      </c>
      <c r="AE93" s="109">
        <f t="shared" si="22"/>
        <v>344.24</v>
      </c>
      <c r="AF93" s="109">
        <f t="shared" si="22"/>
        <v>266.24</v>
      </c>
      <c r="AG93" s="111"/>
      <c r="AH93" s="54">
        <f>MAX(C93:AF93)</f>
        <v>500.54</v>
      </c>
      <c r="AI93" s="55">
        <f>MIN(C93:AF93)</f>
        <v>172.64</v>
      </c>
    </row>
    <row r="94" spans="1:88" x14ac:dyDescent="0.25">
      <c r="A94" s="112" t="s">
        <v>98</v>
      </c>
      <c r="B94" s="175">
        <v>30</v>
      </c>
      <c r="C94" s="58">
        <v>40</v>
      </c>
      <c r="D94" s="58">
        <v>53</v>
      </c>
      <c r="E94" s="58">
        <v>59.6</v>
      </c>
      <c r="F94" s="58">
        <v>65.2</v>
      </c>
      <c r="G94" s="114">
        <v>70</v>
      </c>
      <c r="H94" s="114">
        <v>63.6</v>
      </c>
      <c r="I94" s="114">
        <v>52.6</v>
      </c>
      <c r="J94" s="114">
        <v>52.6</v>
      </c>
      <c r="K94" s="114">
        <v>60.5</v>
      </c>
      <c r="L94" s="114">
        <v>62.5</v>
      </c>
      <c r="M94" s="113">
        <v>56.2</v>
      </c>
      <c r="N94" s="114">
        <v>58.2</v>
      </c>
      <c r="O94" s="114">
        <v>63.9</v>
      </c>
      <c r="P94" s="114">
        <v>63.7</v>
      </c>
      <c r="Q94" s="114">
        <v>82</v>
      </c>
      <c r="R94" s="114">
        <v>86.6</v>
      </c>
      <c r="S94" s="114">
        <v>72.099999999999994</v>
      </c>
      <c r="T94" s="114">
        <v>62.2</v>
      </c>
      <c r="U94" s="113">
        <v>62.5</v>
      </c>
      <c r="V94" s="113">
        <v>64.900000000000006</v>
      </c>
      <c r="W94" s="113">
        <v>77.099999999999994</v>
      </c>
      <c r="X94" s="114">
        <v>67</v>
      </c>
      <c r="Y94" s="114">
        <v>76.3</v>
      </c>
      <c r="Z94" s="114">
        <v>62.9</v>
      </c>
      <c r="AA94" s="114">
        <v>65.5</v>
      </c>
      <c r="AB94" s="113">
        <v>71</v>
      </c>
      <c r="AC94" s="113">
        <v>63</v>
      </c>
      <c r="AD94" s="113"/>
      <c r="AE94" s="113">
        <v>72.8</v>
      </c>
      <c r="AF94" s="113">
        <v>64.8</v>
      </c>
      <c r="AG94" s="115">
        <v>75</v>
      </c>
      <c r="AH94" s="54">
        <f t="shared" ref="AH94:AH99" si="23">IF(ABS(MAX(C94:AF94))&gt;ABS(MIN(C94:AF94)),MAX(C94:AF94),MIN(C94:AF94))</f>
        <v>86.6</v>
      </c>
      <c r="AI94" s="116">
        <f t="shared" ref="AI94:AI99" si="24">INDEX($C$9:$AF$9,1,MATCH(AH94,C94:AF94,0))</f>
        <v>0.54166666666666696</v>
      </c>
    </row>
    <row r="95" spans="1:88" x14ac:dyDescent="0.25">
      <c r="A95" s="117" t="s">
        <v>99</v>
      </c>
      <c r="B95" s="176">
        <v>-50</v>
      </c>
      <c r="C95" s="60">
        <v>-65</v>
      </c>
      <c r="D95" s="60">
        <v>-70</v>
      </c>
      <c r="E95" s="60">
        <v>-76</v>
      </c>
      <c r="F95" s="60">
        <v>-76</v>
      </c>
      <c r="G95" s="60">
        <v>-72</v>
      </c>
      <c r="H95" s="60">
        <v>-58</v>
      </c>
      <c r="I95" s="60">
        <v>-36</v>
      </c>
      <c r="J95" s="60">
        <v>-36</v>
      </c>
      <c r="K95" s="60">
        <v>28</v>
      </c>
      <c r="L95" s="60">
        <f>24+18</f>
        <v>42</v>
      </c>
      <c r="M95" s="60">
        <f>30.2+26</f>
        <v>56.2</v>
      </c>
      <c r="N95" s="60">
        <v>65</v>
      </c>
      <c r="O95" s="60">
        <f>31+26.1</f>
        <v>57.1</v>
      </c>
      <c r="P95" s="60">
        <f>27.9+22.1</f>
        <v>50</v>
      </c>
      <c r="Q95" s="60">
        <v>33.4</v>
      </c>
      <c r="R95" s="60">
        <v>20.9</v>
      </c>
      <c r="S95" s="60">
        <v>23.7</v>
      </c>
      <c r="T95" s="60">
        <v>26</v>
      </c>
      <c r="U95" s="60">
        <v>25</v>
      </c>
      <c r="V95" s="60">
        <v>23</v>
      </c>
      <c r="W95" s="60">
        <v>44.2</v>
      </c>
      <c r="X95" s="60">
        <v>77.400000000000006</v>
      </c>
      <c r="Y95" s="60">
        <v>70</v>
      </c>
      <c r="Z95" s="60">
        <v>82</v>
      </c>
      <c r="AA95" s="60">
        <v>74</v>
      </c>
      <c r="AB95" s="73">
        <v>63.5</v>
      </c>
      <c r="AC95" s="73">
        <v>70</v>
      </c>
      <c r="AD95" s="73"/>
      <c r="AE95" s="73">
        <f>-21.4-28.5</f>
        <v>-49.9</v>
      </c>
      <c r="AF95" s="73">
        <f>-29.8-33.4</f>
        <v>-63.2</v>
      </c>
      <c r="AG95" s="115">
        <v>240</v>
      </c>
      <c r="AH95" s="54">
        <f t="shared" si="23"/>
        <v>82</v>
      </c>
      <c r="AI95" s="116">
        <f t="shared" si="24"/>
        <v>0.79166666666666663</v>
      </c>
    </row>
    <row r="96" spans="1:88" x14ac:dyDescent="0.25">
      <c r="A96" s="117" t="s">
        <v>100</v>
      </c>
      <c r="B96" s="176">
        <v>-1</v>
      </c>
      <c r="C96" s="60">
        <v>-2.5</v>
      </c>
      <c r="D96" s="60">
        <v>-7</v>
      </c>
      <c r="E96" s="60">
        <v>-8.1999999999999993</v>
      </c>
      <c r="F96" s="60">
        <v>-3.8</v>
      </c>
      <c r="G96" s="60">
        <v>-4</v>
      </c>
      <c r="H96" s="60">
        <v>1.5</v>
      </c>
      <c r="I96" s="60">
        <v>4.5</v>
      </c>
      <c r="J96" s="60">
        <v>4.5</v>
      </c>
      <c r="K96" s="60">
        <v>33.9</v>
      </c>
      <c r="L96" s="60">
        <v>52.1</v>
      </c>
      <c r="M96" s="60">
        <v>60.4</v>
      </c>
      <c r="N96" s="60">
        <v>58.6</v>
      </c>
      <c r="O96" s="60">
        <v>22.8</v>
      </c>
      <c r="P96" s="60">
        <v>67.400000000000006</v>
      </c>
      <c r="Q96" s="60">
        <v>49.7</v>
      </c>
      <c r="R96" s="60">
        <v>37.4</v>
      </c>
      <c r="S96" s="60">
        <v>33.5</v>
      </c>
      <c r="T96" s="60">
        <v>35.200000000000003</v>
      </c>
      <c r="U96" s="60">
        <v>37.4</v>
      </c>
      <c r="V96" s="60">
        <v>57.5</v>
      </c>
      <c r="W96" s="60">
        <v>58.1</v>
      </c>
      <c r="X96" s="60">
        <v>63.5</v>
      </c>
      <c r="Y96" s="60">
        <v>63.7</v>
      </c>
      <c r="Z96" s="60">
        <v>63.2</v>
      </c>
      <c r="AA96" s="60">
        <v>58.2</v>
      </c>
      <c r="AB96" s="73">
        <v>47.4</v>
      </c>
      <c r="AC96" s="73">
        <v>47.6</v>
      </c>
      <c r="AD96" s="73"/>
      <c r="AE96" s="73">
        <v>50.6</v>
      </c>
      <c r="AF96" s="73">
        <v>49.6</v>
      </c>
      <c r="AG96" s="115">
        <v>60</v>
      </c>
      <c r="AH96" s="54">
        <f t="shared" si="23"/>
        <v>67.400000000000006</v>
      </c>
      <c r="AI96" s="116">
        <f t="shared" si="24"/>
        <v>0.45833333333333298</v>
      </c>
    </row>
    <row r="97" spans="1:37" x14ac:dyDescent="0.25">
      <c r="A97" s="118" t="s">
        <v>101</v>
      </c>
      <c r="B97" s="177">
        <v>47</v>
      </c>
      <c r="C97" s="63">
        <v>29</v>
      </c>
      <c r="D97" s="63">
        <v>16</v>
      </c>
      <c r="E97" s="63">
        <v>7.5</v>
      </c>
      <c r="F97" s="63">
        <v>-1.9</v>
      </c>
      <c r="G97" s="63">
        <v>3.5</v>
      </c>
      <c r="H97" s="63">
        <v>35.200000000000003</v>
      </c>
      <c r="I97" s="63">
        <v>68.900000000000006</v>
      </c>
      <c r="J97" s="63">
        <v>68.900000000000006</v>
      </c>
      <c r="K97" s="63">
        <v>83.3</v>
      </c>
      <c r="L97" s="63">
        <v>108.4</v>
      </c>
      <c r="M97" s="63">
        <v>111</v>
      </c>
      <c r="N97" s="63">
        <v>108</v>
      </c>
      <c r="O97" s="63">
        <v>105.8</v>
      </c>
      <c r="P97" s="63">
        <v>93.6</v>
      </c>
      <c r="Q97" s="63">
        <v>48.2</v>
      </c>
      <c r="R97" s="63">
        <v>40</v>
      </c>
      <c r="S97" s="63">
        <v>49.2</v>
      </c>
      <c r="T97" s="63">
        <v>56.8</v>
      </c>
      <c r="U97" s="63">
        <v>55.2</v>
      </c>
      <c r="V97" s="63">
        <v>58.6</v>
      </c>
      <c r="W97" s="63">
        <v>77.900000000000006</v>
      </c>
      <c r="X97" s="63">
        <v>99</v>
      </c>
      <c r="Y97" s="63">
        <v>100.8</v>
      </c>
      <c r="Z97" s="63">
        <v>99.3</v>
      </c>
      <c r="AA97" s="63">
        <v>96</v>
      </c>
      <c r="AB97" s="119">
        <v>89</v>
      </c>
      <c r="AC97" s="119">
        <v>74</v>
      </c>
      <c r="AD97" s="119"/>
      <c r="AE97" s="119">
        <v>78.2</v>
      </c>
      <c r="AF97" s="119">
        <v>22.5</v>
      </c>
      <c r="AG97" s="120">
        <v>120</v>
      </c>
      <c r="AH97" s="54">
        <f t="shared" si="23"/>
        <v>111</v>
      </c>
      <c r="AI97" s="116">
        <f t="shared" si="24"/>
        <v>0.33333333333333331</v>
      </c>
    </row>
    <row r="98" spans="1:37" x14ac:dyDescent="0.25">
      <c r="A98" s="118" t="s">
        <v>102</v>
      </c>
      <c r="B98" s="177">
        <v>55</v>
      </c>
      <c r="C98" s="63">
        <v>40</v>
      </c>
      <c r="D98" s="63">
        <v>28</v>
      </c>
      <c r="E98" s="63">
        <v>25.4</v>
      </c>
      <c r="F98" s="63">
        <v>18</v>
      </c>
      <c r="G98" s="63">
        <v>16.3</v>
      </c>
      <c r="H98" s="63">
        <v>39.299999999999997</v>
      </c>
      <c r="I98" s="63">
        <v>63.2</v>
      </c>
      <c r="J98" s="63">
        <v>63.2</v>
      </c>
      <c r="K98" s="63">
        <v>101</v>
      </c>
      <c r="L98" s="63">
        <v>97.9</v>
      </c>
      <c r="M98" s="63">
        <v>90.9</v>
      </c>
      <c r="N98" s="63">
        <v>106</v>
      </c>
      <c r="O98" s="63">
        <v>101.2</v>
      </c>
      <c r="P98" s="63">
        <v>55.1</v>
      </c>
      <c r="Q98" s="63">
        <v>23.5</v>
      </c>
      <c r="R98" s="63">
        <v>20.399999999999999</v>
      </c>
      <c r="S98" s="63">
        <v>27.6</v>
      </c>
      <c r="T98" s="63">
        <v>37.6</v>
      </c>
      <c r="U98" s="63">
        <v>35</v>
      </c>
      <c r="V98" s="63">
        <v>39.799999999999997</v>
      </c>
      <c r="W98" s="63">
        <v>58.2</v>
      </c>
      <c r="X98" s="63">
        <v>87</v>
      </c>
      <c r="Y98" s="63">
        <v>82.6</v>
      </c>
      <c r="Z98" s="63">
        <v>99.4</v>
      </c>
      <c r="AA98" s="63">
        <v>93.7</v>
      </c>
      <c r="AB98" s="119">
        <v>81</v>
      </c>
      <c r="AC98" s="119">
        <v>94</v>
      </c>
      <c r="AD98" s="119"/>
      <c r="AE98" s="119">
        <v>40</v>
      </c>
      <c r="AF98" s="119">
        <v>30.3</v>
      </c>
      <c r="AG98" s="120"/>
      <c r="AH98" s="54">
        <f t="shared" si="23"/>
        <v>106</v>
      </c>
      <c r="AI98" s="116">
        <f t="shared" si="24"/>
        <v>0.375</v>
      </c>
    </row>
    <row r="99" spans="1:37" ht="15.75" thickBot="1" x14ac:dyDescent="0.3">
      <c r="A99" s="118" t="s">
        <v>217</v>
      </c>
      <c r="B99" s="177">
        <v>45</v>
      </c>
      <c r="C99" s="63">
        <v>37</v>
      </c>
      <c r="D99" s="63">
        <v>38</v>
      </c>
      <c r="E99" s="63">
        <v>31.9</v>
      </c>
      <c r="F99" s="63">
        <v>36.4</v>
      </c>
      <c r="G99" s="63">
        <v>21.4</v>
      </c>
      <c r="H99" s="63">
        <v>24.3</v>
      </c>
      <c r="I99" s="63">
        <v>34.6</v>
      </c>
      <c r="J99" s="63">
        <v>34.6</v>
      </c>
      <c r="K99" s="63">
        <v>46.9</v>
      </c>
      <c r="L99" s="63">
        <v>32.299999999999997</v>
      </c>
      <c r="M99" s="63">
        <v>28.3</v>
      </c>
      <c r="N99" s="63">
        <v>55</v>
      </c>
      <c r="O99" s="63">
        <v>45.5</v>
      </c>
      <c r="P99" s="63">
        <v>44.6</v>
      </c>
      <c r="Q99" s="63">
        <v>-2.4</v>
      </c>
      <c r="R99" s="63">
        <v>-5.3</v>
      </c>
      <c r="S99" s="63">
        <v>0.9</v>
      </c>
      <c r="T99" s="63">
        <v>15.6</v>
      </c>
      <c r="U99" s="63">
        <v>11.3</v>
      </c>
      <c r="V99" s="63">
        <v>9.1</v>
      </c>
      <c r="W99" s="63">
        <v>5.3</v>
      </c>
      <c r="X99" s="63">
        <v>23.8</v>
      </c>
      <c r="Y99" s="63">
        <v>13.3</v>
      </c>
      <c r="Z99" s="63">
        <v>46.5</v>
      </c>
      <c r="AA99" s="63">
        <v>46.4</v>
      </c>
      <c r="AB99" s="119">
        <v>38</v>
      </c>
      <c r="AC99" s="119">
        <v>51</v>
      </c>
      <c r="AD99" s="119"/>
      <c r="AE99" s="119">
        <v>22</v>
      </c>
      <c r="AF99" s="119">
        <v>30.8</v>
      </c>
      <c r="AG99" s="121"/>
      <c r="AH99" s="54">
        <f t="shared" si="23"/>
        <v>55</v>
      </c>
      <c r="AI99" s="116">
        <f t="shared" si="24"/>
        <v>0.375</v>
      </c>
    </row>
    <row r="100" spans="1:37" ht="15.75" thickBot="1" x14ac:dyDescent="0.3">
      <c r="A100" s="122" t="s">
        <v>103</v>
      </c>
      <c r="B100" s="123"/>
      <c r="C100" s="123"/>
      <c r="D100" s="123"/>
      <c r="E100" s="123" t="s">
        <v>234</v>
      </c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1516.14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2078/09/16)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955.2399999999999</v>
      </c>
      <c r="U213" s="167">
        <f t="shared" si="61"/>
        <v>918.04</v>
      </c>
      <c r="V213" s="167">
        <f t="shared" si="61"/>
        <v>900.7399999999999</v>
      </c>
      <c r="W213" s="167">
        <f t="shared" si="61"/>
        <v>882.74</v>
      </c>
      <c r="X213" s="167">
        <f t="shared" si="61"/>
        <v>870.63999999999987</v>
      </c>
      <c r="Y213" s="167">
        <f t="shared" si="61"/>
        <v>941.2399999999999</v>
      </c>
      <c r="Z213" s="167">
        <f t="shared" si="61"/>
        <v>1016.24</v>
      </c>
      <c r="AA213" s="167">
        <f t="shared" si="61"/>
        <v>1131.24</v>
      </c>
      <c r="AB213" s="167">
        <f t="shared" si="61"/>
        <v>1184.24</v>
      </c>
      <c r="AC213" s="167">
        <f t="shared" si="61"/>
        <v>1381.94</v>
      </c>
      <c r="AD213" s="167">
        <f t="shared" si="61"/>
        <v>1499.94</v>
      </c>
      <c r="AE213" s="167">
        <f t="shared" si="61"/>
        <v>1489.94</v>
      </c>
      <c r="AF213" s="167">
        <f t="shared" si="61"/>
        <v>1516.14</v>
      </c>
      <c r="AG213" s="167">
        <f t="shared" si="61"/>
        <v>1505.3400000000001</v>
      </c>
      <c r="AH213" s="167">
        <f t="shared" si="61"/>
        <v>1408.3400000000001</v>
      </c>
      <c r="AI213" s="167">
        <f t="shared" si="61"/>
        <v>1261.94</v>
      </c>
      <c r="AJ213" s="167">
        <f t="shared" si="61"/>
        <v>1253.94</v>
      </c>
      <c r="AK213" s="167">
        <f t="shared" si="61"/>
        <v>1233.6399999999999</v>
      </c>
      <c r="AL213" s="167">
        <f t="shared" si="61"/>
        <v>1236.94</v>
      </c>
      <c r="AM213" s="167">
        <f t="shared" si="61"/>
        <v>1244.8400000000001</v>
      </c>
      <c r="AN213" s="167">
        <f t="shared" si="61"/>
        <v>1289.8400000000001</v>
      </c>
      <c r="AO213" s="167">
        <f t="shared" si="61"/>
        <v>1438.54</v>
      </c>
      <c r="AP213" s="167">
        <f t="shared" si="61"/>
        <v>1570.04</v>
      </c>
      <c r="AQ213" s="167">
        <f t="shared" si="61"/>
        <v>1552.94</v>
      </c>
      <c r="AR213" s="167">
        <f t="shared" si="61"/>
        <v>1529.2399999999998</v>
      </c>
      <c r="AS213" s="167">
        <f t="shared" si="61"/>
        <v>1476.1399999999999</v>
      </c>
      <c r="AT213" s="167">
        <f t="shared" si="61"/>
        <v>1438.3400000000001</v>
      </c>
      <c r="AU213" s="167">
        <f t="shared" si="61"/>
        <v>1376.64</v>
      </c>
      <c r="AV213" s="167">
        <f t="shared" si="61"/>
        <v>1328.8400000000001</v>
      </c>
      <c r="AW213" s="167">
        <f t="shared" si="61"/>
        <v>1130.54</v>
      </c>
      <c r="AX213" s="167">
        <f t="shared" si="61"/>
        <v>1016.04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X85:AA91 AB81:AF81 B81:R81 C56:AF56 B82:AF83 D193:AF199 B193:B199 C68:AF72 AB84:AF91 B84:B91 B73:AF80 B9:AF10 B191:AF191 AG73 AB94:AF99 B94:B99 U212:AF212 B53:B72 K57:L57 C57:J67 M53:AF55 Q58:W59 M11:S11 B36:P36 M39:P42 K58:P67 R36:R37 R42 Q60:R67 R12:S14 T11:U14 S62:V67 V12:W14 R16:W32 N45:W48 W62:W65 W67 U40:Z42 V11:AD11 X18:AD30 S36:AF36 Z40:AE43 AE16:AF26 AE28:AF31 AE11:AF14 AF57:AF67">
    <cfRule type="expression" dxfId="4996" priority="257">
      <formula>B$9&gt;=20/24</formula>
    </cfRule>
    <cfRule type="expression" dxfId="4995" priority="258">
      <formula>AND(B$9&gt;=14/24,B$9&lt;20/24)</formula>
    </cfRule>
    <cfRule type="expression" dxfId="4994" priority="259">
      <formula>AND(B$9&gt;=8/24,B$9&lt;14/24)</formula>
    </cfRule>
    <cfRule type="expression" dxfId="4993" priority="260">
      <formula>B$9&lt;8/24</formula>
    </cfRule>
  </conditionalFormatting>
  <conditionalFormatting sqref="AL4:AL6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992" priority="252">
      <formula>M$9&gt;=20/24</formula>
    </cfRule>
    <cfRule type="expression" dxfId="4991" priority="253">
      <formula>AND(M$9&gt;=14/24,M$9&lt;20/24)</formula>
    </cfRule>
    <cfRule type="expression" dxfId="4990" priority="254">
      <formula>AND(M$9&gt;=8/24,M$9&lt;14/24)</formula>
    </cfRule>
    <cfRule type="expression" dxfId="4989" priority="255">
      <formula>M$9&lt;8/24</formula>
    </cfRule>
  </conditionalFormatting>
  <conditionalFormatting sqref="M43:R43">
    <cfRule type="expression" dxfId="4988" priority="248">
      <formula>M$9&gt;=20/24</formula>
    </cfRule>
    <cfRule type="expression" dxfId="4987" priority="249">
      <formula>AND(M$9&gt;=14/24,M$9&lt;20/24)</formula>
    </cfRule>
    <cfRule type="expression" dxfId="4986" priority="250">
      <formula>AND(M$9&gt;=8/24,M$9&lt;14/24)</formula>
    </cfRule>
    <cfRule type="expression" dxfId="4985" priority="251">
      <formula>M$9&lt;8/24</formula>
    </cfRule>
  </conditionalFormatting>
  <conditionalFormatting sqref="AE32:AF32">
    <cfRule type="expression" dxfId="4984" priority="244">
      <formula>AE$9&gt;=20/24</formula>
    </cfRule>
    <cfRule type="expression" dxfId="4983" priority="245">
      <formula>AND(AE$9&gt;=14/24,AE$9&lt;20/24)</formula>
    </cfRule>
    <cfRule type="expression" dxfId="4982" priority="246">
      <formula>AND(AE$9&gt;=8/24,AE$9&lt;14/24)</formula>
    </cfRule>
    <cfRule type="expression" dxfId="4981" priority="247">
      <formula>AE$9&lt;8/24</formula>
    </cfRule>
  </conditionalFormatting>
  <conditionalFormatting sqref="S39:AE39">
    <cfRule type="expression" dxfId="4980" priority="240">
      <formula>S$9&gt;=20/24</formula>
    </cfRule>
    <cfRule type="expression" dxfId="4979" priority="241">
      <formula>AND(S$9&gt;=14/24,S$9&lt;20/24)</formula>
    </cfRule>
    <cfRule type="expression" dxfId="4978" priority="242">
      <formula>AND(S$9&gt;=8/24,S$9&lt;14/24)</formula>
    </cfRule>
    <cfRule type="expression" dxfId="4977" priority="243">
      <formula>S$9&lt;8/24</formula>
    </cfRule>
  </conditionalFormatting>
  <conditionalFormatting sqref="S57:AE57">
    <cfRule type="expression" dxfId="4976" priority="236">
      <formula>S$9&gt;=20/24</formula>
    </cfRule>
    <cfRule type="expression" dxfId="4975" priority="237">
      <formula>AND(S$9&gt;=14/24,S$9&lt;20/24)</formula>
    </cfRule>
    <cfRule type="expression" dxfId="4974" priority="238">
      <formula>AND(S$9&gt;=8/24,S$9&lt;14/24)</formula>
    </cfRule>
    <cfRule type="expression" dxfId="4973" priority="239">
      <formula>S$9&lt;8/24</formula>
    </cfRule>
  </conditionalFormatting>
  <conditionalFormatting sqref="S81:AA81">
    <cfRule type="expression" dxfId="4972" priority="232">
      <formula>S$9&gt;=20/24</formula>
    </cfRule>
    <cfRule type="expression" dxfId="4971" priority="233">
      <formula>AND(S$9&gt;=14/24,S$9&lt;20/24)</formula>
    </cfRule>
    <cfRule type="expression" dxfId="4970" priority="234">
      <formula>AND(S$9&gt;=8/24,S$9&lt;14/24)</formula>
    </cfRule>
    <cfRule type="expression" dxfId="4969" priority="235">
      <formula>S$9&lt;8/24</formula>
    </cfRule>
  </conditionalFormatting>
  <conditionalFormatting sqref="U84:AA84">
    <cfRule type="expression" dxfId="4968" priority="228">
      <formula>U$9&gt;=20/24</formula>
    </cfRule>
    <cfRule type="expression" dxfId="4967" priority="229">
      <formula>AND(U$9&gt;=14/24,U$9&lt;20/24)</formula>
    </cfRule>
    <cfRule type="expression" dxfId="4966" priority="230">
      <formula>AND(U$9&gt;=8/24,U$9&lt;14/24)</formula>
    </cfRule>
    <cfRule type="expression" dxfId="4965" priority="231">
      <formula>U$9&lt;8/24</formula>
    </cfRule>
  </conditionalFormatting>
  <conditionalFormatting sqref="R35:W35">
    <cfRule type="expression" dxfId="4964" priority="224">
      <formula>R$9&gt;=20/24</formula>
    </cfRule>
    <cfRule type="expression" dxfId="4963" priority="225">
      <formula>AND(R$9&gt;=14/24,R$9&lt;20/24)</formula>
    </cfRule>
    <cfRule type="expression" dxfId="4962" priority="226">
      <formula>AND(R$9&gt;=8/24,R$9&lt;14/24)</formula>
    </cfRule>
    <cfRule type="expression" dxfId="4961" priority="227">
      <formula>R$9&lt;8/24</formula>
    </cfRule>
  </conditionalFormatting>
  <conditionalFormatting sqref="M49:W49">
    <cfRule type="expression" dxfId="4960" priority="220">
      <formula>M$9&gt;=20/24</formula>
    </cfRule>
    <cfRule type="expression" dxfId="4959" priority="221">
      <formula>AND(M$9&gt;=14/24,M$9&lt;20/24)</formula>
    </cfRule>
    <cfRule type="expression" dxfId="4958" priority="222">
      <formula>AND(M$9&gt;=8/24,M$9&lt;14/24)</formula>
    </cfRule>
    <cfRule type="expression" dxfId="4957" priority="223">
      <formula>M$9&lt;8/24</formula>
    </cfRule>
  </conditionalFormatting>
  <conditionalFormatting sqref="M50:W50">
    <cfRule type="expression" dxfId="4956" priority="216">
      <formula>M$9&gt;=20/24</formula>
    </cfRule>
    <cfRule type="expression" dxfId="4955" priority="217">
      <formula>AND(M$9&gt;=14/24,M$9&lt;20/24)</formula>
    </cfRule>
    <cfRule type="expression" dxfId="4954" priority="218">
      <formula>AND(M$9&gt;=8/24,M$9&lt;14/24)</formula>
    </cfRule>
    <cfRule type="expression" dxfId="4953" priority="219">
      <formula>M$9&lt;8/24</formula>
    </cfRule>
  </conditionalFormatting>
  <conditionalFormatting sqref="M45:W48">
    <cfRule type="expression" dxfId="4952" priority="212">
      <formula>M$9&gt;=20/24</formula>
    </cfRule>
    <cfRule type="expression" dxfId="4951" priority="213">
      <formula>AND(M$9&gt;=14/24,M$9&lt;20/24)</formula>
    </cfRule>
    <cfRule type="expression" dxfId="4950" priority="214">
      <formula>AND(M$9&gt;=8/24,M$9&lt;14/24)</formula>
    </cfRule>
    <cfRule type="expression" dxfId="4949" priority="215">
      <formula>M$9&lt;8/24</formula>
    </cfRule>
  </conditionalFormatting>
  <conditionalFormatting sqref="S37:AE37">
    <cfRule type="expression" dxfId="4948" priority="208">
      <formula>S$9&gt;=20/24</formula>
    </cfRule>
    <cfRule type="expression" dxfId="4947" priority="209">
      <formula>AND(S$9&gt;=14/24,S$9&lt;20/24)</formula>
    </cfRule>
    <cfRule type="expression" dxfId="4946" priority="210">
      <formula>AND(S$9&gt;=8/24,S$9&lt;14/24)</formula>
    </cfRule>
    <cfRule type="expression" dxfId="4945" priority="211">
      <formula>S$9&lt;8/24</formula>
    </cfRule>
  </conditionalFormatting>
  <conditionalFormatting sqref="X31:AD32 X35:AF35">
    <cfRule type="expression" dxfId="4944" priority="204">
      <formula>X$9&gt;=20/24</formula>
    </cfRule>
    <cfRule type="expression" dxfId="4943" priority="205">
      <formula>AND(X$9&gt;=14/24,X$9&lt;20/24)</formula>
    </cfRule>
    <cfRule type="expression" dxfId="4942" priority="206">
      <formula>AND(X$9&gt;=8/24,X$9&lt;14/24)</formula>
    </cfRule>
    <cfRule type="expression" dxfId="4941" priority="207">
      <formula>X$9&lt;8/24</formula>
    </cfRule>
  </conditionalFormatting>
  <conditionalFormatting sqref="S42:U43 T43:AD43 S45:AE48">
    <cfRule type="expression" dxfId="4940" priority="200">
      <formula>S$9&gt;=20/24</formula>
    </cfRule>
    <cfRule type="expression" dxfId="4939" priority="201">
      <formula>AND(S$9&gt;=14/24,S$9&lt;20/24)</formula>
    </cfRule>
    <cfRule type="expression" dxfId="4938" priority="202">
      <formula>AND(S$9&gt;=8/24,S$9&lt;14/24)</formula>
    </cfRule>
    <cfRule type="expression" dxfId="4937" priority="203">
      <formula>S$9&lt;8/24</formula>
    </cfRule>
  </conditionalFormatting>
  <conditionalFormatting sqref="S49:AE49">
    <cfRule type="expression" dxfId="4936" priority="196">
      <formula>S$9&gt;=20/24</formula>
    </cfRule>
    <cfRule type="expression" dxfId="4935" priority="197">
      <formula>AND(S$9&gt;=14/24,S$9&lt;20/24)</formula>
    </cfRule>
    <cfRule type="expression" dxfId="4934" priority="198">
      <formula>AND(S$9&gt;=8/24,S$9&lt;14/24)</formula>
    </cfRule>
    <cfRule type="expression" dxfId="4933" priority="199">
      <formula>S$9&lt;8/24</formula>
    </cfRule>
  </conditionalFormatting>
  <conditionalFormatting sqref="S50:AE50">
    <cfRule type="expression" dxfId="4932" priority="192">
      <formula>S$9&gt;=20/24</formula>
    </cfRule>
    <cfRule type="expression" dxfId="4931" priority="193">
      <formula>AND(S$9&gt;=14/24,S$9&lt;20/24)</formula>
    </cfRule>
    <cfRule type="expression" dxfId="4930" priority="194">
      <formula>AND(S$9&gt;=8/24,S$9&lt;14/24)</formula>
    </cfRule>
    <cfRule type="expression" dxfId="4929" priority="195">
      <formula>S$9&lt;8/24</formula>
    </cfRule>
  </conditionalFormatting>
  <conditionalFormatting sqref="S60:T61 X60:AE67">
    <cfRule type="expression" dxfId="4928" priority="188">
      <formula>S$9&gt;=20/24</formula>
    </cfRule>
    <cfRule type="expression" dxfId="4927" priority="189">
      <formula>AND(S$9&gt;=14/24,S$9&lt;20/24)</formula>
    </cfRule>
    <cfRule type="expression" dxfId="4926" priority="190">
      <formula>AND(S$9&gt;=8/24,S$9&lt;14/24)</formula>
    </cfRule>
    <cfRule type="expression" dxfId="4925" priority="191">
      <formula>S$9&lt;8/24</formula>
    </cfRule>
  </conditionalFormatting>
  <conditionalFormatting sqref="U94:AA97">
    <cfRule type="expression" dxfId="4924" priority="180">
      <formula>U$9&gt;=20/24</formula>
    </cfRule>
    <cfRule type="expression" dxfId="4923" priority="181">
      <formula>AND(U$9&gt;=14/24,U$9&lt;20/24)</formula>
    </cfRule>
    <cfRule type="expression" dxfId="4922" priority="182">
      <formula>AND(U$9&gt;=8/24,U$9&lt;14/24)</formula>
    </cfRule>
    <cfRule type="expression" dxfId="4921" priority="183">
      <formula>U$9&lt;8/24</formula>
    </cfRule>
  </conditionalFormatting>
  <conditionalFormatting sqref="AG51 Q11:S11 B11:P32 B34:P37 R12:S14 T11:U14 V12:W14 R16:W32 V11:AD11 X18:AD32 B38:AF56 AE11:AF32 R34:AF37">
    <cfRule type="expression" dxfId="4920" priority="179">
      <formula>B11&gt;$AG11</formula>
    </cfRule>
  </conditionalFormatting>
  <conditionalFormatting sqref="A100:A156 A84:A97 A11:A14 A16:A32 A45:A72 A80:A82 A74:A78 A35:A43 A169:A199">
    <cfRule type="expression" dxfId="4919" priority="178">
      <formula>$AH11=0</formula>
    </cfRule>
  </conditionalFormatting>
  <conditionalFormatting sqref="U98:AA98">
    <cfRule type="expression" dxfId="4918" priority="174">
      <formula>U$9&gt;=20/24</formula>
    </cfRule>
    <cfRule type="expression" dxfId="4917" priority="175">
      <formula>AND(U$9&gt;=14/24,U$9&lt;20/24)</formula>
    </cfRule>
    <cfRule type="expression" dxfId="4916" priority="176">
      <formula>AND(U$9&gt;=8/24,U$9&lt;14/24)</formula>
    </cfRule>
    <cfRule type="expression" dxfId="4915" priority="177">
      <formula>U$9&lt;8/24</formula>
    </cfRule>
  </conditionalFormatting>
  <conditionalFormatting sqref="A98">
    <cfRule type="expression" dxfId="4914" priority="173">
      <formula>$AH98=0</formula>
    </cfRule>
  </conditionalFormatting>
  <conditionalFormatting sqref="AL32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E34:AF34">
    <cfRule type="expression" dxfId="4913" priority="156">
      <formula>AE$9&gt;=20/24</formula>
    </cfRule>
    <cfRule type="expression" dxfId="4912" priority="157">
      <formula>AND(AE$9&gt;=14/24,AE$9&lt;20/24)</formula>
    </cfRule>
    <cfRule type="expression" dxfId="4911" priority="158">
      <formula>AND(AE$9&gt;=8/24,AE$9&lt;14/24)</formula>
    </cfRule>
    <cfRule type="expression" dxfId="4910" priority="159">
      <formula>AE$9&lt;8/24</formula>
    </cfRule>
  </conditionalFormatting>
  <conditionalFormatting sqref="R34:W34">
    <cfRule type="expression" dxfId="4909" priority="152">
      <formula>R$9&gt;=20/24</formula>
    </cfRule>
    <cfRule type="expression" dxfId="4908" priority="153">
      <formula>AND(R$9&gt;=14/24,R$9&lt;20/24)</formula>
    </cfRule>
    <cfRule type="expression" dxfId="4907" priority="154">
      <formula>AND(R$9&gt;=8/24,R$9&lt;14/24)</formula>
    </cfRule>
    <cfRule type="expression" dxfId="4906" priority="155">
      <formula>R$9&lt;8/24</formula>
    </cfRule>
  </conditionalFormatting>
  <conditionalFormatting sqref="X34:AD34">
    <cfRule type="expression" dxfId="4905" priority="148">
      <formula>X$9&gt;=20/24</formula>
    </cfRule>
    <cfRule type="expression" dxfId="4904" priority="149">
      <formula>AND(X$9&gt;=14/24,X$9&lt;20/24)</formula>
    </cfRule>
    <cfRule type="expression" dxfId="4903" priority="150">
      <formula>AND(X$9&gt;=8/24,X$9&lt;14/24)</formula>
    </cfRule>
    <cfRule type="expression" dxfId="4902" priority="151">
      <formula>X$9&lt;8/24</formula>
    </cfRule>
  </conditionalFormatting>
  <conditionalFormatting sqref="A34">
    <cfRule type="expression" dxfId="4901" priority="147">
      <formula>$AH34=0</formula>
    </cfRule>
  </conditionalFormatting>
  <conditionalFormatting sqref="A83">
    <cfRule type="expression" dxfId="4900" priority="146">
      <formula>$AH83=0</formula>
    </cfRule>
  </conditionalFormatting>
  <conditionalFormatting sqref="AE15:AF15">
    <cfRule type="expression" dxfId="4899" priority="142">
      <formula>AE$9&gt;=20/24</formula>
    </cfRule>
    <cfRule type="expression" dxfId="4898" priority="143">
      <formula>AND(AE$9&gt;=14/24,AE$9&lt;20/24)</formula>
    </cfRule>
    <cfRule type="expression" dxfId="4897" priority="144">
      <formula>AND(AE$9&gt;=8/24,AE$9&lt;14/24)</formula>
    </cfRule>
    <cfRule type="expression" dxfId="4896" priority="145">
      <formula>AE$9&lt;8/24</formula>
    </cfRule>
  </conditionalFormatting>
  <conditionalFormatting sqref="R15:W15">
    <cfRule type="expression" dxfId="4895" priority="138">
      <formula>R$9&gt;=20/24</formula>
    </cfRule>
    <cfRule type="expression" dxfId="4894" priority="139">
      <formula>AND(R$9&gt;=14/24,R$9&lt;20/24)</formula>
    </cfRule>
    <cfRule type="expression" dxfId="4893" priority="140">
      <formula>AND(R$9&gt;=8/24,R$9&lt;14/24)</formula>
    </cfRule>
    <cfRule type="expression" dxfId="4892" priority="141">
      <formula>R$9&lt;8/24</formula>
    </cfRule>
  </conditionalFormatting>
  <conditionalFormatting sqref="R15:W15">
    <cfRule type="expression" dxfId="4891" priority="137">
      <formula>R15&gt;$AG15</formula>
    </cfRule>
  </conditionalFormatting>
  <conditionalFormatting sqref="A15">
    <cfRule type="expression" dxfId="4890" priority="136">
      <formula>$AH15=0</formula>
    </cfRule>
  </conditionalFormatting>
  <conditionalFormatting sqref="A163:A168">
    <cfRule type="expression" dxfId="4889" priority="135">
      <formula>$AH163=0</formula>
    </cfRule>
  </conditionalFormatting>
  <conditionalFormatting sqref="A157:A162">
    <cfRule type="expression" dxfId="4888" priority="134">
      <formula>$AH157=0</formula>
    </cfRule>
  </conditionalFormatting>
  <conditionalFormatting sqref="Z44:AE44">
    <cfRule type="expression" dxfId="4887" priority="130">
      <formula>Z$9&gt;=20/24</formula>
    </cfRule>
    <cfRule type="expression" dxfId="4886" priority="131">
      <formula>AND(Z$9&gt;=14/24,Z$9&lt;20/24)</formula>
    </cfRule>
    <cfRule type="expression" dxfId="4885" priority="132">
      <formula>AND(Z$9&gt;=8/24,Z$9&lt;14/24)</formula>
    </cfRule>
    <cfRule type="expression" dxfId="4884" priority="133">
      <formula>Z$9&lt;8/24</formula>
    </cfRule>
  </conditionalFormatting>
  <conditionalFormatting sqref="M44:W44">
    <cfRule type="expression" dxfId="4883" priority="126">
      <formula>M$9&gt;=20/24</formula>
    </cfRule>
    <cfRule type="expression" dxfId="4882" priority="127">
      <formula>AND(M$9&gt;=14/24,M$9&lt;20/24)</formula>
    </cfRule>
    <cfRule type="expression" dxfId="4881" priority="128">
      <formula>AND(M$9&gt;=8/24,M$9&lt;14/24)</formula>
    </cfRule>
    <cfRule type="expression" dxfId="4880" priority="129">
      <formula>M$9&lt;8/24</formula>
    </cfRule>
  </conditionalFormatting>
  <conditionalFormatting sqref="S44:AD44">
    <cfRule type="expression" dxfId="4879" priority="122">
      <formula>S$9&gt;=20/24</formula>
    </cfRule>
    <cfRule type="expression" dxfId="4878" priority="123">
      <formula>AND(S$9&gt;=14/24,S$9&lt;20/24)</formula>
    </cfRule>
    <cfRule type="expression" dxfId="4877" priority="124">
      <formula>AND(S$9&gt;=8/24,S$9&lt;14/24)</formula>
    </cfRule>
    <cfRule type="expression" dxfId="4876" priority="125">
      <formula>S$9&lt;8/24</formula>
    </cfRule>
  </conditionalFormatting>
  <conditionalFormatting sqref="A44">
    <cfRule type="expression" dxfId="4875" priority="121">
      <formula>$AH44=0</formula>
    </cfRule>
  </conditionalFormatting>
  <conditionalFormatting sqref="A79">
    <cfRule type="expression" dxfId="4874" priority="120">
      <formula>$AH79=0</formula>
    </cfRule>
  </conditionalFormatting>
  <conditionalFormatting sqref="A73">
    <cfRule type="expression" dxfId="4873" priority="119">
      <formula>$AH73=0</formula>
    </cfRule>
  </conditionalFormatting>
  <conditionalFormatting sqref="AL34:AL35 AL7:AL31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U60:W61 W66">
    <cfRule type="expression" dxfId="4872" priority="115">
      <formula>U$9&gt;=20/24</formula>
    </cfRule>
    <cfRule type="expression" dxfId="4871" priority="116">
      <formula>AND(U$9&gt;=14/24,U$9&lt;20/24)</formula>
    </cfRule>
    <cfRule type="expression" dxfId="4870" priority="117">
      <formula>AND(U$9&gt;=8/24,U$9&lt;14/24)</formula>
    </cfRule>
    <cfRule type="expression" dxfId="4869" priority="118">
      <formula>U$9&lt;8/24</formula>
    </cfRule>
  </conditionalFormatting>
  <conditionalFormatting sqref="U85:W91">
    <cfRule type="expression" dxfId="4868" priority="111">
      <formula>U$9&gt;=20/24</formula>
    </cfRule>
    <cfRule type="expression" dxfId="4867" priority="112">
      <formula>AND(U$9&gt;=14/24,U$9&lt;20/24)</formula>
    </cfRule>
    <cfRule type="expression" dxfId="4866" priority="113">
      <formula>AND(U$9&gt;=8/24,U$9&lt;14/24)</formula>
    </cfRule>
    <cfRule type="expression" dxfId="4865" priority="114">
      <formula>U$9&lt;8/24</formula>
    </cfRule>
  </conditionalFormatting>
  <conditionalFormatting sqref="S85:T91 C84:R91">
    <cfRule type="expression" dxfId="4864" priority="107">
      <formula>C$9&gt;=20/24</formula>
    </cfRule>
    <cfRule type="expression" dxfId="4863" priority="108">
      <formula>AND(C$9&gt;=14/24,C$9&lt;20/24)</formula>
    </cfRule>
    <cfRule type="expression" dxfId="4862" priority="109">
      <formula>AND(C$9&gt;=8/24,C$9&lt;14/24)</formula>
    </cfRule>
    <cfRule type="expression" dxfId="4861" priority="110">
      <formula>C$9&lt;8/24</formula>
    </cfRule>
  </conditionalFormatting>
  <conditionalFormatting sqref="S84:T84">
    <cfRule type="expression" dxfId="4860" priority="103">
      <formula>S$9&gt;=20/24</formula>
    </cfRule>
    <cfRule type="expression" dxfId="4859" priority="104">
      <formula>AND(S$9&gt;=14/24,S$9&lt;20/24)</formula>
    </cfRule>
    <cfRule type="expression" dxfId="4858" priority="105">
      <formula>AND(S$9&gt;=8/24,S$9&lt;14/24)</formula>
    </cfRule>
    <cfRule type="expression" dxfId="4857" priority="106">
      <formula>S$9&lt;8/24</formula>
    </cfRule>
  </conditionalFormatting>
  <conditionalFormatting sqref="C94:F94 C95:M97">
    <cfRule type="expression" dxfId="4856" priority="99">
      <formula>C$9&gt;=20/24</formula>
    </cfRule>
    <cfRule type="expression" dxfId="4855" priority="100">
      <formula>AND(C$9&gt;=14/24,C$9&lt;20/24)</formula>
    </cfRule>
    <cfRule type="expression" dxfId="4854" priority="101">
      <formula>AND(C$9&gt;=8/24,C$9&lt;14/24)</formula>
    </cfRule>
    <cfRule type="expression" dxfId="4853" priority="102">
      <formula>C$9&lt;8/24</formula>
    </cfRule>
  </conditionalFormatting>
  <conditionalFormatting sqref="N95:R97 O94:R94">
    <cfRule type="expression" dxfId="4852" priority="95">
      <formula>N$9&gt;=20/24</formula>
    </cfRule>
    <cfRule type="expression" dxfId="4851" priority="96">
      <formula>AND(N$9&gt;=14/24,N$9&lt;20/24)</formula>
    </cfRule>
    <cfRule type="expression" dxfId="4850" priority="97">
      <formula>AND(N$9&gt;=8/24,N$9&lt;14/24)</formula>
    </cfRule>
    <cfRule type="expression" dxfId="4849" priority="98">
      <formula>N$9&lt;8/24</formula>
    </cfRule>
  </conditionalFormatting>
  <conditionalFormatting sqref="S94:T97">
    <cfRule type="expression" dxfId="4848" priority="91">
      <formula>S$9&gt;=20/24</formula>
    </cfRule>
    <cfRule type="expression" dxfId="4847" priority="92">
      <formula>AND(S$9&gt;=14/24,S$9&lt;20/24)</formula>
    </cfRule>
    <cfRule type="expression" dxfId="4846" priority="93">
      <formula>AND(S$9&gt;=8/24,S$9&lt;14/24)</formula>
    </cfRule>
    <cfRule type="expression" dxfId="4845" priority="94">
      <formula>S$9&lt;8/24</formula>
    </cfRule>
  </conditionalFormatting>
  <conditionalFormatting sqref="C98:M98">
    <cfRule type="expression" dxfId="4844" priority="87">
      <formula>C$9&gt;=20/24</formula>
    </cfRule>
    <cfRule type="expression" dxfId="4843" priority="88">
      <formula>AND(C$9&gt;=14/24,C$9&lt;20/24)</formula>
    </cfRule>
    <cfRule type="expression" dxfId="4842" priority="89">
      <formula>AND(C$9&gt;=8/24,C$9&lt;14/24)</formula>
    </cfRule>
    <cfRule type="expression" dxfId="4841" priority="90">
      <formula>C$9&lt;8/24</formula>
    </cfRule>
  </conditionalFormatting>
  <conditionalFormatting sqref="N98:R98">
    <cfRule type="expression" dxfId="4840" priority="83">
      <formula>N$9&gt;=20/24</formula>
    </cfRule>
    <cfRule type="expression" dxfId="4839" priority="84">
      <formula>AND(N$9&gt;=14/24,N$9&lt;20/24)</formula>
    </cfRule>
    <cfRule type="expression" dxfId="4838" priority="85">
      <formula>AND(N$9&gt;=8/24,N$9&lt;14/24)</formula>
    </cfRule>
    <cfRule type="expression" dxfId="4837" priority="86">
      <formula>N$9&lt;8/24</formula>
    </cfRule>
  </conditionalFormatting>
  <conditionalFormatting sqref="S98:T98">
    <cfRule type="expression" dxfId="4836" priority="79">
      <formula>S$9&gt;=20/24</formula>
    </cfRule>
    <cfRule type="expression" dxfId="4835" priority="80">
      <formula>AND(S$9&gt;=14/24,S$9&lt;20/24)</formula>
    </cfRule>
    <cfRule type="expression" dxfId="4834" priority="81">
      <formula>AND(S$9&gt;=8/24,S$9&lt;14/24)</formula>
    </cfRule>
    <cfRule type="expression" dxfId="4833" priority="82">
      <formula>S$9&lt;8/24</formula>
    </cfRule>
  </conditionalFormatting>
  <conditionalFormatting sqref="M94:N94">
    <cfRule type="expression" dxfId="4832" priority="75">
      <formula>M$9&gt;=20/24</formula>
    </cfRule>
    <cfRule type="expression" dxfId="4831" priority="76">
      <formula>AND(M$9&gt;=14/24,M$9&lt;20/24)</formula>
    </cfRule>
    <cfRule type="expression" dxfId="4830" priority="77">
      <formula>AND(M$9&gt;=8/24,M$9&lt;14/24)</formula>
    </cfRule>
    <cfRule type="expression" dxfId="4829" priority="78">
      <formula>M$9&lt;8/24</formula>
    </cfRule>
  </conditionalFormatting>
  <conditionalFormatting sqref="G94:L94">
    <cfRule type="expression" dxfId="4828" priority="71">
      <formula>G$9&gt;=20/24</formula>
    </cfRule>
    <cfRule type="expression" dxfId="4827" priority="72">
      <formula>AND(G$9&gt;=14/24,G$9&lt;20/24)</formula>
    </cfRule>
    <cfRule type="expression" dxfId="4826" priority="73">
      <formula>AND(G$9&gt;=8/24,G$9&lt;14/24)</formula>
    </cfRule>
    <cfRule type="expression" dxfId="4825" priority="74">
      <formula>G$9&lt;8/24</formula>
    </cfRule>
  </conditionalFormatting>
  <conditionalFormatting sqref="U94:W94">
    <cfRule type="expression" dxfId="4824" priority="67">
      <formula>U$9&gt;=20/24</formula>
    </cfRule>
    <cfRule type="expression" dxfId="4823" priority="68">
      <formula>AND(U$9&gt;=14/24,U$9&lt;20/24)</formula>
    </cfRule>
    <cfRule type="expression" dxfId="4822" priority="69">
      <formula>AND(U$9&gt;=8/24,U$9&lt;14/24)</formula>
    </cfRule>
    <cfRule type="expression" dxfId="4821" priority="70">
      <formula>U$9&lt;8/24</formula>
    </cfRule>
  </conditionalFormatting>
  <conditionalFormatting sqref="N94:T94">
    <cfRule type="expression" dxfId="4820" priority="63">
      <formula>N$9&gt;=20/24</formula>
    </cfRule>
    <cfRule type="expression" dxfId="4819" priority="64">
      <formula>AND(N$9&gt;=14/24,N$9&lt;20/24)</formula>
    </cfRule>
    <cfRule type="expression" dxfId="4818" priority="65">
      <formula>AND(N$9&gt;=8/24,N$9&lt;14/24)</formula>
    </cfRule>
    <cfRule type="expression" dxfId="4817" priority="66">
      <formula>N$9&lt;8/24</formula>
    </cfRule>
  </conditionalFormatting>
  <conditionalFormatting sqref="U99:AA99">
    <cfRule type="expression" dxfId="4816" priority="59">
      <formula>U$9&gt;=20/24</formula>
    </cfRule>
    <cfRule type="expression" dxfId="4815" priority="60">
      <formula>AND(U$9&gt;=14/24,U$9&lt;20/24)</formula>
    </cfRule>
    <cfRule type="expression" dxfId="4814" priority="61">
      <formula>AND(U$9&gt;=8/24,U$9&lt;14/24)</formula>
    </cfRule>
    <cfRule type="expression" dxfId="4813" priority="62">
      <formula>U$9&lt;8/24</formula>
    </cfRule>
  </conditionalFormatting>
  <conditionalFormatting sqref="C99:M99">
    <cfRule type="expression" dxfId="4812" priority="55">
      <formula>C$9&gt;=20/24</formula>
    </cfRule>
    <cfRule type="expression" dxfId="4811" priority="56">
      <formula>AND(C$9&gt;=14/24,C$9&lt;20/24)</formula>
    </cfRule>
    <cfRule type="expression" dxfId="4810" priority="57">
      <formula>AND(C$9&gt;=8/24,C$9&lt;14/24)</formula>
    </cfRule>
    <cfRule type="expression" dxfId="4809" priority="58">
      <formula>C$9&lt;8/24</formula>
    </cfRule>
  </conditionalFormatting>
  <conditionalFormatting sqref="N99:R99">
    <cfRule type="expression" dxfId="4808" priority="51">
      <formula>N$9&gt;=20/24</formula>
    </cfRule>
    <cfRule type="expression" dxfId="4807" priority="52">
      <formula>AND(N$9&gt;=14/24,N$9&lt;20/24)</formula>
    </cfRule>
    <cfRule type="expression" dxfId="4806" priority="53">
      <formula>AND(N$9&gt;=8/24,N$9&lt;14/24)</formula>
    </cfRule>
    <cfRule type="expression" dxfId="4805" priority="54">
      <formula>N$9&lt;8/24</formula>
    </cfRule>
  </conditionalFormatting>
  <conditionalFormatting sqref="S99:T99">
    <cfRule type="expression" dxfId="4804" priority="47">
      <formula>S$9&gt;=20/24</formula>
    </cfRule>
    <cfRule type="expression" dxfId="4803" priority="48">
      <formula>AND(S$9&gt;=14/24,S$9&lt;20/24)</formula>
    </cfRule>
    <cfRule type="expression" dxfId="4802" priority="49">
      <formula>AND(S$9&gt;=8/24,S$9&lt;14/24)</formula>
    </cfRule>
    <cfRule type="expression" dxfId="4801" priority="50">
      <formula>S$9&lt;8/24</formula>
    </cfRule>
  </conditionalFormatting>
  <conditionalFormatting sqref="X12:AD16">
    <cfRule type="expression" dxfId="4800" priority="43">
      <formula>X$9&gt;=20/24</formula>
    </cfRule>
    <cfRule type="expression" dxfId="4799" priority="44">
      <formula>AND(X$9&gt;=14/24,X$9&lt;20/24)</formula>
    </cfRule>
    <cfRule type="expression" dxfId="4798" priority="45">
      <formula>AND(X$9&gt;=8/24,X$9&lt;14/24)</formula>
    </cfRule>
    <cfRule type="expression" dxfId="4797" priority="46">
      <formula>X$9&lt;8/24</formula>
    </cfRule>
  </conditionalFormatting>
  <conditionalFormatting sqref="X17:AD17">
    <cfRule type="expression" dxfId="4796" priority="39">
      <formula>X$9&gt;=20/24</formula>
    </cfRule>
    <cfRule type="expression" dxfId="4795" priority="40">
      <formula>AND(X$9&gt;=14/24,X$9&lt;20/24)</formula>
    </cfRule>
    <cfRule type="expression" dxfId="4794" priority="41">
      <formula>AND(X$9&gt;=8/24,X$9&lt;14/24)</formula>
    </cfRule>
    <cfRule type="expression" dxfId="4793" priority="42">
      <formula>X$9&lt;8/24</formula>
    </cfRule>
  </conditionalFormatting>
  <conditionalFormatting sqref="X12:AD13">
    <cfRule type="expression" dxfId="4792" priority="35">
      <formula>X$9&gt;=20/24</formula>
    </cfRule>
    <cfRule type="expression" dxfId="4791" priority="36">
      <formula>AND(X$9&gt;=14/24,X$9&lt;20/24)</formula>
    </cfRule>
    <cfRule type="expression" dxfId="4790" priority="37">
      <formula>AND(X$9&gt;=8/24,X$9&lt;14/24)</formula>
    </cfRule>
    <cfRule type="expression" dxfId="4789" priority="38">
      <formula>X$9&lt;8/24</formula>
    </cfRule>
  </conditionalFormatting>
  <conditionalFormatting sqref="AB58:AE59">
    <cfRule type="expression" dxfId="4788" priority="31">
      <formula>AB$9&gt;=20/24</formula>
    </cfRule>
    <cfRule type="expression" dxfId="4787" priority="32">
      <formula>AND(AB$9&gt;=14/24,AB$9&lt;20/24)</formula>
    </cfRule>
    <cfRule type="expression" dxfId="4786" priority="33">
      <formula>AND(AB$9&gt;=8/24,AB$9&lt;14/24)</formula>
    </cfRule>
    <cfRule type="expression" dxfId="4785" priority="34">
      <formula>AB$9&lt;8/24</formula>
    </cfRule>
  </conditionalFormatting>
  <conditionalFormatting sqref="AL33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84" priority="264">
      <formula>C$9&gt;=20/24</formula>
    </cfRule>
    <cfRule type="expression" dxfId="4783" priority="265">
      <formula>AND(C$9&gt;=14/24,C$9&lt;20/24)</formula>
    </cfRule>
    <cfRule type="expression" dxfId="4782" priority="266">
      <formula>AND(C$9&gt;=8/24,C$9&lt;14/24)</formula>
    </cfRule>
    <cfRule type="expression" dxfId="4781" priority="267">
      <formula>C$9&lt;8/24</formula>
    </cfRule>
  </conditionalFormatting>
  <conditionalFormatting sqref="A200">
    <cfRule type="expression" dxfId="4780" priority="268">
      <formula>$AH200=0</formula>
    </cfRule>
  </conditionalFormatting>
  <conditionalFormatting sqref="AG212">
    <cfRule type="expression" dxfId="4779" priority="269">
      <formula>B$9&gt;=20/24</formula>
    </cfRule>
    <cfRule type="expression" dxfId="4778" priority="270">
      <formula>AND(B$9&gt;=14/24,B$9&lt;20/24)</formula>
    </cfRule>
    <cfRule type="expression" dxfId="4777" priority="271">
      <formula>AND(B$9&gt;=8/24,B$9&lt;14/24)</formula>
    </cfRule>
    <cfRule type="expression" dxfId="4776" priority="272">
      <formula>B$9&lt;8/24</formula>
    </cfRule>
  </conditionalFormatting>
  <conditionalFormatting sqref="S8">
    <cfRule type="expression" dxfId="4775" priority="25">
      <formula>U$9&gt;=20/24</formula>
    </cfRule>
    <cfRule type="expression" dxfId="4774" priority="26">
      <formula>AND(U$9&gt;=14/24,U$9&lt;20/24)</formula>
    </cfRule>
    <cfRule type="expression" dxfId="4773" priority="27">
      <formula>AND(U$9&gt;=8/24,U$9&lt;14/24)</formula>
    </cfRule>
    <cfRule type="expression" dxfId="4772" priority="28">
      <formula>U$9&lt;8/24</formula>
    </cfRule>
  </conditionalFormatting>
  <conditionalFormatting sqref="AB8">
    <cfRule type="expression" dxfId="4771" priority="21">
      <formula>AD$9&gt;=20/24</formula>
    </cfRule>
    <cfRule type="expression" dxfId="4770" priority="22">
      <formula>AND(AD$9&gt;=14/24,AD$9&lt;20/24)</formula>
    </cfRule>
    <cfRule type="expression" dxfId="4769" priority="23">
      <formula>AND(AD$9&gt;=8/24,AD$9&lt;14/24)</formula>
    </cfRule>
    <cfRule type="expression" dxfId="4768" priority="24">
      <formula>AD$9&lt;8/24</formula>
    </cfRule>
  </conditionalFormatting>
  <conditionalFormatting sqref="AH212:AX212">
    <cfRule type="expression" dxfId="4767" priority="273">
      <formula>AG$9&gt;=20/24</formula>
    </cfRule>
    <cfRule type="expression" dxfId="4766" priority="274">
      <formula>AND(AG$9&gt;=14/24,AG$9&lt;20/24)</formula>
    </cfRule>
    <cfRule type="expression" dxfId="4765" priority="275">
      <formula>AND(AG$9&gt;=8/24,AG$9&lt;14/24)</formula>
    </cfRule>
    <cfRule type="expression" dxfId="4764" priority="276">
      <formula>AG$9&lt;8/24</formula>
    </cfRule>
  </conditionalFormatting>
  <conditionalFormatting sqref="T212">
    <cfRule type="expression" dxfId="4763" priority="277">
      <formula>AX$9&gt;=20/24</formula>
    </cfRule>
    <cfRule type="expression" dxfId="4762" priority="278">
      <formula>AND(AX$9&gt;=14/24,AX$9&lt;20/24)</formula>
    </cfRule>
    <cfRule type="expression" dxfId="4761" priority="279">
      <formula>AND(AX$9&gt;=8/24,AX$9&lt;14/24)</formula>
    </cfRule>
    <cfRule type="expression" dxfId="4760" priority="280">
      <formula>AX$9&lt;8/24</formula>
    </cfRule>
  </conditionalFormatting>
  <conditionalFormatting sqref="A99">
    <cfRule type="expression" dxfId="4759" priority="20">
      <formula>$AH99=0</formula>
    </cfRule>
  </conditionalFormatting>
  <conditionalFormatting sqref="R33:W33">
    <cfRule type="expression" dxfId="4758" priority="16">
      <formula>R$9&gt;=20/24</formula>
    </cfRule>
    <cfRule type="expression" dxfId="4757" priority="17">
      <formula>AND(R$9&gt;=14/24,R$9&lt;20/24)</formula>
    </cfRule>
    <cfRule type="expression" dxfId="4756" priority="18">
      <formula>AND(R$9&gt;=8/24,R$9&lt;14/24)</formula>
    </cfRule>
    <cfRule type="expression" dxfId="4755" priority="19">
      <formula>R$9&lt;8/24</formula>
    </cfRule>
  </conditionalFormatting>
  <conditionalFormatting sqref="AE33:AF33">
    <cfRule type="expression" dxfId="4754" priority="12">
      <formula>AE$9&gt;=20/24</formula>
    </cfRule>
    <cfRule type="expression" dxfId="4753" priority="13">
      <formula>AND(AE$9&gt;=14/24,AE$9&lt;20/24)</formula>
    </cfRule>
    <cfRule type="expression" dxfId="4752" priority="14">
      <formula>AND(AE$9&gt;=8/24,AE$9&lt;14/24)</formula>
    </cfRule>
    <cfRule type="expression" dxfId="4751" priority="15">
      <formula>AE$9&lt;8/24</formula>
    </cfRule>
  </conditionalFormatting>
  <conditionalFormatting sqref="X33:AD33">
    <cfRule type="expression" dxfId="4750" priority="8">
      <formula>X$9&gt;=20/24</formula>
    </cfRule>
    <cfRule type="expression" dxfId="4749" priority="9">
      <formula>AND(X$9&gt;=14/24,X$9&lt;20/24)</formula>
    </cfRule>
    <cfRule type="expression" dxfId="4748" priority="10">
      <formula>AND(X$9&gt;=8/24,X$9&lt;14/24)</formula>
    </cfRule>
    <cfRule type="expression" dxfId="4747" priority="11">
      <formula>X$9&lt;8/24</formula>
    </cfRule>
  </conditionalFormatting>
  <conditionalFormatting sqref="B33:P33 R33:AF33">
    <cfRule type="expression" dxfId="4746" priority="7">
      <formula>B33&gt;$AG33</formula>
    </cfRule>
  </conditionalFormatting>
  <conditionalFormatting sqref="Q36">
    <cfRule type="expression" dxfId="4745" priority="3">
      <formula>Q$9&gt;=20/24</formula>
    </cfRule>
    <cfRule type="expression" dxfId="4744" priority="4">
      <formula>AND(Q$9&gt;=14/24,Q$9&lt;20/24)</formula>
    </cfRule>
    <cfRule type="expression" dxfId="4743" priority="5">
      <formula>AND(Q$9&gt;=8/24,Q$9&lt;14/24)</formula>
    </cfRule>
    <cfRule type="expression" dxfId="4742" priority="6">
      <formula>Q$9&lt;8/24</formula>
    </cfRule>
  </conditionalFormatting>
  <conditionalFormatting sqref="Q12:Q32 Q34:Q37">
    <cfRule type="expression" dxfId="4741" priority="2">
      <formula>Q12&gt;$AG12</formula>
    </cfRule>
  </conditionalFormatting>
  <conditionalFormatting sqref="Q33">
    <cfRule type="expression" dxfId="4740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D778A3EE-4E05-48A6-90AE-81049937964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N63" sqref="N6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2078/09/17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179</v>
      </c>
      <c r="C5" s="32">
        <f t="shared" si="0"/>
        <v>185.5</v>
      </c>
      <c r="D5" s="32">
        <f t="shared" si="0"/>
        <v>180</v>
      </c>
      <c r="E5" s="32">
        <f t="shared" si="0"/>
        <v>175</v>
      </c>
      <c r="F5" s="32">
        <f t="shared" si="0"/>
        <v>182</v>
      </c>
      <c r="G5" s="32">
        <f t="shared" si="0"/>
        <v>202</v>
      </c>
      <c r="H5" s="32">
        <f t="shared" si="0"/>
        <v>225</v>
      </c>
      <c r="I5" s="32">
        <f t="shared" si="0"/>
        <v>163</v>
      </c>
      <c r="J5" s="32">
        <f t="shared" si="0"/>
        <v>131.5</v>
      </c>
      <c r="K5" s="32">
        <f t="shared" si="0"/>
        <v>146</v>
      </c>
      <c r="L5" s="32">
        <f t="shared" si="0"/>
        <v>134.39999999999998</v>
      </c>
      <c r="M5" s="32">
        <f t="shared" si="0"/>
        <v>63.8</v>
      </c>
      <c r="N5" s="32">
        <f t="shared" si="0"/>
        <v>309.8</v>
      </c>
      <c r="O5" s="32">
        <f t="shared" si="0"/>
        <v>263.3</v>
      </c>
      <c r="P5" s="32">
        <f t="shared" si="0"/>
        <v>261</v>
      </c>
      <c r="Q5" s="32">
        <f t="shared" si="0"/>
        <v>286.5</v>
      </c>
      <c r="R5" s="32">
        <f t="shared" si="0"/>
        <v>292.3</v>
      </c>
      <c r="S5" s="32">
        <f t="shared" si="0"/>
        <v>358</v>
      </c>
      <c r="T5" s="32">
        <f t="shared" si="0"/>
        <v>359</v>
      </c>
      <c r="U5" s="32">
        <f t="shared" si="0"/>
        <v>125.2</v>
      </c>
      <c r="V5" s="32">
        <f t="shared" si="0"/>
        <v>139.19999999999999</v>
      </c>
      <c r="W5" s="32">
        <f t="shared" si="0"/>
        <v>224.3</v>
      </c>
      <c r="X5" s="32">
        <f t="shared" si="0"/>
        <v>172.5</v>
      </c>
      <c r="Y5" s="32">
        <f t="shared" si="0"/>
        <v>228.6</v>
      </c>
      <c r="Z5" s="32">
        <f t="shared" si="0"/>
        <v>213.8</v>
      </c>
      <c r="AA5" s="32">
        <f t="shared" si="0"/>
        <v>315.70000000000005</v>
      </c>
      <c r="AB5" s="32">
        <f t="shared" si="0"/>
        <v>308.29999999999995</v>
      </c>
      <c r="AC5" s="32">
        <f t="shared" si="0"/>
        <v>249.9</v>
      </c>
      <c r="AD5" s="32">
        <f t="shared" si="0"/>
        <v>239.7</v>
      </c>
      <c r="AE5" s="32">
        <f t="shared" si="0"/>
        <v>127.6</v>
      </c>
      <c r="AF5" s="32">
        <f>B68</f>
        <v>134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Load=903</v>
      </c>
      <c r="B7" s="37">
        <f>B75</f>
        <v>908.04</v>
      </c>
      <c r="C7" s="37">
        <f t="shared" ref="C7:AF7" si="1">C75</f>
        <v>919.34</v>
      </c>
      <c r="D7" s="37">
        <f t="shared" si="1"/>
        <v>908.64</v>
      </c>
      <c r="E7" s="37">
        <f t="shared" si="1"/>
        <v>903.33999999999992</v>
      </c>
      <c r="F7" s="37">
        <f t="shared" si="1"/>
        <v>908.33999999999992</v>
      </c>
      <c r="G7" s="37">
        <f t="shared" si="1"/>
        <v>955.34</v>
      </c>
      <c r="H7" s="37">
        <f t="shared" si="1"/>
        <v>1005.34</v>
      </c>
      <c r="I7" s="37">
        <f t="shared" si="1"/>
        <v>1067.44</v>
      </c>
      <c r="J7" s="37">
        <f t="shared" si="1"/>
        <v>1165.74</v>
      </c>
      <c r="K7" s="37">
        <f t="shared" si="1"/>
        <v>1280.54</v>
      </c>
      <c r="L7" s="37">
        <f t="shared" si="1"/>
        <v>1367.6399999999999</v>
      </c>
      <c r="M7" s="37">
        <f t="shared" si="1"/>
        <v>1420.1399999999999</v>
      </c>
      <c r="N7" s="37">
        <f t="shared" si="1"/>
        <v>1391.1399999999999</v>
      </c>
      <c r="O7" s="37">
        <f t="shared" si="1"/>
        <v>1323.1399999999999</v>
      </c>
      <c r="P7" s="37">
        <f t="shared" si="1"/>
        <v>1234.74</v>
      </c>
      <c r="Q7" s="37">
        <f t="shared" si="1"/>
        <v>1115.04</v>
      </c>
      <c r="R7" s="37">
        <f t="shared" si="1"/>
        <v>1117.6400000000001</v>
      </c>
      <c r="S7" s="37">
        <f t="shared" si="1"/>
        <v>1038.1399999999999</v>
      </c>
      <c r="T7" s="37">
        <f t="shared" si="1"/>
        <v>1013.84</v>
      </c>
      <c r="U7" s="37">
        <f t="shared" si="1"/>
        <v>1026.94</v>
      </c>
      <c r="V7" s="37">
        <f t="shared" si="1"/>
        <v>1168.74</v>
      </c>
      <c r="W7" s="37">
        <f t="shared" si="1"/>
        <v>1346.54</v>
      </c>
      <c r="X7" s="37">
        <f t="shared" si="1"/>
        <v>1465.8400000000001</v>
      </c>
      <c r="Y7" s="37">
        <f t="shared" si="1"/>
        <v>1424.74</v>
      </c>
      <c r="Z7" s="37">
        <f t="shared" si="1"/>
        <v>1384.54</v>
      </c>
      <c r="AA7" s="37">
        <f t="shared" si="1"/>
        <v>1374.24</v>
      </c>
      <c r="AB7" s="37">
        <f t="shared" si="1"/>
        <v>1315.3400000000001</v>
      </c>
      <c r="AC7" s="37">
        <f t="shared" si="1"/>
        <v>1264.8399999999999</v>
      </c>
      <c r="AD7" s="37">
        <f t="shared" si="1"/>
        <v>1238.94</v>
      </c>
      <c r="AE7" s="37">
        <f t="shared" si="1"/>
        <v>1060.74</v>
      </c>
      <c r="AF7" s="37">
        <f t="shared" si="1"/>
        <v>946.24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40</v>
      </c>
      <c r="C11" s="50">
        <v>20</v>
      </c>
      <c r="D11" s="50">
        <v>20</v>
      </c>
      <c r="E11" s="50">
        <v>20</v>
      </c>
      <c r="F11" s="50">
        <v>20</v>
      </c>
      <c r="G11" s="49">
        <v>40</v>
      </c>
      <c r="H11" s="49">
        <v>60</v>
      </c>
      <c r="I11" s="49">
        <v>100</v>
      </c>
      <c r="J11" s="49">
        <v>150</v>
      </c>
      <c r="K11" s="49">
        <v>230</v>
      </c>
      <c r="L11" s="49">
        <v>270</v>
      </c>
      <c r="M11" s="50">
        <v>310</v>
      </c>
      <c r="N11" s="50">
        <v>355</v>
      </c>
      <c r="O11" s="50">
        <v>130</v>
      </c>
      <c r="P11" s="50">
        <v>125</v>
      </c>
      <c r="Q11" s="50">
        <v>125</v>
      </c>
      <c r="R11" s="51">
        <v>120</v>
      </c>
      <c r="S11" s="50">
        <v>90</v>
      </c>
      <c r="T11" s="50">
        <v>15</v>
      </c>
      <c r="U11" s="50">
        <v>15</v>
      </c>
      <c r="V11" s="50">
        <v>220</v>
      </c>
      <c r="W11" s="50">
        <v>260</v>
      </c>
      <c r="X11" s="50">
        <v>290</v>
      </c>
      <c r="Y11" s="50">
        <v>300</v>
      </c>
      <c r="Z11" s="52">
        <v>201</v>
      </c>
      <c r="AA11" s="52">
        <v>200</v>
      </c>
      <c r="AB11" s="50">
        <v>70</v>
      </c>
      <c r="AC11" s="50">
        <v>50</v>
      </c>
      <c r="AD11" s="50">
        <v>90</v>
      </c>
      <c r="AE11" s="50">
        <v>23.5</v>
      </c>
      <c r="AF11" s="49">
        <v>30</v>
      </c>
      <c r="AG11" s="53">
        <v>456</v>
      </c>
      <c r="AH11" s="54">
        <f>MAX(B11:AF11)</f>
        <v>355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48</v>
      </c>
      <c r="C12" s="50">
        <v>48</v>
      </c>
      <c r="D12" s="50">
        <v>48</v>
      </c>
      <c r="E12" s="50">
        <v>48</v>
      </c>
      <c r="F12" s="50">
        <v>48</v>
      </c>
      <c r="G12" s="50">
        <v>48</v>
      </c>
      <c r="H12" s="50">
        <v>48</v>
      </c>
      <c r="I12" s="50">
        <v>48</v>
      </c>
      <c r="J12" s="50">
        <v>48</v>
      </c>
      <c r="K12" s="50">
        <v>48</v>
      </c>
      <c r="L12" s="50">
        <v>48</v>
      </c>
      <c r="M12" s="49">
        <v>45</v>
      </c>
      <c r="N12" s="49">
        <v>45</v>
      </c>
      <c r="O12" s="49">
        <v>45</v>
      </c>
      <c r="P12" s="49">
        <v>45</v>
      </c>
      <c r="Q12" s="49">
        <v>45</v>
      </c>
      <c r="R12" s="49">
        <v>45</v>
      </c>
      <c r="S12" s="49">
        <v>45</v>
      </c>
      <c r="T12" s="49">
        <v>45</v>
      </c>
      <c r="U12" s="49">
        <v>45</v>
      </c>
      <c r="V12" s="58">
        <v>45</v>
      </c>
      <c r="W12" s="58">
        <v>45</v>
      </c>
      <c r="X12" s="58">
        <v>45</v>
      </c>
      <c r="Y12" s="58">
        <v>45</v>
      </c>
      <c r="Z12" s="58">
        <v>45</v>
      </c>
      <c r="AA12" s="58">
        <v>45</v>
      </c>
      <c r="AB12" s="58">
        <v>45</v>
      </c>
      <c r="AC12" s="58">
        <v>45</v>
      </c>
      <c r="AD12" s="58">
        <v>45</v>
      </c>
      <c r="AE12" s="58">
        <v>45</v>
      </c>
      <c r="AF12" s="58">
        <v>45</v>
      </c>
      <c r="AG12" s="59">
        <v>60</v>
      </c>
      <c r="AH12" s="54">
        <f t="shared" ref="AH12:AH75" si="2">MAX(B12:AF12)</f>
        <v>48</v>
      </c>
      <c r="AI12" s="55">
        <f t="shared" ref="AI12:AI75" si="3">MIN(B12:AF12)</f>
        <v>45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26.7</v>
      </c>
      <c r="C13" s="50">
        <v>26.8</v>
      </c>
      <c r="D13" s="50">
        <v>26.7</v>
      </c>
      <c r="E13" s="50">
        <v>26.7</v>
      </c>
      <c r="F13" s="50">
        <v>26.7</v>
      </c>
      <c r="G13" s="50">
        <v>26.7</v>
      </c>
      <c r="H13" s="50">
        <v>26.7</v>
      </c>
      <c r="I13" s="50">
        <v>26.7</v>
      </c>
      <c r="J13" s="50">
        <v>26.7</v>
      </c>
      <c r="K13" s="50">
        <v>26.7</v>
      </c>
      <c r="L13" s="50">
        <v>26.7</v>
      </c>
      <c r="M13" s="49">
        <v>26.1</v>
      </c>
      <c r="N13" s="49">
        <v>26</v>
      </c>
      <c r="O13" s="49">
        <v>26.2</v>
      </c>
      <c r="P13" s="49">
        <v>26.1</v>
      </c>
      <c r="Q13" s="49">
        <v>26.1</v>
      </c>
      <c r="R13" s="49">
        <v>26.1</v>
      </c>
      <c r="S13" s="49">
        <v>26.1</v>
      </c>
      <c r="T13" s="49">
        <v>26.1</v>
      </c>
      <c r="U13" s="49">
        <v>26.1</v>
      </c>
      <c r="V13" s="58">
        <v>25.9</v>
      </c>
      <c r="W13" s="58">
        <v>26</v>
      </c>
      <c r="X13" s="58">
        <v>26</v>
      </c>
      <c r="Y13" s="58">
        <v>26</v>
      </c>
      <c r="Z13" s="58">
        <v>26</v>
      </c>
      <c r="AA13" s="58">
        <v>26</v>
      </c>
      <c r="AB13" s="58">
        <v>26</v>
      </c>
      <c r="AC13" s="58">
        <v>26</v>
      </c>
      <c r="AD13" s="58">
        <v>26</v>
      </c>
      <c r="AE13" s="58">
        <v>26</v>
      </c>
      <c r="AF13" s="58">
        <v>26</v>
      </c>
      <c r="AG13" s="59">
        <v>52.4</v>
      </c>
      <c r="AH13" s="54">
        <f t="shared" si="2"/>
        <v>26.8</v>
      </c>
      <c r="AI13" s="55">
        <f t="shared" si="3"/>
        <v>25.9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50.1</v>
      </c>
      <c r="C14" s="50">
        <v>50</v>
      </c>
      <c r="D14" s="50">
        <v>50</v>
      </c>
      <c r="E14" s="50">
        <v>50</v>
      </c>
      <c r="F14" s="50">
        <v>50</v>
      </c>
      <c r="G14" s="50">
        <v>50</v>
      </c>
      <c r="H14" s="50">
        <v>50</v>
      </c>
      <c r="I14" s="50">
        <v>50</v>
      </c>
      <c r="J14" s="50">
        <v>50</v>
      </c>
      <c r="K14" s="50">
        <v>50</v>
      </c>
      <c r="L14" s="50">
        <v>50</v>
      </c>
      <c r="M14" s="50">
        <v>49.8</v>
      </c>
      <c r="N14" s="50">
        <v>49.8</v>
      </c>
      <c r="O14" s="50">
        <v>49.8</v>
      </c>
      <c r="P14" s="50">
        <v>49.5</v>
      </c>
      <c r="Q14" s="50">
        <v>49.5</v>
      </c>
      <c r="R14" s="50">
        <v>49.5</v>
      </c>
      <c r="S14" s="50">
        <v>49.5</v>
      </c>
      <c r="T14" s="50">
        <v>49.5</v>
      </c>
      <c r="U14" s="50">
        <v>49.5</v>
      </c>
      <c r="V14" s="50">
        <v>49.5</v>
      </c>
      <c r="W14" s="50">
        <v>49.5</v>
      </c>
      <c r="X14" s="60">
        <v>49.5</v>
      </c>
      <c r="Y14" s="60">
        <v>49.5</v>
      </c>
      <c r="Z14" s="60">
        <v>49.5</v>
      </c>
      <c r="AA14" s="60">
        <v>49.5</v>
      </c>
      <c r="AB14" s="60">
        <v>49.5</v>
      </c>
      <c r="AC14" s="60">
        <v>49.5</v>
      </c>
      <c r="AD14" s="60">
        <v>49.5</v>
      </c>
      <c r="AE14" s="60">
        <v>49.5</v>
      </c>
      <c r="AF14" s="60">
        <v>49.5</v>
      </c>
      <c r="AG14" s="59">
        <v>50</v>
      </c>
      <c r="AH14" s="54">
        <f t="shared" si="2"/>
        <v>50.1</v>
      </c>
      <c r="AI14" s="55">
        <f t="shared" si="3"/>
        <v>49.5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24.2</v>
      </c>
      <c r="C15" s="50">
        <v>23.3</v>
      </c>
      <c r="D15" s="50">
        <v>23.4</v>
      </c>
      <c r="E15" s="50">
        <v>23.4</v>
      </c>
      <c r="F15" s="50">
        <v>23.4</v>
      </c>
      <c r="G15" s="50">
        <v>23.4</v>
      </c>
      <c r="H15" s="50">
        <v>23.4</v>
      </c>
      <c r="I15" s="50">
        <v>23.4</v>
      </c>
      <c r="J15" s="50">
        <v>23.4</v>
      </c>
      <c r="K15" s="50">
        <v>23.4</v>
      </c>
      <c r="L15" s="50">
        <v>23.4</v>
      </c>
      <c r="M15" s="50">
        <v>23.5</v>
      </c>
      <c r="N15" s="50">
        <v>23.5</v>
      </c>
      <c r="O15" s="50">
        <v>23.5</v>
      </c>
      <c r="P15" s="50">
        <v>23.7</v>
      </c>
      <c r="Q15" s="50">
        <v>23.7</v>
      </c>
      <c r="R15" s="50">
        <v>23.7</v>
      </c>
      <c r="S15" s="50">
        <v>23.7</v>
      </c>
      <c r="T15" s="50">
        <v>23.7</v>
      </c>
      <c r="U15" s="50">
        <v>23.7</v>
      </c>
      <c r="V15" s="60">
        <v>23</v>
      </c>
      <c r="W15" s="60">
        <v>23</v>
      </c>
      <c r="X15" s="60">
        <v>23</v>
      </c>
      <c r="Y15" s="60">
        <v>23</v>
      </c>
      <c r="Z15" s="60">
        <v>23</v>
      </c>
      <c r="AA15" s="60">
        <v>23</v>
      </c>
      <c r="AB15" s="60">
        <v>23</v>
      </c>
      <c r="AC15" s="60">
        <v>23</v>
      </c>
      <c r="AD15" s="60">
        <v>23</v>
      </c>
      <c r="AE15" s="60">
        <v>23</v>
      </c>
      <c r="AF15" s="60">
        <v>23</v>
      </c>
      <c r="AG15" s="62">
        <v>45</v>
      </c>
      <c r="AH15" s="54">
        <f t="shared" si="2"/>
        <v>24.2</v>
      </c>
      <c r="AI15" s="55">
        <f t="shared" si="3"/>
        <v>23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13</v>
      </c>
      <c r="C16" s="50">
        <v>13</v>
      </c>
      <c r="D16" s="50">
        <v>13</v>
      </c>
      <c r="E16" s="50">
        <v>13</v>
      </c>
      <c r="F16" s="50">
        <v>13</v>
      </c>
      <c r="G16" s="50">
        <v>13</v>
      </c>
      <c r="H16" s="50">
        <v>13</v>
      </c>
      <c r="I16" s="50">
        <v>13</v>
      </c>
      <c r="J16" s="50">
        <v>13</v>
      </c>
      <c r="K16" s="50">
        <v>13</v>
      </c>
      <c r="L16" s="50">
        <v>13</v>
      </c>
      <c r="M16" s="50">
        <v>13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63">
        <v>13</v>
      </c>
      <c r="W16" s="63">
        <v>13</v>
      </c>
      <c r="X16" s="63">
        <v>13</v>
      </c>
      <c r="Y16" s="63">
        <v>13</v>
      </c>
      <c r="Z16" s="63">
        <v>13</v>
      </c>
      <c r="AA16" s="63">
        <v>13</v>
      </c>
      <c r="AB16" s="63">
        <v>13</v>
      </c>
      <c r="AC16" s="63">
        <v>13</v>
      </c>
      <c r="AD16" s="63">
        <v>13</v>
      </c>
      <c r="AE16" s="63">
        <v>13</v>
      </c>
      <c r="AF16" s="63">
        <v>13</v>
      </c>
      <c r="AG16" s="59">
        <v>45</v>
      </c>
      <c r="AH16" s="54">
        <f t="shared" si="2"/>
        <v>13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12</v>
      </c>
      <c r="C17" s="50">
        <v>12</v>
      </c>
      <c r="D17" s="50">
        <v>12</v>
      </c>
      <c r="E17" s="50">
        <v>12</v>
      </c>
      <c r="F17" s="50">
        <v>12</v>
      </c>
      <c r="G17" s="50">
        <v>12</v>
      </c>
      <c r="H17" s="50">
        <v>12</v>
      </c>
      <c r="I17" s="50">
        <v>12</v>
      </c>
      <c r="J17" s="50">
        <v>12</v>
      </c>
      <c r="K17" s="50">
        <v>12</v>
      </c>
      <c r="L17" s="50">
        <v>12</v>
      </c>
      <c r="M17" s="50">
        <v>12</v>
      </c>
      <c r="N17" s="50">
        <v>12</v>
      </c>
      <c r="O17" s="50">
        <v>12</v>
      </c>
      <c r="P17" s="50">
        <v>12</v>
      </c>
      <c r="Q17" s="50">
        <v>12</v>
      </c>
      <c r="R17" s="50">
        <v>12</v>
      </c>
      <c r="S17" s="50">
        <v>12</v>
      </c>
      <c r="T17" s="50">
        <v>12</v>
      </c>
      <c r="U17" s="50">
        <v>12</v>
      </c>
      <c r="V17" s="50">
        <v>12</v>
      </c>
      <c r="W17" s="50">
        <v>12</v>
      </c>
      <c r="X17" s="60">
        <v>12</v>
      </c>
      <c r="Y17" s="60">
        <v>12</v>
      </c>
      <c r="Z17" s="60">
        <v>12</v>
      </c>
      <c r="AA17" s="60">
        <v>12</v>
      </c>
      <c r="AB17" s="60">
        <v>12</v>
      </c>
      <c r="AC17" s="60">
        <v>12</v>
      </c>
      <c r="AD17" s="60">
        <v>12</v>
      </c>
      <c r="AE17" s="60">
        <v>12</v>
      </c>
      <c r="AF17" s="60">
        <v>12</v>
      </c>
      <c r="AG17" s="59">
        <v>42</v>
      </c>
      <c r="AH17" s="54">
        <f t="shared" si="2"/>
        <v>12</v>
      </c>
      <c r="AI17" s="55">
        <f t="shared" si="3"/>
        <v>12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12</v>
      </c>
      <c r="C19" s="50">
        <v>12</v>
      </c>
      <c r="D19" s="50">
        <v>12.1</v>
      </c>
      <c r="E19" s="50">
        <v>12.1</v>
      </c>
      <c r="F19" s="50">
        <v>12.1</v>
      </c>
      <c r="G19" s="50">
        <v>12.1</v>
      </c>
      <c r="H19" s="50">
        <v>12.1</v>
      </c>
      <c r="I19" s="50">
        <v>12.1</v>
      </c>
      <c r="J19" s="50">
        <v>12.1</v>
      </c>
      <c r="K19" s="50">
        <v>12.1</v>
      </c>
      <c r="L19" s="50">
        <v>12.1</v>
      </c>
      <c r="M19" s="50">
        <v>12.1</v>
      </c>
      <c r="N19" s="50">
        <v>12.1</v>
      </c>
      <c r="O19" s="50">
        <v>12.1</v>
      </c>
      <c r="P19" s="50">
        <v>12.1</v>
      </c>
      <c r="Q19" s="50">
        <v>12.1</v>
      </c>
      <c r="R19" s="50">
        <v>12.1</v>
      </c>
      <c r="S19" s="50">
        <v>12.1</v>
      </c>
      <c r="T19" s="50">
        <v>12.1</v>
      </c>
      <c r="U19" s="50">
        <v>12.1</v>
      </c>
      <c r="V19" s="50">
        <v>11.8</v>
      </c>
      <c r="W19" s="50">
        <v>11.8</v>
      </c>
      <c r="X19" s="50">
        <v>11.8</v>
      </c>
      <c r="Y19" s="50">
        <v>11.8</v>
      </c>
      <c r="Z19" s="50">
        <v>11.8</v>
      </c>
      <c r="AA19" s="50">
        <v>11.8</v>
      </c>
      <c r="AB19" s="50">
        <v>11.8</v>
      </c>
      <c r="AC19" s="50">
        <v>11.8</v>
      </c>
      <c r="AD19" s="50">
        <v>11.8</v>
      </c>
      <c r="AE19" s="50">
        <v>11.8</v>
      </c>
      <c r="AF19" s="50">
        <v>11.8</v>
      </c>
      <c r="AG19" s="59">
        <v>30</v>
      </c>
      <c r="AH19" s="54">
        <f t="shared" si="2"/>
        <v>12.1</v>
      </c>
      <c r="AI19" s="55">
        <f t="shared" si="3"/>
        <v>11.8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15.7</v>
      </c>
      <c r="C22" s="50">
        <v>15.8</v>
      </c>
      <c r="D22" s="50">
        <v>15.8</v>
      </c>
      <c r="E22" s="50">
        <v>15.8</v>
      </c>
      <c r="F22" s="50">
        <v>15.8</v>
      </c>
      <c r="G22" s="50">
        <v>15.8</v>
      </c>
      <c r="H22" s="50">
        <v>15.8</v>
      </c>
      <c r="I22" s="50">
        <v>15.8</v>
      </c>
      <c r="J22" s="50">
        <v>15.8</v>
      </c>
      <c r="K22" s="50">
        <v>15.8</v>
      </c>
      <c r="L22" s="50">
        <v>15.8</v>
      </c>
      <c r="M22" s="50">
        <v>15.8</v>
      </c>
      <c r="N22" s="50">
        <v>15.8</v>
      </c>
      <c r="O22" s="50">
        <v>15.8</v>
      </c>
      <c r="P22" s="50">
        <v>15.8</v>
      </c>
      <c r="Q22" s="50">
        <v>15.8</v>
      </c>
      <c r="R22" s="50">
        <v>15.8</v>
      </c>
      <c r="S22" s="50">
        <v>15.8</v>
      </c>
      <c r="T22" s="50">
        <v>15.8</v>
      </c>
      <c r="U22" s="50">
        <v>15.8</v>
      </c>
      <c r="V22" s="50">
        <v>12.1</v>
      </c>
      <c r="W22" s="50">
        <v>17.100000000000001</v>
      </c>
      <c r="X22" s="50">
        <v>17.100000000000001</v>
      </c>
      <c r="Y22" s="50">
        <v>22</v>
      </c>
      <c r="Z22" s="50">
        <v>21</v>
      </c>
      <c r="AA22" s="50">
        <v>18</v>
      </c>
      <c r="AB22" s="50">
        <v>18</v>
      </c>
      <c r="AC22" s="50">
        <v>18</v>
      </c>
      <c r="AD22" s="50">
        <v>18</v>
      </c>
      <c r="AE22" s="50">
        <v>18</v>
      </c>
      <c r="AF22" s="50">
        <v>18</v>
      </c>
      <c r="AG22" s="59">
        <v>25</v>
      </c>
      <c r="AH22" s="54">
        <f t="shared" si="2"/>
        <v>22</v>
      </c>
      <c r="AI22" s="55">
        <f t="shared" si="3"/>
        <v>12.1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18</v>
      </c>
      <c r="C24" s="50">
        <v>18</v>
      </c>
      <c r="D24" s="50">
        <v>18</v>
      </c>
      <c r="E24" s="50">
        <v>18</v>
      </c>
      <c r="F24" s="50">
        <v>18</v>
      </c>
      <c r="G24" s="50">
        <v>18</v>
      </c>
      <c r="H24" s="50">
        <v>18</v>
      </c>
      <c r="I24" s="50">
        <v>18</v>
      </c>
      <c r="J24" s="50">
        <v>18</v>
      </c>
      <c r="K24" s="50">
        <v>18</v>
      </c>
      <c r="L24" s="50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13</v>
      </c>
      <c r="T24" s="50">
        <v>13</v>
      </c>
      <c r="U24" s="50">
        <v>13</v>
      </c>
      <c r="V24" s="50">
        <v>14.8</v>
      </c>
      <c r="W24" s="50">
        <v>18.5</v>
      </c>
      <c r="X24" s="50">
        <v>18.5</v>
      </c>
      <c r="Y24" s="50">
        <v>18.5</v>
      </c>
      <c r="Z24" s="50">
        <v>18.5</v>
      </c>
      <c r="AA24" s="50">
        <v>19.5</v>
      </c>
      <c r="AB24" s="50">
        <v>19.5</v>
      </c>
      <c r="AC24" s="50">
        <v>19.5</v>
      </c>
      <c r="AD24" s="50">
        <v>19.5</v>
      </c>
      <c r="AE24" s="50">
        <v>19.5</v>
      </c>
      <c r="AF24" s="50">
        <v>19.5</v>
      </c>
      <c r="AG24" s="59">
        <v>25</v>
      </c>
      <c r="AH24" s="54">
        <f t="shared" si="2"/>
        <v>19.5</v>
      </c>
      <c r="AI24" s="55">
        <f t="shared" si="3"/>
        <v>13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13</v>
      </c>
      <c r="AA25" s="50">
        <v>13</v>
      </c>
      <c r="AB25" s="50">
        <v>13</v>
      </c>
      <c r="AC25" s="50">
        <v>13</v>
      </c>
      <c r="AD25" s="50">
        <v>13</v>
      </c>
      <c r="AE25" s="50">
        <v>13</v>
      </c>
      <c r="AF25" s="50">
        <v>13</v>
      </c>
      <c r="AG25" s="59">
        <v>24.2</v>
      </c>
      <c r="AH25" s="54">
        <f t="shared" si="2"/>
        <v>13</v>
      </c>
      <c r="AI25" s="55">
        <f t="shared" si="3"/>
        <v>13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9</v>
      </c>
      <c r="C26" s="50">
        <v>9</v>
      </c>
      <c r="D26" s="50">
        <v>9</v>
      </c>
      <c r="E26" s="50">
        <v>9</v>
      </c>
      <c r="F26" s="50">
        <v>9</v>
      </c>
      <c r="G26" s="50">
        <v>9</v>
      </c>
      <c r="H26" s="50">
        <v>9</v>
      </c>
      <c r="I26" s="50">
        <v>9</v>
      </c>
      <c r="J26" s="50">
        <v>9</v>
      </c>
      <c r="K26" s="50">
        <v>9</v>
      </c>
      <c r="L26" s="50">
        <v>9</v>
      </c>
      <c r="M26" s="50">
        <v>9</v>
      </c>
      <c r="N26" s="50">
        <v>9</v>
      </c>
      <c r="O26" s="50">
        <v>9</v>
      </c>
      <c r="P26" s="50">
        <v>9</v>
      </c>
      <c r="Q26" s="50">
        <v>9</v>
      </c>
      <c r="R26" s="50">
        <v>9</v>
      </c>
      <c r="S26" s="50">
        <v>9</v>
      </c>
      <c r="T26" s="50">
        <v>9</v>
      </c>
      <c r="U26" s="50">
        <v>9</v>
      </c>
      <c r="V26" s="50">
        <v>9</v>
      </c>
      <c r="W26" s="50">
        <v>9</v>
      </c>
      <c r="X26" s="50">
        <v>9</v>
      </c>
      <c r="Y26" s="50">
        <v>9</v>
      </c>
      <c r="Z26" s="50">
        <v>9</v>
      </c>
      <c r="AA26" s="50">
        <v>9</v>
      </c>
      <c r="AB26" s="50">
        <v>9</v>
      </c>
      <c r="AC26" s="50">
        <v>9</v>
      </c>
      <c r="AD26" s="50">
        <v>9</v>
      </c>
      <c r="AE26" s="50">
        <v>9</v>
      </c>
      <c r="AF26" s="50">
        <v>9</v>
      </c>
      <c r="AG26" s="59">
        <v>20</v>
      </c>
      <c r="AH26" s="54">
        <f t="shared" si="2"/>
        <v>9</v>
      </c>
      <c r="AI26" s="55">
        <f t="shared" si="3"/>
        <v>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59">
        <v>22.2</v>
      </c>
      <c r="AH28" s="54">
        <f t="shared" si="2"/>
        <v>5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25.2+44.3</f>
        <v>69.5</v>
      </c>
      <c r="C37" s="61">
        <f>25.5+46.2</f>
        <v>71.7</v>
      </c>
      <c r="D37" s="61">
        <f>25.3+45.6</f>
        <v>70.900000000000006</v>
      </c>
      <c r="E37" s="61">
        <f>45+25</f>
        <v>70</v>
      </c>
      <c r="F37" s="61">
        <f>45+25</f>
        <v>70</v>
      </c>
      <c r="G37" s="61">
        <f>45+25</f>
        <v>70</v>
      </c>
      <c r="H37" s="61">
        <v>70</v>
      </c>
      <c r="I37" s="61">
        <f>44.4+24.7</f>
        <v>69.099999999999994</v>
      </c>
      <c r="J37" s="61">
        <f>44+24.4</f>
        <v>68.400000000000006</v>
      </c>
      <c r="K37" s="61">
        <f>24.5+44.4</f>
        <v>68.900000000000006</v>
      </c>
      <c r="L37" s="61">
        <f>24.5+44.4</f>
        <v>68.900000000000006</v>
      </c>
      <c r="M37" s="70">
        <f>24.3+44.8</f>
        <v>69.099999999999994</v>
      </c>
      <c r="N37" s="70">
        <f>24+44</f>
        <v>68</v>
      </c>
      <c r="O37" s="70">
        <f>23.9+43.9</f>
        <v>67.8</v>
      </c>
      <c r="P37" s="70">
        <f>24.3+45.4</f>
        <v>69.7</v>
      </c>
      <c r="Q37" s="70">
        <f>24.3+45.4</f>
        <v>69.7</v>
      </c>
      <c r="R37" s="70">
        <f>24.3+45.4</f>
        <v>69.7</v>
      </c>
      <c r="S37" s="70">
        <f>24+43.9</f>
        <v>67.900000000000006</v>
      </c>
      <c r="T37" s="70">
        <f>23.8+43.7</f>
        <v>67.5</v>
      </c>
      <c r="U37" s="70">
        <f>23.8+43.7</f>
        <v>67.5</v>
      </c>
      <c r="V37" s="70">
        <f>25.6+44.5</f>
        <v>70.099999999999994</v>
      </c>
      <c r="W37" s="70">
        <f>25.6+44.5</f>
        <v>70.099999999999994</v>
      </c>
      <c r="X37" s="70">
        <v>61.800000000000004</v>
      </c>
      <c r="Y37" s="70">
        <v>70.099999999999994</v>
      </c>
      <c r="Z37" s="70">
        <v>70.099999999999994</v>
      </c>
      <c r="AA37" s="70">
        <v>70.099999999999994</v>
      </c>
      <c r="AB37" s="70">
        <v>63.1</v>
      </c>
      <c r="AC37" s="70">
        <v>64.3</v>
      </c>
      <c r="AD37" s="70">
        <v>64.8</v>
      </c>
      <c r="AE37" s="70">
        <v>65.7</v>
      </c>
      <c r="AF37" s="61">
        <v>66.2</v>
      </c>
      <c r="AG37" s="67">
        <v>240</v>
      </c>
      <c r="AH37" s="54">
        <f t="shared" si="2"/>
        <v>71.7</v>
      </c>
      <c r="AI37" s="55">
        <f t="shared" si="3"/>
        <v>61.800000000000004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518.4</v>
      </c>
      <c r="C38" s="72">
        <f t="shared" ref="C38:AF38" si="5">SUM(C11:C36)</f>
        <v>497.6</v>
      </c>
      <c r="D38" s="72">
        <f t="shared" si="5"/>
        <v>497.7</v>
      </c>
      <c r="E38" s="72">
        <f t="shared" si="5"/>
        <v>497.7</v>
      </c>
      <c r="F38" s="72">
        <f t="shared" si="5"/>
        <v>497.7</v>
      </c>
      <c r="G38" s="72">
        <f t="shared" si="5"/>
        <v>517.70000000000005</v>
      </c>
      <c r="H38" s="72">
        <f t="shared" si="5"/>
        <v>537.70000000000005</v>
      </c>
      <c r="I38" s="72">
        <f t="shared" si="5"/>
        <v>577.70000000000005</v>
      </c>
      <c r="J38" s="72">
        <f t="shared" si="5"/>
        <v>627.70000000000005</v>
      </c>
      <c r="K38" s="72">
        <f t="shared" si="5"/>
        <v>707.7</v>
      </c>
      <c r="L38" s="72">
        <f t="shared" si="5"/>
        <v>747.7</v>
      </c>
      <c r="M38" s="72">
        <f t="shared" si="5"/>
        <v>784</v>
      </c>
      <c r="N38" s="72">
        <f t="shared" si="5"/>
        <v>828.9</v>
      </c>
      <c r="O38" s="72">
        <f t="shared" si="5"/>
        <v>604.1</v>
      </c>
      <c r="P38" s="72">
        <f t="shared" si="5"/>
        <v>598.90000000000009</v>
      </c>
      <c r="Q38" s="72">
        <f t="shared" si="5"/>
        <v>598.90000000000009</v>
      </c>
      <c r="R38" s="72">
        <f t="shared" si="5"/>
        <v>593.90000000000009</v>
      </c>
      <c r="S38" s="72">
        <f t="shared" si="5"/>
        <v>558.9</v>
      </c>
      <c r="T38" s="72">
        <f t="shared" si="5"/>
        <v>483.9</v>
      </c>
      <c r="U38" s="72">
        <f t="shared" si="5"/>
        <v>483.9</v>
      </c>
      <c r="V38" s="72">
        <f t="shared" si="5"/>
        <v>685.8</v>
      </c>
      <c r="W38" s="72">
        <f t="shared" si="5"/>
        <v>734.6</v>
      </c>
      <c r="X38" s="72">
        <f t="shared" si="5"/>
        <v>764.6</v>
      </c>
      <c r="Y38" s="72">
        <f t="shared" si="5"/>
        <v>779.5</v>
      </c>
      <c r="Z38" s="72">
        <f t="shared" si="5"/>
        <v>679.5</v>
      </c>
      <c r="AA38" s="72">
        <f t="shared" si="5"/>
        <v>676.5</v>
      </c>
      <c r="AB38" s="72">
        <f t="shared" si="5"/>
        <v>546.5</v>
      </c>
      <c r="AC38" s="72">
        <f t="shared" si="5"/>
        <v>526.5</v>
      </c>
      <c r="AD38" s="72">
        <f t="shared" si="5"/>
        <v>566.5</v>
      </c>
      <c r="AE38" s="72">
        <f t="shared" si="5"/>
        <v>500</v>
      </c>
      <c r="AF38" s="72">
        <f t="shared" si="5"/>
        <v>506.5</v>
      </c>
      <c r="AG38" s="67">
        <f>SUM(AG11:AG37)</f>
        <v>1492.8299999999997</v>
      </c>
      <c r="AH38" s="54">
        <f t="shared" si="2"/>
        <v>828.9</v>
      </c>
      <c r="AI38" s="55">
        <f t="shared" si="3"/>
        <v>483.9</v>
      </c>
      <c r="AK38" s="56"/>
    </row>
    <row r="39" spans="1:88" x14ac:dyDescent="0.25">
      <c r="A39" s="57" t="s">
        <v>47</v>
      </c>
      <c r="B39" s="49">
        <v>60</v>
      </c>
      <c r="C39" s="61">
        <v>40.5</v>
      </c>
      <c r="D39" s="61">
        <v>30</v>
      </c>
      <c r="E39" s="61">
        <v>30</v>
      </c>
      <c r="F39" s="61">
        <v>30</v>
      </c>
      <c r="G39" s="61">
        <v>50</v>
      </c>
      <c r="H39" s="61">
        <v>66</v>
      </c>
      <c r="I39" s="61">
        <v>66</v>
      </c>
      <c r="J39" s="61">
        <v>115</v>
      </c>
      <c r="K39" s="61">
        <v>146</v>
      </c>
      <c r="L39" s="61">
        <v>146</v>
      </c>
      <c r="M39" s="50">
        <v>145.80000000000001</v>
      </c>
      <c r="N39" s="50">
        <v>145.69999999999999</v>
      </c>
      <c r="O39" s="50">
        <v>131.6</v>
      </c>
      <c r="P39" s="50">
        <v>121.6</v>
      </c>
      <c r="Q39" s="50">
        <v>65</v>
      </c>
      <c r="R39" s="50">
        <v>65</v>
      </c>
      <c r="S39" s="50">
        <v>30.1</v>
      </c>
      <c r="T39" s="50">
        <v>0</v>
      </c>
      <c r="U39" s="50">
        <v>0</v>
      </c>
      <c r="V39" s="50">
        <v>111.5</v>
      </c>
      <c r="W39" s="50">
        <v>145.9</v>
      </c>
      <c r="X39" s="50">
        <v>145.80000000000001</v>
      </c>
      <c r="Y39" s="50">
        <v>145.9</v>
      </c>
      <c r="Z39" s="50">
        <v>145.69999999999999</v>
      </c>
      <c r="AA39" s="50">
        <v>145.5</v>
      </c>
      <c r="AB39" s="50">
        <v>145.6</v>
      </c>
      <c r="AC39" s="50">
        <v>145.5</v>
      </c>
      <c r="AD39" s="50">
        <v>145.9</v>
      </c>
      <c r="AE39" s="50">
        <v>100</v>
      </c>
      <c r="AF39" s="49">
        <v>93.2</v>
      </c>
      <c r="AG39" s="62">
        <v>144</v>
      </c>
      <c r="AH39" s="54">
        <f t="shared" si="2"/>
        <v>146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25</v>
      </c>
      <c r="C40" s="61">
        <v>24.7</v>
      </c>
      <c r="D40" s="61">
        <v>24.8</v>
      </c>
      <c r="E40" s="61">
        <v>25</v>
      </c>
      <c r="F40" s="61">
        <v>25</v>
      </c>
      <c r="G40" s="61">
        <v>25</v>
      </c>
      <c r="H40" s="61">
        <v>24</v>
      </c>
      <c r="I40" s="61">
        <v>23.5</v>
      </c>
      <c r="J40" s="61">
        <v>60</v>
      </c>
      <c r="K40" s="61">
        <v>70.5</v>
      </c>
      <c r="L40" s="61">
        <v>70.5</v>
      </c>
      <c r="M40" s="73">
        <v>71</v>
      </c>
      <c r="N40" s="73">
        <v>71.599999999999994</v>
      </c>
      <c r="O40" s="73">
        <v>47.6</v>
      </c>
      <c r="P40" s="73">
        <v>36.1</v>
      </c>
      <c r="Q40" s="73">
        <v>23.7</v>
      </c>
      <c r="R40" s="73">
        <v>24.2</v>
      </c>
      <c r="S40" s="73">
        <v>23.5</v>
      </c>
      <c r="T40" s="73">
        <v>22.8</v>
      </c>
      <c r="U40" s="73">
        <v>24.8</v>
      </c>
      <c r="V40" s="73">
        <v>59.2</v>
      </c>
      <c r="W40" s="73">
        <v>70.900000000000006</v>
      </c>
      <c r="X40" s="73">
        <v>70.8</v>
      </c>
      <c r="Y40" s="73">
        <v>70.900000000000006</v>
      </c>
      <c r="Z40" s="73">
        <v>70.8</v>
      </c>
      <c r="AA40" s="73">
        <v>71.3</v>
      </c>
      <c r="AB40" s="73">
        <v>65</v>
      </c>
      <c r="AC40" s="73">
        <v>60.2</v>
      </c>
      <c r="AD40" s="73">
        <v>50.7</v>
      </c>
      <c r="AE40" s="73">
        <v>46.2</v>
      </c>
      <c r="AF40" s="61">
        <v>44.7</v>
      </c>
      <c r="AG40" s="67">
        <v>70</v>
      </c>
      <c r="AH40" s="54">
        <f t="shared" si="2"/>
        <v>71.599999999999994</v>
      </c>
      <c r="AI40" s="55">
        <f t="shared" si="3"/>
        <v>22.8</v>
      </c>
      <c r="AK40" s="56"/>
    </row>
    <row r="41" spans="1:88" x14ac:dyDescent="0.25">
      <c r="A41" s="66" t="s">
        <v>49</v>
      </c>
      <c r="B41" s="61">
        <v>55</v>
      </c>
      <c r="C41" s="61">
        <v>61.9</v>
      </c>
      <c r="D41" s="61">
        <v>55</v>
      </c>
      <c r="E41" s="61">
        <v>55</v>
      </c>
      <c r="F41" s="61">
        <v>55</v>
      </c>
      <c r="G41" s="61">
        <v>55</v>
      </c>
      <c r="H41" s="61">
        <v>50</v>
      </c>
      <c r="I41" s="61">
        <v>49.6</v>
      </c>
      <c r="J41" s="61">
        <v>61</v>
      </c>
      <c r="K41" s="61">
        <v>67.400000000000006</v>
      </c>
      <c r="L41" s="61">
        <v>67.400000000000006</v>
      </c>
      <c r="M41" s="73">
        <v>67</v>
      </c>
      <c r="N41" s="73">
        <v>60</v>
      </c>
      <c r="O41" s="73">
        <v>54.1</v>
      </c>
      <c r="P41" s="73">
        <v>51.7</v>
      </c>
      <c r="Q41" s="73">
        <v>32.799999999999997</v>
      </c>
      <c r="R41" s="73">
        <v>18</v>
      </c>
      <c r="S41" s="73">
        <v>17.2</v>
      </c>
      <c r="T41" s="73">
        <v>22.9</v>
      </c>
      <c r="U41" s="73">
        <v>33</v>
      </c>
      <c r="V41" s="73">
        <v>56.6</v>
      </c>
      <c r="W41" s="73">
        <v>68.2</v>
      </c>
      <c r="X41" s="73">
        <v>67.2</v>
      </c>
      <c r="Y41" s="73">
        <v>68.2</v>
      </c>
      <c r="Z41" s="73">
        <v>67.900000000000006</v>
      </c>
      <c r="AA41" s="73">
        <v>66.8</v>
      </c>
      <c r="AB41" s="73">
        <v>61.9</v>
      </c>
      <c r="AC41" s="73">
        <v>60.2</v>
      </c>
      <c r="AD41" s="73">
        <v>60.3</v>
      </c>
      <c r="AE41" s="73">
        <v>48.7</v>
      </c>
      <c r="AF41" s="61">
        <v>48.1</v>
      </c>
      <c r="AG41" s="67">
        <v>69</v>
      </c>
      <c r="AH41" s="54">
        <f t="shared" si="2"/>
        <v>68.2</v>
      </c>
      <c r="AI41" s="55">
        <f t="shared" si="3"/>
        <v>17.2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60.2</v>
      </c>
      <c r="E42" s="61">
        <v>60.2</v>
      </c>
      <c r="F42" s="61">
        <v>60.2</v>
      </c>
      <c r="G42" s="61">
        <v>60.2</v>
      </c>
      <c r="H42" s="61">
        <v>60.2</v>
      </c>
      <c r="I42" s="61">
        <v>60.2</v>
      </c>
      <c r="J42" s="61">
        <v>60.2</v>
      </c>
      <c r="K42" s="61">
        <v>60.2</v>
      </c>
      <c r="L42" s="61">
        <v>60.2</v>
      </c>
      <c r="M42" s="73">
        <v>60.2</v>
      </c>
      <c r="N42" s="73">
        <v>60.2</v>
      </c>
      <c r="O42" s="73">
        <v>60.2</v>
      </c>
      <c r="P42" s="73">
        <v>60.2</v>
      </c>
      <c r="Q42" s="73">
        <v>60.3</v>
      </c>
      <c r="R42" s="73">
        <v>60.2</v>
      </c>
      <c r="S42" s="73">
        <v>60.2</v>
      </c>
      <c r="T42" s="73">
        <v>60.2</v>
      </c>
      <c r="U42" s="73">
        <v>60.2</v>
      </c>
      <c r="V42" s="73">
        <v>60.2</v>
      </c>
      <c r="W42" s="73">
        <v>60.2</v>
      </c>
      <c r="X42" s="73">
        <v>60.2</v>
      </c>
      <c r="Y42" s="73">
        <v>60.2</v>
      </c>
      <c r="Z42" s="73">
        <v>60.2</v>
      </c>
      <c r="AA42" s="73">
        <v>67.3</v>
      </c>
      <c r="AB42" s="73">
        <v>60.2</v>
      </c>
      <c r="AC42" s="73">
        <v>60.2</v>
      </c>
      <c r="AD42" s="73">
        <v>60.2</v>
      </c>
      <c r="AE42" s="73">
        <v>60.2</v>
      </c>
      <c r="AF42" s="61">
        <v>60.2</v>
      </c>
      <c r="AG42" s="67">
        <v>60</v>
      </c>
      <c r="AH42" s="54">
        <f t="shared" si="2"/>
        <v>67.3</v>
      </c>
      <c r="AI42" s="55">
        <f t="shared" si="3"/>
        <v>60.2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10</v>
      </c>
      <c r="I43" s="61">
        <v>10</v>
      </c>
      <c r="J43" s="61">
        <v>23.4</v>
      </c>
      <c r="K43" s="61">
        <v>22.4</v>
      </c>
      <c r="L43" s="61">
        <v>22.4</v>
      </c>
      <c r="M43" s="50">
        <v>22.6</v>
      </c>
      <c r="N43" s="50">
        <v>22.1</v>
      </c>
      <c r="O43" s="50">
        <v>13.9</v>
      </c>
      <c r="P43" s="50">
        <v>13.9</v>
      </c>
      <c r="Q43" s="50">
        <v>9.9</v>
      </c>
      <c r="R43" s="50">
        <v>13.9</v>
      </c>
      <c r="S43" s="50">
        <v>0</v>
      </c>
      <c r="T43" s="50">
        <v>10.1</v>
      </c>
      <c r="U43" s="50">
        <v>10.1</v>
      </c>
      <c r="V43" s="50">
        <v>14.3</v>
      </c>
      <c r="W43" s="50">
        <v>22.7</v>
      </c>
      <c r="X43" s="50">
        <v>26.9</v>
      </c>
      <c r="Y43" s="50">
        <v>22.7</v>
      </c>
      <c r="Z43" s="50">
        <v>26.8</v>
      </c>
      <c r="AA43" s="73">
        <v>26.6</v>
      </c>
      <c r="AB43" s="73">
        <v>13.9</v>
      </c>
      <c r="AC43" s="73">
        <v>14.9</v>
      </c>
      <c r="AD43" s="73">
        <v>14.9</v>
      </c>
      <c r="AE43" s="73">
        <v>10</v>
      </c>
      <c r="AF43" s="73">
        <v>10</v>
      </c>
      <c r="AG43" s="67">
        <v>30</v>
      </c>
      <c r="AH43" s="54">
        <f t="shared" si="2"/>
        <v>26.9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2.5</v>
      </c>
      <c r="C46" s="61">
        <v>2.5</v>
      </c>
      <c r="D46" s="61">
        <v>2.5</v>
      </c>
      <c r="E46" s="61">
        <v>2.5</v>
      </c>
      <c r="F46" s="61">
        <v>2.5</v>
      </c>
      <c r="G46" s="61">
        <v>2.5</v>
      </c>
      <c r="H46" s="61">
        <v>2.5</v>
      </c>
      <c r="I46" s="61">
        <v>2.5</v>
      </c>
      <c r="J46" s="61">
        <v>2.5</v>
      </c>
      <c r="K46" s="61">
        <v>2.5</v>
      </c>
      <c r="L46" s="61">
        <v>2.5</v>
      </c>
      <c r="M46" s="50">
        <v>2.5</v>
      </c>
      <c r="N46" s="50">
        <v>2.5</v>
      </c>
      <c r="O46" s="50">
        <v>3</v>
      </c>
      <c r="P46" s="50">
        <v>3</v>
      </c>
      <c r="Q46" s="50">
        <v>3</v>
      </c>
      <c r="R46" s="50">
        <v>3</v>
      </c>
      <c r="S46" s="50">
        <v>3</v>
      </c>
      <c r="T46" s="50">
        <v>3</v>
      </c>
      <c r="U46" s="50">
        <v>3</v>
      </c>
      <c r="V46" s="50">
        <v>3</v>
      </c>
      <c r="W46" s="50">
        <v>3</v>
      </c>
      <c r="X46" s="50">
        <v>3</v>
      </c>
      <c r="Y46" s="50">
        <v>3</v>
      </c>
      <c r="Z46" s="50">
        <v>3</v>
      </c>
      <c r="AA46" s="50">
        <v>3</v>
      </c>
      <c r="AB46" s="50">
        <v>3</v>
      </c>
      <c r="AC46" s="50">
        <v>3</v>
      </c>
      <c r="AD46" s="50">
        <v>3</v>
      </c>
      <c r="AE46" s="50">
        <v>3</v>
      </c>
      <c r="AF46" s="50">
        <v>3</v>
      </c>
      <c r="AG46" s="67">
        <v>15</v>
      </c>
      <c r="AH46" s="54">
        <f t="shared" si="2"/>
        <v>3</v>
      </c>
      <c r="AI46" s="55">
        <f t="shared" si="3"/>
        <v>2.5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</v>
      </c>
      <c r="C48" s="74">
        <v>6</v>
      </c>
      <c r="D48" s="74">
        <v>6</v>
      </c>
      <c r="E48" s="74">
        <v>6</v>
      </c>
      <c r="F48" s="74">
        <v>6</v>
      </c>
      <c r="G48" s="74">
        <v>6</v>
      </c>
      <c r="H48" s="74">
        <v>6</v>
      </c>
      <c r="I48" s="74">
        <v>6</v>
      </c>
      <c r="J48" s="74">
        <v>6</v>
      </c>
      <c r="K48" s="74">
        <v>6</v>
      </c>
      <c r="L48" s="74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14</v>
      </c>
      <c r="AH48" s="54">
        <f t="shared" si="2"/>
        <v>6</v>
      </c>
      <c r="AI48" s="55">
        <f t="shared" si="3"/>
        <v>6</v>
      </c>
      <c r="AK48" s="56"/>
    </row>
    <row r="49" spans="1:37" x14ac:dyDescent="0.25">
      <c r="A49" s="66" t="s">
        <v>57</v>
      </c>
      <c r="B49" s="61">
        <v>8</v>
      </c>
      <c r="C49" s="61">
        <v>8</v>
      </c>
      <c r="D49" s="61">
        <v>8</v>
      </c>
      <c r="E49" s="61">
        <v>8</v>
      </c>
      <c r="F49" s="61">
        <v>8</v>
      </c>
      <c r="G49" s="61">
        <v>8</v>
      </c>
      <c r="H49" s="61">
        <v>8</v>
      </c>
      <c r="I49" s="61">
        <v>8</v>
      </c>
      <c r="J49" s="61">
        <v>8</v>
      </c>
      <c r="K49" s="61">
        <v>8</v>
      </c>
      <c r="L49" s="61">
        <v>8</v>
      </c>
      <c r="M49" s="50">
        <v>8</v>
      </c>
      <c r="N49" s="50">
        <v>8</v>
      </c>
      <c r="O49" s="50">
        <v>8</v>
      </c>
      <c r="P49" s="50">
        <v>8</v>
      </c>
      <c r="Q49" s="50">
        <v>8</v>
      </c>
      <c r="R49" s="50">
        <v>8</v>
      </c>
      <c r="S49" s="50">
        <v>8</v>
      </c>
      <c r="T49" s="50">
        <v>8</v>
      </c>
      <c r="U49" s="50">
        <v>8</v>
      </c>
      <c r="V49" s="50">
        <v>8</v>
      </c>
      <c r="W49" s="50">
        <v>8</v>
      </c>
      <c r="X49" s="50">
        <v>8</v>
      </c>
      <c r="Y49" s="50">
        <v>8</v>
      </c>
      <c r="Z49" s="50">
        <v>8</v>
      </c>
      <c r="AA49" s="50">
        <v>8</v>
      </c>
      <c r="AB49" s="50">
        <v>8</v>
      </c>
      <c r="AC49" s="50">
        <v>8</v>
      </c>
      <c r="AD49" s="50">
        <v>8</v>
      </c>
      <c r="AE49" s="50">
        <v>8</v>
      </c>
      <c r="AF49" s="50">
        <v>8</v>
      </c>
      <c r="AG49" s="67">
        <v>10.050000000000001</v>
      </c>
      <c r="AH49" s="54">
        <f t="shared" si="2"/>
        <v>8</v>
      </c>
      <c r="AI49" s="55">
        <f t="shared" si="3"/>
        <v>8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255.64</v>
      </c>
      <c r="C52" s="72">
        <f t="shared" ref="C52:AF52" si="9">SUM(C39:C51)</f>
        <v>242.74</v>
      </c>
      <c r="D52" s="72">
        <f t="shared" si="9"/>
        <v>225.44</v>
      </c>
      <c r="E52" s="72">
        <f t="shared" si="9"/>
        <v>225.64</v>
      </c>
      <c r="F52" s="72">
        <f t="shared" si="9"/>
        <v>235.64</v>
      </c>
      <c r="G52" s="72">
        <f t="shared" si="9"/>
        <v>255.64</v>
      </c>
      <c r="H52" s="72">
        <f t="shared" si="9"/>
        <v>265.64</v>
      </c>
      <c r="I52" s="72">
        <f t="shared" si="9"/>
        <v>264.74</v>
      </c>
      <c r="J52" s="72">
        <f t="shared" si="9"/>
        <v>375.03999999999996</v>
      </c>
      <c r="K52" s="72">
        <f t="shared" si="9"/>
        <v>421.93999999999994</v>
      </c>
      <c r="L52" s="72">
        <f t="shared" si="9"/>
        <v>421.93999999999994</v>
      </c>
      <c r="M52" s="72">
        <f t="shared" si="9"/>
        <v>422.04</v>
      </c>
      <c r="N52" s="72">
        <f t="shared" si="9"/>
        <v>415.03999999999996</v>
      </c>
      <c r="O52" s="72">
        <f t="shared" si="9"/>
        <v>363.34</v>
      </c>
      <c r="P52" s="72">
        <f t="shared" si="9"/>
        <v>339.43999999999994</v>
      </c>
      <c r="Q52" s="72">
        <f t="shared" si="9"/>
        <v>247.64000000000001</v>
      </c>
      <c r="R52" s="72">
        <f t="shared" si="9"/>
        <v>237.24</v>
      </c>
      <c r="S52" s="72">
        <f t="shared" si="9"/>
        <v>186.94</v>
      </c>
      <c r="T52" s="72">
        <f t="shared" si="9"/>
        <v>171.94</v>
      </c>
      <c r="U52" s="72">
        <f t="shared" si="9"/>
        <v>184.04</v>
      </c>
      <c r="V52" s="72">
        <f t="shared" si="9"/>
        <v>357.74</v>
      </c>
      <c r="W52" s="72">
        <f t="shared" si="9"/>
        <v>423.84</v>
      </c>
      <c r="X52" s="72">
        <f t="shared" si="9"/>
        <v>426.84</v>
      </c>
      <c r="Y52" s="72">
        <f t="shared" si="9"/>
        <v>423.84</v>
      </c>
      <c r="Z52" s="72">
        <f t="shared" si="9"/>
        <v>427.34</v>
      </c>
      <c r="AA52" s="72">
        <f t="shared" si="9"/>
        <v>433.44000000000005</v>
      </c>
      <c r="AB52" s="72">
        <f t="shared" si="9"/>
        <v>402.53999999999996</v>
      </c>
      <c r="AC52" s="72">
        <f t="shared" si="9"/>
        <v>396.93999999999994</v>
      </c>
      <c r="AD52" s="72">
        <f t="shared" si="9"/>
        <v>387.94</v>
      </c>
      <c r="AE52" s="72">
        <f t="shared" si="9"/>
        <v>321.03999999999996</v>
      </c>
      <c r="AF52" s="72">
        <f t="shared" si="9"/>
        <v>312.14</v>
      </c>
      <c r="AG52" s="78">
        <f>SUM(AG39:AG51)</f>
        <v>489.91</v>
      </c>
      <c r="AH52" s="54">
        <f t="shared" si="2"/>
        <v>433.44000000000005</v>
      </c>
      <c r="AI52" s="55">
        <f t="shared" si="3"/>
        <v>171.94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10</v>
      </c>
      <c r="L53" s="61">
        <v>30</v>
      </c>
      <c r="M53" s="79">
        <v>45</v>
      </c>
      <c r="N53" s="79">
        <v>50.4</v>
      </c>
      <c r="O53" s="79">
        <v>14.4</v>
      </c>
      <c r="P53" s="79">
        <v>19.899999999999999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29.4</v>
      </c>
      <c r="X53" s="50">
        <v>29.5</v>
      </c>
      <c r="Y53" s="50">
        <v>29.4</v>
      </c>
      <c r="Z53" s="50">
        <v>29.6</v>
      </c>
      <c r="AA53" s="50">
        <v>29.5</v>
      </c>
      <c r="AB53" s="50">
        <v>29.6</v>
      </c>
      <c r="AC53" s="50">
        <v>20.100000000000001</v>
      </c>
      <c r="AD53" s="50">
        <v>20</v>
      </c>
      <c r="AE53" s="50">
        <v>0</v>
      </c>
      <c r="AF53" s="50">
        <v>0</v>
      </c>
      <c r="AG53" s="62">
        <v>60</v>
      </c>
      <c r="AH53" s="54">
        <f t="shared" si="2"/>
        <v>50.4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6.4</v>
      </c>
      <c r="L54" s="61">
        <v>15</v>
      </c>
      <c r="M54" s="79">
        <v>25.4</v>
      </c>
      <c r="N54" s="79">
        <v>24.2</v>
      </c>
      <c r="O54" s="79">
        <v>12.1</v>
      </c>
      <c r="P54" s="79">
        <v>9.6999999999999993</v>
      </c>
      <c r="Q54" s="73">
        <v>5.5</v>
      </c>
      <c r="R54" s="73">
        <v>0</v>
      </c>
      <c r="S54" s="50">
        <v>0</v>
      </c>
      <c r="T54" s="50">
        <v>0</v>
      </c>
      <c r="U54" s="50">
        <v>0</v>
      </c>
      <c r="V54" s="50">
        <v>0</v>
      </c>
      <c r="W54" s="73">
        <v>14.3</v>
      </c>
      <c r="X54" s="73">
        <v>15.1</v>
      </c>
      <c r="Y54" s="73">
        <v>14.3</v>
      </c>
      <c r="Z54" s="73">
        <v>14.3</v>
      </c>
      <c r="AA54" s="73">
        <v>15.4</v>
      </c>
      <c r="AB54" s="73">
        <v>15.4</v>
      </c>
      <c r="AC54" s="73">
        <v>9.5</v>
      </c>
      <c r="AD54" s="73">
        <v>10.7</v>
      </c>
      <c r="AE54" s="73">
        <v>0</v>
      </c>
      <c r="AF54" s="73">
        <v>0</v>
      </c>
      <c r="AG54" s="67">
        <v>32</v>
      </c>
      <c r="AH54" s="54">
        <f t="shared" si="2"/>
        <v>25.4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3</v>
      </c>
      <c r="L55" s="74">
        <v>7</v>
      </c>
      <c r="M55" s="81">
        <v>9.3000000000000007</v>
      </c>
      <c r="N55" s="81">
        <v>8.8000000000000007</v>
      </c>
      <c r="O55" s="81">
        <v>4.4000000000000004</v>
      </c>
      <c r="P55" s="81">
        <v>3.5</v>
      </c>
      <c r="Q55" s="80">
        <v>2</v>
      </c>
      <c r="R55" s="80">
        <v>0</v>
      </c>
      <c r="S55" s="50">
        <v>0</v>
      </c>
      <c r="T55" s="50">
        <v>0</v>
      </c>
      <c r="U55" s="50">
        <v>0</v>
      </c>
      <c r="V55" s="50">
        <v>0</v>
      </c>
      <c r="W55" s="80">
        <v>5.2</v>
      </c>
      <c r="X55" s="80">
        <v>5.5</v>
      </c>
      <c r="Y55" s="80">
        <v>5.2</v>
      </c>
      <c r="Z55" s="80">
        <v>5.2</v>
      </c>
      <c r="AA55" s="80">
        <v>5.6</v>
      </c>
      <c r="AB55" s="80">
        <v>5.6</v>
      </c>
      <c r="AC55" s="80">
        <v>3.5</v>
      </c>
      <c r="AD55" s="80">
        <v>3.9</v>
      </c>
      <c r="AE55" s="80">
        <v>0</v>
      </c>
      <c r="AF55" s="80">
        <v>0</v>
      </c>
      <c r="AG55" s="82">
        <v>14</v>
      </c>
      <c r="AH55" s="54">
        <f t="shared" si="2"/>
        <v>9.3000000000000007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19.399999999999999</v>
      </c>
      <c r="L56" s="72">
        <f t="shared" si="11"/>
        <v>52</v>
      </c>
      <c r="M56" s="72">
        <f t="shared" si="11"/>
        <v>79.7</v>
      </c>
      <c r="N56" s="72">
        <f t="shared" si="11"/>
        <v>83.399999999999991</v>
      </c>
      <c r="O56" s="72">
        <f t="shared" si="11"/>
        <v>30.9</v>
      </c>
      <c r="P56" s="72">
        <f t="shared" si="11"/>
        <v>33.099999999999994</v>
      </c>
      <c r="Q56" s="72">
        <f t="shared" si="11"/>
        <v>7.5</v>
      </c>
      <c r="R56" s="72">
        <f t="shared" si="11"/>
        <v>0</v>
      </c>
      <c r="S56" s="72">
        <f t="shared" si="11"/>
        <v>0</v>
      </c>
      <c r="T56" s="72">
        <f t="shared" si="11"/>
        <v>0</v>
      </c>
      <c r="U56" s="72">
        <f t="shared" si="11"/>
        <v>0</v>
      </c>
      <c r="V56" s="72">
        <f t="shared" si="11"/>
        <v>0</v>
      </c>
      <c r="W56" s="72">
        <f t="shared" si="11"/>
        <v>48.900000000000006</v>
      </c>
      <c r="X56" s="72">
        <f t="shared" si="11"/>
        <v>50.1</v>
      </c>
      <c r="Y56" s="72">
        <f t="shared" si="11"/>
        <v>48.900000000000006</v>
      </c>
      <c r="Z56" s="72">
        <f t="shared" si="11"/>
        <v>49.100000000000009</v>
      </c>
      <c r="AA56" s="72">
        <f t="shared" si="11"/>
        <v>50.5</v>
      </c>
      <c r="AB56" s="72">
        <f t="shared" si="11"/>
        <v>50.6</v>
      </c>
      <c r="AC56" s="72">
        <f t="shared" si="11"/>
        <v>33.1</v>
      </c>
      <c r="AD56" s="72">
        <f t="shared" si="11"/>
        <v>34.6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83.399999999999991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54</v>
      </c>
      <c r="C57" s="50">
        <v>69</v>
      </c>
      <c r="D57" s="50">
        <v>67.7</v>
      </c>
      <c r="E57" s="50">
        <v>68</v>
      </c>
      <c r="F57" s="50">
        <v>60</v>
      </c>
      <c r="G57" s="50">
        <v>62</v>
      </c>
      <c r="H57" s="50">
        <v>67</v>
      </c>
      <c r="I57" s="50">
        <v>70</v>
      </c>
      <c r="J57" s="50">
        <v>63</v>
      </c>
      <c r="K57" s="50">
        <v>61.5</v>
      </c>
      <c r="L57" s="50">
        <v>65</v>
      </c>
      <c r="M57" s="50">
        <v>68.099999999999994</v>
      </c>
      <c r="N57" s="50">
        <v>63.8</v>
      </c>
      <c r="O57" s="50">
        <v>69.8</v>
      </c>
      <c r="P57" s="50">
        <v>61.9</v>
      </c>
      <c r="Q57" s="50">
        <v>61</v>
      </c>
      <c r="R57" s="50">
        <v>65.5</v>
      </c>
      <c r="S57" s="50">
        <v>62.3</v>
      </c>
      <c r="T57" s="50">
        <v>69</v>
      </c>
      <c r="U57" s="50">
        <v>71</v>
      </c>
      <c r="V57" s="50">
        <v>75.2</v>
      </c>
      <c r="W57" s="50">
        <v>75.2</v>
      </c>
      <c r="X57" s="50">
        <v>71.400000000000006</v>
      </c>
      <c r="Y57" s="50">
        <v>72.5</v>
      </c>
      <c r="Z57" s="50">
        <v>69.599999999999994</v>
      </c>
      <c r="AA57" s="50">
        <v>64.900000000000006</v>
      </c>
      <c r="AB57" s="50">
        <v>73.400000000000006</v>
      </c>
      <c r="AC57" s="50">
        <v>68.099999999999994</v>
      </c>
      <c r="AD57" s="50">
        <v>64.900000000000006</v>
      </c>
      <c r="AE57" s="50">
        <v>68.7</v>
      </c>
      <c r="AF57" s="50">
        <v>56.5</v>
      </c>
      <c r="AG57" s="62"/>
      <c r="AH57" s="54">
        <f t="shared" si="2"/>
        <v>75.2</v>
      </c>
      <c r="AI57" s="55">
        <f t="shared" si="3"/>
        <v>54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50">
        <v>0</v>
      </c>
      <c r="Z58" s="83">
        <v>0</v>
      </c>
      <c r="AA58" s="83">
        <v>0</v>
      </c>
      <c r="AB58" s="8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80</v>
      </c>
      <c r="C59" s="73">
        <v>110</v>
      </c>
      <c r="D59" s="73">
        <v>117.8</v>
      </c>
      <c r="E59" s="73">
        <v>112</v>
      </c>
      <c r="F59" s="73">
        <v>115</v>
      </c>
      <c r="G59" s="73">
        <v>120</v>
      </c>
      <c r="H59" s="50">
        <v>135</v>
      </c>
      <c r="I59" s="50">
        <v>155</v>
      </c>
      <c r="J59" s="50">
        <v>100</v>
      </c>
      <c r="K59" s="50">
        <v>70</v>
      </c>
      <c r="L59" s="50">
        <v>81</v>
      </c>
      <c r="M59" s="73">
        <v>66.3</v>
      </c>
      <c r="N59" s="73">
        <v>0</v>
      </c>
      <c r="O59" s="73">
        <v>230</v>
      </c>
      <c r="P59" s="73">
        <v>191.4</v>
      </c>
      <c r="Q59" s="73">
        <v>190</v>
      </c>
      <c r="R59" s="73">
        <v>211</v>
      </c>
      <c r="S59" s="73">
        <v>220</v>
      </c>
      <c r="T59" s="73">
        <v>279</v>
      </c>
      <c r="U59" s="73">
        <v>278</v>
      </c>
      <c r="V59" s="73">
        <v>40</v>
      </c>
      <c r="W59" s="73">
        <v>54</v>
      </c>
      <c r="X59" s="84">
        <v>105</v>
      </c>
      <c r="Y59" s="73">
        <v>100</v>
      </c>
      <c r="Z59" s="84">
        <v>159</v>
      </c>
      <c r="AA59" s="84">
        <v>148.9</v>
      </c>
      <c r="AB59" s="84">
        <v>242.3</v>
      </c>
      <c r="AC59" s="73">
        <v>240.2</v>
      </c>
      <c r="AD59" s="73">
        <v>185</v>
      </c>
      <c r="AE59" s="73">
        <v>171</v>
      </c>
      <c r="AF59" s="73">
        <v>71.099999999999994</v>
      </c>
      <c r="AG59" s="85"/>
      <c r="AH59" s="54">
        <f t="shared" si="2"/>
        <v>279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47.9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47.9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10</v>
      </c>
      <c r="P66" s="63">
        <v>10</v>
      </c>
      <c r="Q66" s="63">
        <v>10</v>
      </c>
      <c r="R66" s="63">
        <v>10</v>
      </c>
      <c r="S66" s="63">
        <v>10</v>
      </c>
      <c r="T66" s="63">
        <v>10</v>
      </c>
      <c r="U66" s="63">
        <v>10</v>
      </c>
      <c r="V66" s="63">
        <v>10</v>
      </c>
      <c r="W66" s="63">
        <v>10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134</v>
      </c>
      <c r="C68" s="72">
        <f>SUM(C57:C67)</f>
        <v>179</v>
      </c>
      <c r="D68" s="72">
        <f t="shared" ref="D68:AF68" si="13">SUM(D57:D67)</f>
        <v>185.5</v>
      </c>
      <c r="E68" s="72">
        <f t="shared" si="13"/>
        <v>180</v>
      </c>
      <c r="F68" s="72">
        <f t="shared" si="13"/>
        <v>175</v>
      </c>
      <c r="G68" s="72">
        <f t="shared" si="13"/>
        <v>182</v>
      </c>
      <c r="H68" s="72">
        <f t="shared" si="13"/>
        <v>202</v>
      </c>
      <c r="I68" s="72">
        <f t="shared" si="13"/>
        <v>225</v>
      </c>
      <c r="J68" s="72">
        <f t="shared" si="13"/>
        <v>163</v>
      </c>
      <c r="K68" s="72">
        <f t="shared" si="13"/>
        <v>131.5</v>
      </c>
      <c r="L68" s="72">
        <f t="shared" si="13"/>
        <v>146</v>
      </c>
      <c r="M68" s="72">
        <f t="shared" si="13"/>
        <v>134.39999999999998</v>
      </c>
      <c r="N68" s="72">
        <f t="shared" si="13"/>
        <v>63.8</v>
      </c>
      <c r="O68" s="72">
        <f t="shared" si="13"/>
        <v>309.8</v>
      </c>
      <c r="P68" s="72">
        <f t="shared" si="13"/>
        <v>263.3</v>
      </c>
      <c r="Q68" s="72">
        <f t="shared" si="13"/>
        <v>261</v>
      </c>
      <c r="R68" s="72">
        <f t="shared" si="13"/>
        <v>286.5</v>
      </c>
      <c r="S68" s="72">
        <f t="shared" si="13"/>
        <v>292.3</v>
      </c>
      <c r="T68" s="72">
        <f t="shared" si="13"/>
        <v>358</v>
      </c>
      <c r="U68" s="72">
        <f t="shared" si="13"/>
        <v>359</v>
      </c>
      <c r="V68" s="72">
        <f t="shared" si="13"/>
        <v>125.2</v>
      </c>
      <c r="W68" s="72">
        <f t="shared" si="13"/>
        <v>139.19999999999999</v>
      </c>
      <c r="X68" s="72">
        <f t="shared" si="13"/>
        <v>224.3</v>
      </c>
      <c r="Y68" s="72">
        <f t="shared" si="13"/>
        <v>172.5</v>
      </c>
      <c r="Z68" s="72">
        <f t="shared" si="13"/>
        <v>228.6</v>
      </c>
      <c r="AA68" s="72">
        <f t="shared" si="13"/>
        <v>213.8</v>
      </c>
      <c r="AB68" s="72">
        <f t="shared" si="13"/>
        <v>315.70000000000005</v>
      </c>
      <c r="AC68" s="72">
        <f t="shared" si="13"/>
        <v>308.29999999999995</v>
      </c>
      <c r="AD68" s="72">
        <f t="shared" si="13"/>
        <v>249.9</v>
      </c>
      <c r="AE68" s="72">
        <f t="shared" si="13"/>
        <v>239.7</v>
      </c>
      <c r="AF68" s="72">
        <f t="shared" si="13"/>
        <v>127.6</v>
      </c>
      <c r="AG68" s="78">
        <f>SUM(AG57:AG67)</f>
        <v>0</v>
      </c>
      <c r="AH68" s="54">
        <f t="shared" si="2"/>
        <v>359</v>
      </c>
      <c r="AI68" s="55">
        <f t="shared" si="3"/>
        <v>63.8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908.04</v>
      </c>
      <c r="C73" s="89">
        <f>C68+C56+C52+C38+C72</f>
        <v>919.34</v>
      </c>
      <c r="D73" s="89">
        <f t="shared" ref="D73:AG73" si="17">D68+D56+D52+D38+D72</f>
        <v>908.64</v>
      </c>
      <c r="E73" s="89">
        <f t="shared" si="17"/>
        <v>903.33999999999992</v>
      </c>
      <c r="F73" s="89">
        <f t="shared" si="17"/>
        <v>908.33999999999992</v>
      </c>
      <c r="G73" s="89">
        <f t="shared" si="17"/>
        <v>955.34</v>
      </c>
      <c r="H73" s="89">
        <f t="shared" si="17"/>
        <v>1005.34</v>
      </c>
      <c r="I73" s="89">
        <f t="shared" si="17"/>
        <v>1067.44</v>
      </c>
      <c r="J73" s="89">
        <f t="shared" si="17"/>
        <v>1165.74</v>
      </c>
      <c r="K73" s="89">
        <f t="shared" si="17"/>
        <v>1280.54</v>
      </c>
      <c r="L73" s="89">
        <f t="shared" si="17"/>
        <v>1367.6399999999999</v>
      </c>
      <c r="M73" s="89">
        <f t="shared" si="17"/>
        <v>1420.1399999999999</v>
      </c>
      <c r="N73" s="89">
        <f t="shared" si="17"/>
        <v>1391.1399999999999</v>
      </c>
      <c r="O73" s="89">
        <f t="shared" si="17"/>
        <v>1308.1399999999999</v>
      </c>
      <c r="P73" s="89">
        <f t="shared" si="17"/>
        <v>1234.74</v>
      </c>
      <c r="Q73" s="89">
        <f t="shared" si="17"/>
        <v>1115.04</v>
      </c>
      <c r="R73" s="89">
        <f t="shared" si="17"/>
        <v>1117.6400000000001</v>
      </c>
      <c r="S73" s="89">
        <f t="shared" si="17"/>
        <v>1038.1399999999999</v>
      </c>
      <c r="T73" s="89">
        <f t="shared" si="17"/>
        <v>1013.84</v>
      </c>
      <c r="U73" s="89">
        <f t="shared" si="17"/>
        <v>1026.94</v>
      </c>
      <c r="V73" s="89">
        <f t="shared" si="17"/>
        <v>1168.74</v>
      </c>
      <c r="W73" s="89">
        <f t="shared" si="17"/>
        <v>1346.54</v>
      </c>
      <c r="X73" s="89">
        <f t="shared" si="17"/>
        <v>1465.8400000000001</v>
      </c>
      <c r="Y73" s="89">
        <f t="shared" si="17"/>
        <v>1424.74</v>
      </c>
      <c r="Z73" s="89">
        <f t="shared" si="17"/>
        <v>1384.54</v>
      </c>
      <c r="AA73" s="89">
        <f t="shared" si="17"/>
        <v>1374.24</v>
      </c>
      <c r="AB73" s="89">
        <f t="shared" si="17"/>
        <v>1315.3400000000001</v>
      </c>
      <c r="AC73" s="89">
        <f t="shared" si="17"/>
        <v>1264.8399999999999</v>
      </c>
      <c r="AD73" s="89">
        <f t="shared" si="17"/>
        <v>1238.94</v>
      </c>
      <c r="AE73" s="89">
        <f t="shared" si="17"/>
        <v>1060.74</v>
      </c>
      <c r="AF73" s="89">
        <f t="shared" si="17"/>
        <v>946.24</v>
      </c>
      <c r="AG73" s="89">
        <f t="shared" si="17"/>
        <v>2144.14</v>
      </c>
      <c r="AH73" s="54">
        <f t="shared" si="2"/>
        <v>1465.8400000000001</v>
      </c>
      <c r="AI73" s="55">
        <f t="shared" si="3"/>
        <v>903.33999999999992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>
        <v>15</v>
      </c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15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908.04</v>
      </c>
      <c r="C75" s="89">
        <f>C73+C74</f>
        <v>919.34</v>
      </c>
      <c r="D75" s="89">
        <f t="shared" ref="D75:AF75" si="19">D72+D68+D56+D52+D38+D74</f>
        <v>908.64</v>
      </c>
      <c r="E75" s="89">
        <f t="shared" si="19"/>
        <v>903.33999999999992</v>
      </c>
      <c r="F75" s="89">
        <f t="shared" si="19"/>
        <v>908.33999999999992</v>
      </c>
      <c r="G75" s="89">
        <f t="shared" si="19"/>
        <v>955.34</v>
      </c>
      <c r="H75" s="89">
        <f t="shared" si="19"/>
        <v>1005.34</v>
      </c>
      <c r="I75" s="89">
        <f t="shared" si="19"/>
        <v>1067.44</v>
      </c>
      <c r="J75" s="89">
        <f t="shared" si="19"/>
        <v>1165.74</v>
      </c>
      <c r="K75" s="89">
        <f t="shared" si="19"/>
        <v>1280.54</v>
      </c>
      <c r="L75" s="89">
        <f t="shared" si="19"/>
        <v>1367.6399999999999</v>
      </c>
      <c r="M75" s="89">
        <f t="shared" si="19"/>
        <v>1420.1399999999999</v>
      </c>
      <c r="N75" s="89">
        <f t="shared" si="19"/>
        <v>1391.1399999999999</v>
      </c>
      <c r="O75" s="89">
        <f t="shared" si="19"/>
        <v>1323.1399999999999</v>
      </c>
      <c r="P75" s="89">
        <f t="shared" si="19"/>
        <v>1234.74</v>
      </c>
      <c r="Q75" s="89">
        <f t="shared" si="19"/>
        <v>1115.04</v>
      </c>
      <c r="R75" s="89">
        <f t="shared" si="19"/>
        <v>1117.6400000000001</v>
      </c>
      <c r="S75" s="89">
        <f t="shared" si="19"/>
        <v>1038.1399999999999</v>
      </c>
      <c r="T75" s="89">
        <f t="shared" si="19"/>
        <v>1013.84</v>
      </c>
      <c r="U75" s="89">
        <f t="shared" si="19"/>
        <v>1026.94</v>
      </c>
      <c r="V75" s="89">
        <f t="shared" si="19"/>
        <v>1168.74</v>
      </c>
      <c r="W75" s="89">
        <f t="shared" si="19"/>
        <v>1346.54</v>
      </c>
      <c r="X75" s="89">
        <f t="shared" si="19"/>
        <v>1465.8400000000001</v>
      </c>
      <c r="Y75" s="89">
        <f t="shared" si="19"/>
        <v>1424.74</v>
      </c>
      <c r="Z75" s="89">
        <f t="shared" si="19"/>
        <v>1384.54</v>
      </c>
      <c r="AA75" s="89">
        <f t="shared" si="19"/>
        <v>1374.24</v>
      </c>
      <c r="AB75" s="89">
        <f t="shared" si="19"/>
        <v>1315.3400000000001</v>
      </c>
      <c r="AC75" s="89">
        <f t="shared" si="19"/>
        <v>1264.8399999999999</v>
      </c>
      <c r="AD75" s="89">
        <f t="shared" si="19"/>
        <v>1238.94</v>
      </c>
      <c r="AE75" s="89">
        <f t="shared" si="19"/>
        <v>1060.74</v>
      </c>
      <c r="AF75" s="89">
        <f t="shared" si="19"/>
        <v>946.24</v>
      </c>
      <c r="AG75" s="78">
        <f>AG72+AG68+AG56+AG52+AG38+AG74</f>
        <v>2144.14</v>
      </c>
      <c r="AH75" s="54">
        <f t="shared" si="2"/>
        <v>1465.8400000000001</v>
      </c>
      <c r="AI75" s="55">
        <f t="shared" si="3"/>
        <v>903.33999999999992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1816.08</v>
      </c>
      <c r="C83" s="72">
        <f t="shared" ref="C83:AG83" si="35">SUM(C70:C82)</f>
        <v>1838.68</v>
      </c>
      <c r="D83" s="72">
        <f t="shared" si="35"/>
        <v>1817.28</v>
      </c>
      <c r="E83" s="72">
        <f t="shared" si="35"/>
        <v>1806.6799999999998</v>
      </c>
      <c r="F83" s="72">
        <f t="shared" si="35"/>
        <v>1816.6799999999998</v>
      </c>
      <c r="G83" s="72">
        <f t="shared" si="35"/>
        <v>1910.68</v>
      </c>
      <c r="H83" s="72">
        <f t="shared" si="35"/>
        <v>2010.68</v>
      </c>
      <c r="I83" s="72">
        <f t="shared" si="35"/>
        <v>2134.88</v>
      </c>
      <c r="J83" s="72">
        <f t="shared" si="35"/>
        <v>2331.48</v>
      </c>
      <c r="K83" s="72">
        <f t="shared" si="35"/>
        <v>2561.08</v>
      </c>
      <c r="L83" s="72">
        <f t="shared" si="35"/>
        <v>2735.2799999999997</v>
      </c>
      <c r="M83" s="72">
        <f t="shared" si="35"/>
        <v>2840.2799999999997</v>
      </c>
      <c r="N83" s="72">
        <f t="shared" si="35"/>
        <v>2782.2799999999997</v>
      </c>
      <c r="O83" s="72">
        <f t="shared" si="35"/>
        <v>2646.2799999999997</v>
      </c>
      <c r="P83" s="72">
        <f t="shared" si="35"/>
        <v>2469.48</v>
      </c>
      <c r="Q83" s="72">
        <f t="shared" si="35"/>
        <v>2230.08</v>
      </c>
      <c r="R83" s="72">
        <f t="shared" si="35"/>
        <v>2235.2800000000002</v>
      </c>
      <c r="S83" s="72">
        <f t="shared" si="35"/>
        <v>2076.2799999999997</v>
      </c>
      <c r="T83" s="72">
        <f t="shared" si="35"/>
        <v>2027.68</v>
      </c>
      <c r="U83" s="72">
        <f t="shared" si="35"/>
        <v>2053.88</v>
      </c>
      <c r="V83" s="72">
        <f t="shared" si="35"/>
        <v>2337.48</v>
      </c>
      <c r="W83" s="72">
        <f t="shared" si="35"/>
        <v>2693.08</v>
      </c>
      <c r="X83" s="72">
        <f t="shared" si="35"/>
        <v>2931.6800000000003</v>
      </c>
      <c r="Y83" s="72">
        <f t="shared" si="35"/>
        <v>2849.48</v>
      </c>
      <c r="Z83" s="72">
        <f t="shared" si="35"/>
        <v>2769.08</v>
      </c>
      <c r="AA83" s="72">
        <f t="shared" si="35"/>
        <v>2748.48</v>
      </c>
      <c r="AB83" s="72">
        <f t="shared" si="35"/>
        <v>2630.6800000000003</v>
      </c>
      <c r="AC83" s="72">
        <f t="shared" si="35"/>
        <v>2529.6799999999998</v>
      </c>
      <c r="AD83" s="72">
        <f t="shared" si="35"/>
        <v>2477.88</v>
      </c>
      <c r="AE83" s="72">
        <f t="shared" si="35"/>
        <v>2121.48</v>
      </c>
      <c r="AF83" s="72">
        <f t="shared" si="35"/>
        <v>1892.48</v>
      </c>
      <c r="AG83" s="78">
        <f t="shared" si="35"/>
        <v>4360.08</v>
      </c>
      <c r="AH83" s="54">
        <f t="shared" si="22"/>
        <v>2931.6800000000003</v>
      </c>
      <c r="AI83" s="55">
        <f t="shared" si="23"/>
        <v>1806.6799999999998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50.02</v>
      </c>
      <c r="C84" s="95">
        <v>50.04</v>
      </c>
      <c r="D84" s="95">
        <v>50.04</v>
      </c>
      <c r="E84" s="95">
        <v>50.070999999999998</v>
      </c>
      <c r="F84" s="95">
        <v>50.02</v>
      </c>
      <c r="G84" s="95">
        <v>49.99</v>
      </c>
      <c r="H84" s="95">
        <v>49.948999999999998</v>
      </c>
      <c r="I84" s="95">
        <v>49.945</v>
      </c>
      <c r="J84" s="95">
        <v>49.875999999999998</v>
      </c>
      <c r="K84" s="95">
        <v>50.021999999999998</v>
      </c>
      <c r="L84" s="95">
        <v>50.021999999999998</v>
      </c>
      <c r="M84" s="95">
        <v>50.011000000000003</v>
      </c>
      <c r="N84" s="95">
        <v>50.012999999999998</v>
      </c>
      <c r="O84" s="95">
        <v>50.018999999999998</v>
      </c>
      <c r="P84" s="95">
        <v>49.935000000000002</v>
      </c>
      <c r="Q84" s="95">
        <v>50.073</v>
      </c>
      <c r="R84" s="95">
        <v>50.048999999999999</v>
      </c>
      <c r="S84" s="95">
        <v>50.09</v>
      </c>
      <c r="T84" s="95">
        <v>50.1</v>
      </c>
      <c r="U84" s="95">
        <v>49.988999999999997</v>
      </c>
      <c r="V84" s="95">
        <v>50.05</v>
      </c>
      <c r="W84" s="95">
        <v>49.99</v>
      </c>
      <c r="X84" s="95">
        <v>50.2</v>
      </c>
      <c r="Y84" s="95">
        <v>50</v>
      </c>
      <c r="Z84" s="95">
        <v>50.01</v>
      </c>
      <c r="AA84" s="95">
        <v>50.03</v>
      </c>
      <c r="AB84" s="95">
        <v>49.945</v>
      </c>
      <c r="AC84" s="95">
        <v>50.048999999999999</v>
      </c>
      <c r="AD84" s="95">
        <v>49.921999999999997</v>
      </c>
      <c r="AE84" s="95">
        <v>49.987000000000002</v>
      </c>
      <c r="AF84" s="95">
        <v>50.015999999999998</v>
      </c>
      <c r="AG84" s="96"/>
      <c r="AH84" s="54">
        <f t="shared" si="22"/>
        <v>50.2</v>
      </c>
      <c r="AI84" s="55">
        <f t="shared" si="23"/>
        <v>49.875999999999998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125.7</v>
      </c>
      <c r="C85" s="73">
        <v>126.3</v>
      </c>
      <c r="D85" s="73">
        <v>126.5</v>
      </c>
      <c r="E85" s="73">
        <v>127.1</v>
      </c>
      <c r="F85" s="73">
        <v>126.8</v>
      </c>
      <c r="G85" s="73">
        <v>125.6</v>
      </c>
      <c r="H85" s="73">
        <v>124.7</v>
      </c>
      <c r="I85" s="73">
        <v>124.6</v>
      </c>
      <c r="J85" s="73">
        <v>124.6</v>
      </c>
      <c r="K85" s="73">
        <v>125.5</v>
      </c>
      <c r="L85" s="73">
        <v>125.5</v>
      </c>
      <c r="M85" s="73">
        <v>125.1</v>
      </c>
      <c r="N85" s="73">
        <v>124</v>
      </c>
      <c r="O85" s="73">
        <v>124.1</v>
      </c>
      <c r="P85" s="73">
        <v>123.9</v>
      </c>
      <c r="Q85" s="73">
        <v>124.8</v>
      </c>
      <c r="R85" s="73">
        <v>123.9</v>
      </c>
      <c r="S85" s="73">
        <v>124.9</v>
      </c>
      <c r="T85" s="73">
        <v>125</v>
      </c>
      <c r="U85" s="98">
        <v>124.4</v>
      </c>
      <c r="V85" s="98">
        <v>124.9</v>
      </c>
      <c r="W85" s="98">
        <v>122.5</v>
      </c>
      <c r="X85" s="98">
        <v>121.5</v>
      </c>
      <c r="Y85" s="98">
        <v>122.7</v>
      </c>
      <c r="Z85" s="98">
        <v>122.3</v>
      </c>
      <c r="AA85" s="98">
        <v>123.1</v>
      </c>
      <c r="AB85" s="73">
        <v>125</v>
      </c>
      <c r="AC85" s="73">
        <v>125.4</v>
      </c>
      <c r="AD85" s="73">
        <v>126</v>
      </c>
      <c r="AE85" s="73">
        <v>126.3</v>
      </c>
      <c r="AF85" s="73">
        <v>127.7</v>
      </c>
      <c r="AG85" s="99"/>
      <c r="AH85" s="54">
        <f t="shared" si="22"/>
        <v>127.7</v>
      </c>
      <c r="AI85" s="55">
        <f t="shared" si="23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129.4</v>
      </c>
      <c r="C86" s="73">
        <v>129.80000000000001</v>
      </c>
      <c r="D86" s="73">
        <v>130.1</v>
      </c>
      <c r="E86" s="73">
        <v>130.80000000000001</v>
      </c>
      <c r="F86" s="73">
        <v>130.4</v>
      </c>
      <c r="G86" s="73">
        <v>129.4</v>
      </c>
      <c r="H86" s="73">
        <v>128.9</v>
      </c>
      <c r="I86" s="73">
        <v>128.5</v>
      </c>
      <c r="J86" s="73">
        <v>128.19999999999999</v>
      </c>
      <c r="K86" s="73">
        <v>128.4</v>
      </c>
      <c r="L86" s="73">
        <v>128.4</v>
      </c>
      <c r="M86" s="73">
        <v>127</v>
      </c>
      <c r="N86" s="73">
        <v>126.1</v>
      </c>
      <c r="O86" s="73">
        <v>126.4</v>
      </c>
      <c r="P86" s="73">
        <v>126.9</v>
      </c>
      <c r="Q86" s="73">
        <v>127.8</v>
      </c>
      <c r="R86" s="73">
        <v>127</v>
      </c>
      <c r="S86" s="73">
        <v>128.1</v>
      </c>
      <c r="T86" s="73">
        <v>127.7</v>
      </c>
      <c r="U86" s="98">
        <v>128</v>
      </c>
      <c r="V86" s="98">
        <v>127.7</v>
      </c>
      <c r="W86" s="98">
        <v>124.9</v>
      </c>
      <c r="X86" s="98">
        <v>123.9</v>
      </c>
      <c r="Y86" s="98">
        <v>124.8</v>
      </c>
      <c r="Z86" s="98">
        <v>124.3</v>
      </c>
      <c r="AA86" s="98">
        <v>124.6</v>
      </c>
      <c r="AB86" s="73">
        <v>126.4</v>
      </c>
      <c r="AC86" s="73">
        <v>127.3</v>
      </c>
      <c r="AD86" s="73">
        <v>128.19999999999999</v>
      </c>
      <c r="AE86" s="73">
        <v>129.19999999999999</v>
      </c>
      <c r="AF86" s="73">
        <v>131</v>
      </c>
      <c r="AG86" s="99"/>
      <c r="AH86" s="54">
        <f t="shared" si="22"/>
        <v>131</v>
      </c>
      <c r="AI86" s="55">
        <f t="shared" si="23"/>
        <v>123.9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128.5</v>
      </c>
      <c r="C87" s="73">
        <v>128.69999999999999</v>
      </c>
      <c r="D87" s="73">
        <v>129</v>
      </c>
      <c r="E87" s="73">
        <v>131.1</v>
      </c>
      <c r="F87" s="73">
        <v>128.9</v>
      </c>
      <c r="G87" s="73">
        <v>129.80000000000001</v>
      </c>
      <c r="H87" s="73">
        <v>128.30000000000001</v>
      </c>
      <c r="I87" s="73">
        <v>128.5</v>
      </c>
      <c r="J87" s="73">
        <v>131</v>
      </c>
      <c r="K87" s="73">
        <v>128.19999999999999</v>
      </c>
      <c r="L87" s="73">
        <v>128.19999999999999</v>
      </c>
      <c r="M87" s="73">
        <v>126</v>
      </c>
      <c r="N87" s="73">
        <v>125.6</v>
      </c>
      <c r="O87" s="73">
        <v>129.19999999999999</v>
      </c>
      <c r="P87" s="73">
        <v>127.7</v>
      </c>
      <c r="Q87" s="73">
        <v>129.30000000000001</v>
      </c>
      <c r="R87" s="73">
        <v>133</v>
      </c>
      <c r="S87" s="73">
        <v>129.80000000000001</v>
      </c>
      <c r="T87" s="73">
        <v>129.19999999999999</v>
      </c>
      <c r="U87" s="73">
        <v>131</v>
      </c>
      <c r="V87" s="73">
        <v>129.69999999999999</v>
      </c>
      <c r="W87" s="73">
        <v>130.9</v>
      </c>
      <c r="X87" s="98">
        <v>129.4</v>
      </c>
      <c r="Y87" s="73">
        <v>130.9</v>
      </c>
      <c r="Z87" s="73">
        <v>131.19999999999999</v>
      </c>
      <c r="AA87" s="73">
        <v>131.1</v>
      </c>
      <c r="AB87" s="73">
        <v>130.1</v>
      </c>
      <c r="AC87" s="73">
        <v>130.9</v>
      </c>
      <c r="AD87" s="73">
        <v>131.19999999999999</v>
      </c>
      <c r="AE87" s="73">
        <v>129.5</v>
      </c>
      <c r="AF87" s="73">
        <v>129.5</v>
      </c>
      <c r="AG87" s="99"/>
      <c r="AH87" s="54">
        <f t="shared" si="22"/>
        <v>133</v>
      </c>
      <c r="AI87" s="55">
        <f t="shared" si="23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132.80000000000001</v>
      </c>
      <c r="C88" s="73">
        <v>133.1</v>
      </c>
      <c r="D88" s="73">
        <v>133.4</v>
      </c>
      <c r="E88" s="73">
        <v>134.1</v>
      </c>
      <c r="F88" s="73">
        <v>132.30000000000001</v>
      </c>
      <c r="G88" s="73">
        <v>132.6</v>
      </c>
      <c r="H88" s="73">
        <v>131.30000000000001</v>
      </c>
      <c r="I88" s="73">
        <v>131.4</v>
      </c>
      <c r="J88" s="73">
        <v>133.9</v>
      </c>
      <c r="K88" s="73">
        <v>132.1</v>
      </c>
      <c r="L88" s="73">
        <v>132.1</v>
      </c>
      <c r="M88" s="73">
        <v>131.19999999999999</v>
      </c>
      <c r="N88" s="73">
        <v>131.30000000000001</v>
      </c>
      <c r="O88" s="73">
        <v>134.69999999999999</v>
      </c>
      <c r="P88" s="73">
        <v>131.5</v>
      </c>
      <c r="Q88" s="73">
        <v>133.30000000000001</v>
      </c>
      <c r="R88" s="73">
        <v>135.78</v>
      </c>
      <c r="S88" s="73">
        <v>132.80000000000001</v>
      </c>
      <c r="T88" s="73">
        <v>132.30000000000001</v>
      </c>
      <c r="U88" s="73">
        <v>133.69999999999999</v>
      </c>
      <c r="V88" s="73">
        <v>132.30000000000001</v>
      </c>
      <c r="W88" s="73">
        <v>128.80000000000001</v>
      </c>
      <c r="X88" s="98">
        <v>133.30000000000001</v>
      </c>
      <c r="Y88" s="73">
        <v>128.80000000000001</v>
      </c>
      <c r="Z88" s="73">
        <v>134.1</v>
      </c>
      <c r="AA88" s="73">
        <v>134.30000000000001</v>
      </c>
      <c r="AB88" s="73">
        <v>133.5</v>
      </c>
      <c r="AC88" s="73">
        <v>134.69999999999999</v>
      </c>
      <c r="AD88" s="73">
        <v>135.1</v>
      </c>
      <c r="AE88" s="73">
        <v>132.9</v>
      </c>
      <c r="AF88" s="73">
        <v>132.9</v>
      </c>
      <c r="AG88" s="99"/>
      <c r="AH88" s="54">
        <f t="shared" si="22"/>
        <v>135.78</v>
      </c>
      <c r="AI88" s="55">
        <f t="shared" si="23"/>
        <v>128.80000000000001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131.9</v>
      </c>
      <c r="C89" s="101">
        <v>132.1</v>
      </c>
      <c r="D89" s="101">
        <v>131.9</v>
      </c>
      <c r="E89" s="101">
        <v>134.9</v>
      </c>
      <c r="F89" s="101">
        <v>135.1</v>
      </c>
      <c r="G89" s="101">
        <v>133.6</v>
      </c>
      <c r="H89" s="101">
        <v>134</v>
      </c>
      <c r="I89" s="101">
        <v>133.30000000000001</v>
      </c>
      <c r="J89" s="101">
        <v>133.80000000000001</v>
      </c>
      <c r="K89" s="101">
        <v>133.9</v>
      </c>
      <c r="L89" s="101">
        <v>133.9</v>
      </c>
      <c r="M89" s="101">
        <v>132.4</v>
      </c>
      <c r="N89" s="101">
        <v>133.4</v>
      </c>
      <c r="O89" s="101">
        <v>135.19999999999999</v>
      </c>
      <c r="P89" s="101">
        <v>135.6</v>
      </c>
      <c r="Q89" s="101">
        <v>133.9</v>
      </c>
      <c r="R89" s="101">
        <v>130</v>
      </c>
      <c r="S89" s="101">
        <v>131.5</v>
      </c>
      <c r="T89" s="101">
        <v>131.69999999999999</v>
      </c>
      <c r="U89" s="101">
        <v>128</v>
      </c>
      <c r="V89" s="101">
        <v>136.1</v>
      </c>
      <c r="W89" s="101">
        <v>133.6</v>
      </c>
      <c r="X89" s="98">
        <v>134.69999999999999</v>
      </c>
      <c r="Y89" s="101">
        <v>133.6</v>
      </c>
      <c r="Z89" s="101">
        <v>133.1</v>
      </c>
      <c r="AA89" s="101">
        <v>134.1</v>
      </c>
      <c r="AB89" s="101">
        <v>133.5</v>
      </c>
      <c r="AC89" s="101">
        <v>134</v>
      </c>
      <c r="AD89" s="101">
        <v>134</v>
      </c>
      <c r="AE89" s="101">
        <v>133.1</v>
      </c>
      <c r="AF89" s="101">
        <v>134.5</v>
      </c>
      <c r="AG89" s="102"/>
      <c r="AH89" s="54">
        <f t="shared" si="22"/>
        <v>136.1</v>
      </c>
      <c r="AI89" s="55">
        <f t="shared" si="23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132.4</v>
      </c>
      <c r="C90" s="73">
        <v>132.19999999999999</v>
      </c>
      <c r="D90" s="73">
        <v>135.5</v>
      </c>
      <c r="E90" s="73">
        <v>134.6</v>
      </c>
      <c r="F90" s="73">
        <v>137.19999999999999</v>
      </c>
      <c r="G90" s="73">
        <v>134.5</v>
      </c>
      <c r="H90" s="73">
        <v>133.30000000000001</v>
      </c>
      <c r="I90" s="73">
        <v>134.80000000000001</v>
      </c>
      <c r="J90" s="73">
        <v>130.80000000000001</v>
      </c>
      <c r="K90" s="73">
        <v>136.30000000000001</v>
      </c>
      <c r="L90" s="73">
        <v>136.30000000000001</v>
      </c>
      <c r="M90" s="73">
        <v>131.1</v>
      </c>
      <c r="N90" s="73">
        <v>132.30000000000001</v>
      </c>
      <c r="O90" s="73">
        <v>132.69999999999999</v>
      </c>
      <c r="P90" s="73">
        <v>132.80000000000001</v>
      </c>
      <c r="Q90" s="73">
        <v>135.69999999999999</v>
      </c>
      <c r="R90" s="73">
        <v>134</v>
      </c>
      <c r="S90" s="73">
        <v>132.4</v>
      </c>
      <c r="T90" s="73">
        <v>132</v>
      </c>
      <c r="U90" s="73">
        <v>132</v>
      </c>
      <c r="V90" s="73">
        <v>131.9</v>
      </c>
      <c r="W90" s="73">
        <v>133.30000000000001</v>
      </c>
      <c r="X90" s="98">
        <v>130.1</v>
      </c>
      <c r="Y90" s="73">
        <v>133.30000000000001</v>
      </c>
      <c r="Z90" s="73">
        <v>133.5</v>
      </c>
      <c r="AA90" s="73">
        <v>131</v>
      </c>
      <c r="AB90" s="73">
        <v>133.4</v>
      </c>
      <c r="AC90" s="73">
        <v>134.9</v>
      </c>
      <c r="AD90" s="73">
        <v>135.30000000000001</v>
      </c>
      <c r="AE90" s="73">
        <v>133.5</v>
      </c>
      <c r="AF90" s="73">
        <v>136</v>
      </c>
      <c r="AG90" s="99"/>
      <c r="AH90" s="54">
        <f t="shared" si="22"/>
        <v>137.19999999999999</v>
      </c>
      <c r="AI90" s="55">
        <f t="shared" si="23"/>
        <v>130.1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65.400000000000006</v>
      </c>
      <c r="C91" s="103">
        <v>65.5</v>
      </c>
      <c r="D91" s="103">
        <v>65.7</v>
      </c>
      <c r="E91" s="103">
        <v>66</v>
      </c>
      <c r="F91" s="103">
        <v>66</v>
      </c>
      <c r="G91" s="103">
        <v>65.3</v>
      </c>
      <c r="H91" s="103">
        <v>64.8</v>
      </c>
      <c r="I91" s="103">
        <v>65.2</v>
      </c>
      <c r="J91" s="103">
        <v>65</v>
      </c>
      <c r="K91" s="103">
        <v>65.3</v>
      </c>
      <c r="L91" s="103">
        <v>65.3</v>
      </c>
      <c r="M91" s="103">
        <v>64.3</v>
      </c>
      <c r="N91" s="103">
        <v>64.099999999999994</v>
      </c>
      <c r="O91" s="103">
        <v>64.400000000000006</v>
      </c>
      <c r="P91" s="103">
        <v>64.599999999999994</v>
      </c>
      <c r="Q91" s="103">
        <v>64.900000000000006</v>
      </c>
      <c r="R91" s="103">
        <v>64.599999999999994</v>
      </c>
      <c r="S91" s="103">
        <v>65.2</v>
      </c>
      <c r="T91" s="103">
        <v>64.900000000000006</v>
      </c>
      <c r="U91" s="103">
        <v>64.8</v>
      </c>
      <c r="V91" s="103">
        <v>64.5</v>
      </c>
      <c r="W91" s="103">
        <v>63.5</v>
      </c>
      <c r="X91" s="103">
        <v>63</v>
      </c>
      <c r="Y91" s="103">
        <v>63.5</v>
      </c>
      <c r="Z91" s="103">
        <v>63.1</v>
      </c>
      <c r="AA91" s="103">
        <v>63.5</v>
      </c>
      <c r="AB91" s="103">
        <v>64.099999999999994</v>
      </c>
      <c r="AC91" s="103">
        <v>64.599999999999994</v>
      </c>
      <c r="AD91" s="103">
        <v>64.900000000000006</v>
      </c>
      <c r="AE91" s="103">
        <v>64.8</v>
      </c>
      <c r="AF91" s="103">
        <v>65.8</v>
      </c>
      <c r="AG91" s="104"/>
      <c r="AH91" s="54">
        <f t="shared" si="22"/>
        <v>66</v>
      </c>
      <c r="AI91" s="55">
        <f t="shared" si="23"/>
        <v>63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229.44</v>
      </c>
      <c r="C93" s="110">
        <f>SUM(C15,C18,C21:C22,C42,C44:C45,C47,C49,C94:C97,C102,C108,C114,C123,C125,C137,C144,C147:C148,C155,C157,C159,C163:C165,C167:C169,C174,C180:C181,C183:C185,C193,C198)</f>
        <v>198.64</v>
      </c>
      <c r="D93" s="110">
        <f t="shared" ref="D93:AF93" si="37">SUM(D15,D18,D21:D22,D42,D44:D45,D47,D49,D94:D97,D102,D108,D114,D123,D125,D137,D144,D147:D148,D155,D157,D159,D163:D165,D167:D169,D174,D180:D181,D183:D185,D193,D198)</f>
        <v>190.53999999999996</v>
      </c>
      <c r="E93" s="110">
        <f t="shared" si="37"/>
        <v>186.74</v>
      </c>
      <c r="F93" s="110">
        <f t="shared" si="37"/>
        <v>187.44</v>
      </c>
      <c r="G93" s="109">
        <f t="shared" si="37"/>
        <v>214.73999999999998</v>
      </c>
      <c r="H93" s="109">
        <f t="shared" si="37"/>
        <v>227.73999999999998</v>
      </c>
      <c r="I93" s="109">
        <f t="shared" si="37"/>
        <v>257.34000000000003</v>
      </c>
      <c r="J93" s="109">
        <f t="shared" si="37"/>
        <v>294.34000000000003</v>
      </c>
      <c r="K93" s="109">
        <f t="shared" si="37"/>
        <v>349.14000000000004</v>
      </c>
      <c r="L93" s="109">
        <f t="shared" si="37"/>
        <v>349.14000000000004</v>
      </c>
      <c r="M93" s="109">
        <f t="shared" si="37"/>
        <v>439.34000000000003</v>
      </c>
      <c r="N93" s="109">
        <f t="shared" si="37"/>
        <v>450.44000000000005</v>
      </c>
      <c r="O93" s="109">
        <f t="shared" si="37"/>
        <v>418.74</v>
      </c>
      <c r="P93" s="109">
        <f t="shared" si="37"/>
        <v>385.53999999999996</v>
      </c>
      <c r="Q93" s="109">
        <f t="shared" si="37"/>
        <v>359.04000000000008</v>
      </c>
      <c r="R93" s="109">
        <f t="shared" si="37"/>
        <v>324.84000000000003</v>
      </c>
      <c r="S93" s="109">
        <f t="shared" si="37"/>
        <v>282.64</v>
      </c>
      <c r="T93" s="109">
        <f t="shared" si="37"/>
        <v>213.23999999999998</v>
      </c>
      <c r="U93" s="109">
        <f t="shared" si="37"/>
        <v>309.84000000000003</v>
      </c>
      <c r="V93" s="109">
        <f t="shared" si="37"/>
        <v>365.14000000000004</v>
      </c>
      <c r="W93" s="109">
        <f t="shared" si="37"/>
        <v>427.94000000000005</v>
      </c>
      <c r="X93" s="109">
        <f t="shared" si="37"/>
        <v>456.6400000000001</v>
      </c>
      <c r="Y93" s="109">
        <f t="shared" si="37"/>
        <v>489.14</v>
      </c>
      <c r="Z93" s="109">
        <f t="shared" si="37"/>
        <v>484.64000000000004</v>
      </c>
      <c r="AA93" s="109">
        <f t="shared" si="37"/>
        <v>487.84000000000003</v>
      </c>
      <c r="AB93" s="109">
        <f t="shared" si="37"/>
        <v>458.74</v>
      </c>
      <c r="AC93" s="109">
        <f t="shared" si="37"/>
        <v>438.84000000000003</v>
      </c>
      <c r="AD93" s="109">
        <f t="shared" si="37"/>
        <v>414.94</v>
      </c>
      <c r="AE93" s="109">
        <f t="shared" si="37"/>
        <v>304.34000000000003</v>
      </c>
      <c r="AF93" s="109">
        <f t="shared" si="37"/>
        <v>237.93999999999994</v>
      </c>
      <c r="AG93" s="111"/>
      <c r="AH93" s="54">
        <f>MAX(C93:AF93)</f>
        <v>489.14</v>
      </c>
      <c r="AI93" s="55">
        <f>MIN(C93:AF93)</f>
        <v>186.74</v>
      </c>
    </row>
    <row r="94" spans="1:88" x14ac:dyDescent="0.25">
      <c r="A94" s="112" t="s">
        <v>98</v>
      </c>
      <c r="B94" s="113">
        <v>37</v>
      </c>
      <c r="C94" s="58">
        <v>35.5</v>
      </c>
      <c r="D94" s="58">
        <v>29.2</v>
      </c>
      <c r="E94" s="58">
        <v>26.3</v>
      </c>
      <c r="F94" s="58">
        <v>30</v>
      </c>
      <c r="G94" s="114">
        <v>27</v>
      </c>
      <c r="H94" s="114">
        <v>29</v>
      </c>
      <c r="I94" s="114">
        <v>25</v>
      </c>
      <c r="J94" s="114">
        <v>65.599999999999994</v>
      </c>
      <c r="K94" s="114">
        <v>65.400000000000006</v>
      </c>
      <c r="L94" s="114">
        <v>65.400000000000006</v>
      </c>
      <c r="M94" s="113">
        <v>54.9</v>
      </c>
      <c r="N94" s="113">
        <v>50.2</v>
      </c>
      <c r="O94" s="113">
        <v>47.5</v>
      </c>
      <c r="P94" s="113">
        <v>48.6</v>
      </c>
      <c r="Q94" s="114">
        <v>30.9</v>
      </c>
      <c r="R94" s="114">
        <v>2.2000000000000002</v>
      </c>
      <c r="S94" s="114">
        <v>-1.8</v>
      </c>
      <c r="T94" s="114">
        <v>1.6</v>
      </c>
      <c r="U94" s="113">
        <v>-0.9</v>
      </c>
      <c r="V94" s="113">
        <v>67.5</v>
      </c>
      <c r="W94" s="113">
        <v>73.3</v>
      </c>
      <c r="X94" s="114">
        <v>76.900000000000006</v>
      </c>
      <c r="Y94" s="114">
        <v>80.7</v>
      </c>
      <c r="Z94" s="114">
        <v>93</v>
      </c>
      <c r="AA94" s="114">
        <v>97.5</v>
      </c>
      <c r="AB94" s="113">
        <v>79.5</v>
      </c>
      <c r="AC94" s="113">
        <v>81.8</v>
      </c>
      <c r="AD94" s="113">
        <v>80.5</v>
      </c>
      <c r="AE94" s="113">
        <v>68.2</v>
      </c>
      <c r="AF94" s="113">
        <v>66.5</v>
      </c>
      <c r="AG94" s="115">
        <v>75</v>
      </c>
      <c r="AH94" s="54">
        <f t="shared" ref="AH94:AH99" si="38">IF(ABS(MAX(C94:AF94))&gt;ABS(MIN(C94:AF94)),MAX(C94:AF94),MIN(C94:AF94))</f>
        <v>97.5</v>
      </c>
      <c r="AI94" s="116">
        <f t="shared" ref="AI94:AI99" si="39">INDEX($C$9:$AF$9,1,MATCH(AH94,C94:AF94,0))</f>
        <v>0.8125</v>
      </c>
    </row>
    <row r="95" spans="1:88" x14ac:dyDescent="0.25">
      <c r="A95" s="117" t="s">
        <v>99</v>
      </c>
      <c r="B95" s="73">
        <v>-50</v>
      </c>
      <c r="C95" s="60">
        <f>-36.7-40.7</f>
        <v>-77.400000000000006</v>
      </c>
      <c r="D95" s="60">
        <f>-39.3-42.2</f>
        <v>-81.5</v>
      </c>
      <c r="E95" s="60">
        <v>-81</v>
      </c>
      <c r="F95" s="60">
        <v>-82</v>
      </c>
      <c r="G95" s="60">
        <v>-68</v>
      </c>
      <c r="H95" s="60">
        <v>-63</v>
      </c>
      <c r="I95" s="60">
        <v>-48</v>
      </c>
      <c r="J95" s="60">
        <v>-4</v>
      </c>
      <c r="K95" s="60">
        <v>-15</v>
      </c>
      <c r="L95" s="60">
        <v>-15</v>
      </c>
      <c r="M95" s="60">
        <v>27.2</v>
      </c>
      <c r="N95" s="60">
        <v>37</v>
      </c>
      <c r="O95" s="60">
        <v>53</v>
      </c>
      <c r="P95" s="60">
        <v>26.1</v>
      </c>
      <c r="Q95" s="60">
        <v>12.3</v>
      </c>
      <c r="R95" s="60">
        <v>0</v>
      </c>
      <c r="S95" s="60">
        <v>0</v>
      </c>
      <c r="T95" s="60">
        <f>-1.4-1.8</f>
        <v>-3.2</v>
      </c>
      <c r="U95" s="60">
        <v>3.5</v>
      </c>
      <c r="V95" s="60">
        <f>2.1+2.4</f>
        <v>4.5</v>
      </c>
      <c r="W95" s="60">
        <f>22.4+20.6</f>
        <v>43</v>
      </c>
      <c r="X95" s="60">
        <v>55.400000000000006</v>
      </c>
      <c r="Y95" s="60">
        <f>28.3+26</f>
        <v>54.3</v>
      </c>
      <c r="Z95" s="60">
        <f>28.1+27</f>
        <v>55.1</v>
      </c>
      <c r="AA95" s="60">
        <f>26.2+24</f>
        <v>50.2</v>
      </c>
      <c r="AB95" s="73">
        <v>54</v>
      </c>
      <c r="AC95" s="73">
        <v>32</v>
      </c>
      <c r="AD95" s="73">
        <v>17.2</v>
      </c>
      <c r="AE95" s="73">
        <v>-33.9</v>
      </c>
      <c r="AF95" s="73">
        <v>-57</v>
      </c>
      <c r="AG95" s="115">
        <v>240</v>
      </c>
      <c r="AH95" s="54">
        <f t="shared" si="38"/>
        <v>-82</v>
      </c>
      <c r="AI95" s="116">
        <f t="shared" si="39"/>
        <v>0.16666666666666699</v>
      </c>
    </row>
    <row r="96" spans="1:88" x14ac:dyDescent="0.25">
      <c r="A96" s="117" t="s">
        <v>100</v>
      </c>
      <c r="B96" s="73">
        <v>10</v>
      </c>
      <c r="C96" s="60">
        <v>17.899999999999999</v>
      </c>
      <c r="D96" s="60">
        <v>17.7</v>
      </c>
      <c r="E96" s="60">
        <v>17.7</v>
      </c>
      <c r="F96" s="60">
        <v>17.7</v>
      </c>
      <c r="G96" s="60">
        <v>16</v>
      </c>
      <c r="H96" s="60">
        <v>16</v>
      </c>
      <c r="I96" s="60">
        <v>15.6</v>
      </c>
      <c r="J96" s="60">
        <v>15</v>
      </c>
      <c r="K96" s="60">
        <v>24</v>
      </c>
      <c r="L96" s="60">
        <v>24</v>
      </c>
      <c r="M96" s="60">
        <v>57.8</v>
      </c>
      <c r="N96" s="60">
        <v>62.6</v>
      </c>
      <c r="O96" s="60">
        <v>26.7</v>
      </c>
      <c r="P96" s="60">
        <v>32.9</v>
      </c>
      <c r="Q96" s="60">
        <v>16.7</v>
      </c>
      <c r="R96" s="60">
        <v>17.600000000000001</v>
      </c>
      <c r="S96" s="60">
        <f>-2.4-3.2</f>
        <v>-5.6</v>
      </c>
      <c r="T96" s="60">
        <v>12.5</v>
      </c>
      <c r="U96" s="60">
        <v>14.2</v>
      </c>
      <c r="V96" s="60">
        <v>19.2</v>
      </c>
      <c r="W96" s="60">
        <v>39.700000000000003</v>
      </c>
      <c r="X96" s="60">
        <v>45.3</v>
      </c>
      <c r="Y96" s="60">
        <v>59.2</v>
      </c>
      <c r="Z96" s="60">
        <v>45.7</v>
      </c>
      <c r="AA96" s="60">
        <v>46.8</v>
      </c>
      <c r="AB96" s="73">
        <v>48.8</v>
      </c>
      <c r="AC96" s="73">
        <v>39.4</v>
      </c>
      <c r="AD96" s="73">
        <v>40</v>
      </c>
      <c r="AE96" s="73">
        <v>18.399999999999999</v>
      </c>
      <c r="AF96" s="73">
        <v>18.7</v>
      </c>
      <c r="AG96" s="115">
        <v>60</v>
      </c>
      <c r="AH96" s="54">
        <f t="shared" si="38"/>
        <v>62.6</v>
      </c>
      <c r="AI96" s="116">
        <f t="shared" si="39"/>
        <v>0.375</v>
      </c>
    </row>
    <row r="97" spans="1:37" x14ac:dyDescent="0.25">
      <c r="A97" s="118" t="s">
        <v>101</v>
      </c>
      <c r="B97" s="119">
        <v>39</v>
      </c>
      <c r="C97" s="63">
        <v>30</v>
      </c>
      <c r="D97" s="63">
        <v>32.4</v>
      </c>
      <c r="E97" s="63">
        <v>31</v>
      </c>
      <c r="F97" s="63">
        <v>29</v>
      </c>
      <c r="G97" s="63">
        <v>47</v>
      </c>
      <c r="H97" s="63">
        <v>53</v>
      </c>
      <c r="I97" s="63">
        <v>72</v>
      </c>
      <c r="J97" s="63">
        <v>25</v>
      </c>
      <c r="K97" s="63">
        <v>82</v>
      </c>
      <c r="L97" s="63">
        <v>82</v>
      </c>
      <c r="M97" s="63">
        <v>106.6</v>
      </c>
      <c r="N97" s="63">
        <v>107.8</v>
      </c>
      <c r="O97" s="63">
        <v>98.7</v>
      </c>
      <c r="P97" s="63">
        <v>84.9</v>
      </c>
      <c r="Q97" s="63">
        <v>106</v>
      </c>
      <c r="R97" s="63">
        <v>112</v>
      </c>
      <c r="S97" s="63">
        <v>97</v>
      </c>
      <c r="T97" s="63">
        <v>9.3000000000000007</v>
      </c>
      <c r="U97" s="63">
        <v>100</v>
      </c>
      <c r="V97" s="63">
        <v>85.3</v>
      </c>
      <c r="W97" s="63">
        <v>78.3</v>
      </c>
      <c r="X97" s="63">
        <v>85.4</v>
      </c>
      <c r="Y97" s="63">
        <v>96.4</v>
      </c>
      <c r="Z97" s="63">
        <v>93.3</v>
      </c>
      <c r="AA97" s="63">
        <v>91.7</v>
      </c>
      <c r="AB97" s="119">
        <v>81.900000000000006</v>
      </c>
      <c r="AC97" s="119">
        <v>91.1</v>
      </c>
      <c r="AD97" s="119">
        <v>82.7</v>
      </c>
      <c r="AE97" s="119">
        <v>57.1</v>
      </c>
      <c r="AF97" s="119">
        <v>15.2</v>
      </c>
      <c r="AG97" s="120">
        <v>120</v>
      </c>
      <c r="AH97" s="54">
        <f t="shared" si="38"/>
        <v>112</v>
      </c>
      <c r="AI97" s="116">
        <f t="shared" si="39"/>
        <v>0.54166666666666696</v>
      </c>
    </row>
    <row r="98" spans="1:37" x14ac:dyDescent="0.25">
      <c r="A98" s="118" t="s">
        <v>102</v>
      </c>
      <c r="B98" s="119">
        <v>54</v>
      </c>
      <c r="C98" s="63">
        <v>47.1</v>
      </c>
      <c r="D98" s="63">
        <v>48.7</v>
      </c>
      <c r="E98" s="63">
        <v>49</v>
      </c>
      <c r="F98" s="63">
        <v>47</v>
      </c>
      <c r="G98" s="63">
        <v>60</v>
      </c>
      <c r="H98" s="63">
        <v>62</v>
      </c>
      <c r="I98" s="63">
        <v>76</v>
      </c>
      <c r="J98" s="63">
        <v>85</v>
      </c>
      <c r="K98" s="63">
        <v>81</v>
      </c>
      <c r="L98" s="63">
        <v>81</v>
      </c>
      <c r="M98" s="63">
        <v>95.6</v>
      </c>
      <c r="N98" s="63">
        <v>82.6</v>
      </c>
      <c r="O98" s="63">
        <v>102.3</v>
      </c>
      <c r="P98" s="63">
        <v>86.5</v>
      </c>
      <c r="Q98" s="63">
        <v>90</v>
      </c>
      <c r="R98" s="63">
        <v>98.3</v>
      </c>
      <c r="S98" s="63">
        <v>89.5</v>
      </c>
      <c r="T98" s="63">
        <v>87.7</v>
      </c>
      <c r="U98" s="63">
        <v>93.6</v>
      </c>
      <c r="V98" s="63">
        <v>60.3</v>
      </c>
      <c r="W98" s="63">
        <v>90.3</v>
      </c>
      <c r="X98" s="63">
        <v>93.3</v>
      </c>
      <c r="Y98" s="63">
        <v>97.1</v>
      </c>
      <c r="Z98" s="63">
        <v>88.2</v>
      </c>
      <c r="AA98" s="63">
        <v>78.3</v>
      </c>
      <c r="AB98" s="119">
        <v>90.2</v>
      </c>
      <c r="AC98" s="119">
        <v>79.099999999999994</v>
      </c>
      <c r="AD98" s="119">
        <v>70</v>
      </c>
      <c r="AE98" s="119">
        <v>53</v>
      </c>
      <c r="AF98" s="119">
        <v>23.3</v>
      </c>
      <c r="AG98" s="120"/>
      <c r="AH98" s="54">
        <f t="shared" si="38"/>
        <v>102.3</v>
      </c>
      <c r="AI98" s="116">
        <f t="shared" si="39"/>
        <v>0.41666666666666702</v>
      </c>
    </row>
    <row r="99" spans="1:37" ht="15.75" thickBot="1" x14ac:dyDescent="0.3">
      <c r="A99" s="118" t="s">
        <v>217</v>
      </c>
      <c r="B99" s="119">
        <v>45</v>
      </c>
      <c r="C99" s="63">
        <v>49.6</v>
      </c>
      <c r="D99" s="63">
        <v>53.4</v>
      </c>
      <c r="E99" s="63">
        <v>55</v>
      </c>
      <c r="F99" s="63">
        <v>52</v>
      </c>
      <c r="G99" s="63">
        <v>48</v>
      </c>
      <c r="H99" s="63">
        <v>45</v>
      </c>
      <c r="I99" s="63">
        <v>50</v>
      </c>
      <c r="J99" s="63">
        <v>37</v>
      </c>
      <c r="K99" s="63">
        <v>40</v>
      </c>
      <c r="L99" s="63">
        <v>40</v>
      </c>
      <c r="M99" s="63">
        <v>47.6</v>
      </c>
      <c r="N99" s="63">
        <v>46.3</v>
      </c>
      <c r="O99" s="63">
        <v>40.200000000000003</v>
      </c>
      <c r="P99" s="63">
        <v>29.4</v>
      </c>
      <c r="Q99" s="63">
        <v>47.8</v>
      </c>
      <c r="R99" s="63">
        <v>61.3</v>
      </c>
      <c r="S99" s="63">
        <v>62.2</v>
      </c>
      <c r="T99" s="63">
        <v>63.9</v>
      </c>
      <c r="U99" s="63">
        <v>70.599999999999994</v>
      </c>
      <c r="V99" s="63">
        <v>17.3</v>
      </c>
      <c r="W99" s="63">
        <v>25.5</v>
      </c>
      <c r="X99" s="63">
        <v>10.199999999999999</v>
      </c>
      <c r="Y99" s="63">
        <v>6.8</v>
      </c>
      <c r="Z99" s="63">
        <v>-1.8</v>
      </c>
      <c r="AA99" s="63">
        <v>-6.6</v>
      </c>
      <c r="AB99" s="119">
        <v>17.5</v>
      </c>
      <c r="AC99" s="119">
        <v>13.9</v>
      </c>
      <c r="AD99" s="119">
        <v>10.5</v>
      </c>
      <c r="AE99" s="119">
        <v>15.6</v>
      </c>
      <c r="AF99" s="119">
        <v>17.399999999999999</v>
      </c>
      <c r="AG99" s="121"/>
      <c r="AH99" s="54">
        <f t="shared" si="38"/>
        <v>70.599999999999994</v>
      </c>
      <c r="AI99" s="116">
        <f t="shared" si="39"/>
        <v>0.66666666666666696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40">AF101</f>
        <v>9.9</v>
      </c>
      <c r="C101" s="53">
        <v>9.9</v>
      </c>
      <c r="D101" s="127">
        <f t="shared" ref="D101:S106" si="41">C101</f>
        <v>9.9</v>
      </c>
      <c r="E101" s="127">
        <f t="shared" si="41"/>
        <v>9.9</v>
      </c>
      <c r="F101" s="127">
        <f t="shared" si="41"/>
        <v>9.9</v>
      </c>
      <c r="G101" s="127">
        <f t="shared" si="41"/>
        <v>9.9</v>
      </c>
      <c r="H101" s="127">
        <f t="shared" si="41"/>
        <v>9.9</v>
      </c>
      <c r="I101" s="127">
        <f t="shared" si="41"/>
        <v>9.9</v>
      </c>
      <c r="J101" s="127">
        <f t="shared" si="41"/>
        <v>9.9</v>
      </c>
      <c r="K101" s="127">
        <f t="shared" si="41"/>
        <v>9.9</v>
      </c>
      <c r="L101" s="127">
        <f t="shared" si="41"/>
        <v>9.9</v>
      </c>
      <c r="M101" s="127">
        <f t="shared" si="41"/>
        <v>9.9</v>
      </c>
      <c r="N101" s="127">
        <f t="shared" si="41"/>
        <v>9.9</v>
      </c>
      <c r="O101" s="127">
        <f t="shared" si="41"/>
        <v>9.9</v>
      </c>
      <c r="P101" s="127">
        <f t="shared" si="41"/>
        <v>9.9</v>
      </c>
      <c r="Q101" s="127">
        <f t="shared" si="41"/>
        <v>9.9</v>
      </c>
      <c r="R101" s="127">
        <f t="shared" si="41"/>
        <v>9.9</v>
      </c>
      <c r="S101" s="127">
        <f t="shared" si="41"/>
        <v>9.9</v>
      </c>
      <c r="T101" s="127">
        <f t="shared" ref="T101:AF106" si="42">S101</f>
        <v>9.9</v>
      </c>
      <c r="U101" s="127">
        <f t="shared" si="42"/>
        <v>9.9</v>
      </c>
      <c r="V101" s="127">
        <f t="shared" si="42"/>
        <v>9.9</v>
      </c>
      <c r="W101" s="127">
        <f t="shared" si="42"/>
        <v>9.9</v>
      </c>
      <c r="X101" s="127">
        <f t="shared" si="42"/>
        <v>9.9</v>
      </c>
      <c r="Y101" s="127">
        <f t="shared" si="42"/>
        <v>9.9</v>
      </c>
      <c r="Z101" s="127">
        <f t="shared" si="42"/>
        <v>9.9</v>
      </c>
      <c r="AA101" s="127">
        <f t="shared" si="42"/>
        <v>9.9</v>
      </c>
      <c r="AB101" s="127">
        <f t="shared" si="42"/>
        <v>9.9</v>
      </c>
      <c r="AC101" s="127">
        <f t="shared" si="42"/>
        <v>9.9</v>
      </c>
      <c r="AD101" s="127">
        <f t="shared" si="42"/>
        <v>9.9</v>
      </c>
      <c r="AE101" s="127">
        <f t="shared" si="42"/>
        <v>9.9</v>
      </c>
      <c r="AF101" s="127">
        <f t="shared" si="42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40"/>
        <v>9.6</v>
      </c>
      <c r="C102" s="130">
        <v>9.6</v>
      </c>
      <c r="D102" s="129">
        <f t="shared" si="41"/>
        <v>9.6</v>
      </c>
      <c r="E102" s="129">
        <f t="shared" si="41"/>
        <v>9.6</v>
      </c>
      <c r="F102" s="129">
        <f t="shared" si="41"/>
        <v>9.6</v>
      </c>
      <c r="G102" s="129">
        <f t="shared" si="41"/>
        <v>9.6</v>
      </c>
      <c r="H102" s="129">
        <f t="shared" si="41"/>
        <v>9.6</v>
      </c>
      <c r="I102" s="129">
        <f t="shared" si="41"/>
        <v>9.6</v>
      </c>
      <c r="J102" s="129">
        <f t="shared" si="41"/>
        <v>9.6</v>
      </c>
      <c r="K102" s="129">
        <f t="shared" si="41"/>
        <v>9.6</v>
      </c>
      <c r="L102" s="129">
        <f t="shared" si="41"/>
        <v>9.6</v>
      </c>
      <c r="M102" s="129">
        <f t="shared" si="41"/>
        <v>9.6</v>
      </c>
      <c r="N102" s="129">
        <f t="shared" si="41"/>
        <v>9.6</v>
      </c>
      <c r="O102" s="129">
        <f t="shared" si="41"/>
        <v>9.6</v>
      </c>
      <c r="P102" s="129">
        <f t="shared" si="41"/>
        <v>9.6</v>
      </c>
      <c r="Q102" s="129">
        <f t="shared" si="41"/>
        <v>9.6</v>
      </c>
      <c r="R102" s="129">
        <f t="shared" si="41"/>
        <v>9.6</v>
      </c>
      <c r="S102" s="129">
        <f t="shared" si="41"/>
        <v>9.6</v>
      </c>
      <c r="T102" s="129">
        <f t="shared" si="42"/>
        <v>9.6</v>
      </c>
      <c r="U102" s="129">
        <f t="shared" si="42"/>
        <v>9.6</v>
      </c>
      <c r="V102" s="129">
        <f t="shared" si="42"/>
        <v>9.6</v>
      </c>
      <c r="W102" s="129">
        <f t="shared" si="42"/>
        <v>9.6</v>
      </c>
      <c r="X102" s="129">
        <f t="shared" si="42"/>
        <v>9.6</v>
      </c>
      <c r="Y102" s="129">
        <f t="shared" si="42"/>
        <v>9.6</v>
      </c>
      <c r="Z102" s="129">
        <f t="shared" si="42"/>
        <v>9.6</v>
      </c>
      <c r="AA102" s="129">
        <f t="shared" si="42"/>
        <v>9.6</v>
      </c>
      <c r="AB102" s="129">
        <f t="shared" si="42"/>
        <v>9.6</v>
      </c>
      <c r="AC102" s="129">
        <f t="shared" si="42"/>
        <v>9.6</v>
      </c>
      <c r="AD102" s="129">
        <f t="shared" si="42"/>
        <v>9.6</v>
      </c>
      <c r="AE102" s="129">
        <f t="shared" si="42"/>
        <v>9.6</v>
      </c>
      <c r="AF102" s="129">
        <f t="shared" si="42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0"/>
        <v>9.98</v>
      </c>
      <c r="C103" s="130">
        <v>9.98</v>
      </c>
      <c r="D103" s="129">
        <f t="shared" si="41"/>
        <v>9.98</v>
      </c>
      <c r="E103" s="129">
        <f t="shared" si="41"/>
        <v>9.98</v>
      </c>
      <c r="F103" s="129">
        <f t="shared" si="41"/>
        <v>9.98</v>
      </c>
      <c r="G103" s="129">
        <f t="shared" si="41"/>
        <v>9.98</v>
      </c>
      <c r="H103" s="129">
        <f t="shared" si="41"/>
        <v>9.98</v>
      </c>
      <c r="I103" s="129">
        <f t="shared" si="41"/>
        <v>9.98</v>
      </c>
      <c r="J103" s="129">
        <f t="shared" si="41"/>
        <v>9.98</v>
      </c>
      <c r="K103" s="129">
        <f t="shared" si="41"/>
        <v>9.98</v>
      </c>
      <c r="L103" s="129">
        <f t="shared" si="41"/>
        <v>9.98</v>
      </c>
      <c r="M103" s="129">
        <f t="shared" si="41"/>
        <v>9.98</v>
      </c>
      <c r="N103" s="129">
        <f t="shared" si="41"/>
        <v>9.98</v>
      </c>
      <c r="O103" s="129">
        <f t="shared" si="41"/>
        <v>9.98</v>
      </c>
      <c r="P103" s="129">
        <f t="shared" si="41"/>
        <v>9.98</v>
      </c>
      <c r="Q103" s="129">
        <f t="shared" si="41"/>
        <v>9.98</v>
      </c>
      <c r="R103" s="129">
        <f t="shared" si="41"/>
        <v>9.98</v>
      </c>
      <c r="S103" s="129">
        <f t="shared" si="41"/>
        <v>9.98</v>
      </c>
      <c r="T103" s="129">
        <f t="shared" si="42"/>
        <v>9.98</v>
      </c>
      <c r="U103" s="129">
        <f t="shared" si="42"/>
        <v>9.98</v>
      </c>
      <c r="V103" s="129">
        <f t="shared" si="42"/>
        <v>9.98</v>
      </c>
      <c r="W103" s="129">
        <f t="shared" si="42"/>
        <v>9.98</v>
      </c>
      <c r="X103" s="129">
        <f t="shared" si="42"/>
        <v>9.98</v>
      </c>
      <c r="Y103" s="129">
        <f t="shared" si="42"/>
        <v>9.98</v>
      </c>
      <c r="Z103" s="129">
        <f t="shared" si="42"/>
        <v>9.98</v>
      </c>
      <c r="AA103" s="129">
        <f t="shared" si="42"/>
        <v>9.98</v>
      </c>
      <c r="AB103" s="129">
        <f t="shared" si="42"/>
        <v>9.98</v>
      </c>
      <c r="AC103" s="129">
        <f t="shared" si="42"/>
        <v>9.98</v>
      </c>
      <c r="AD103" s="129">
        <f t="shared" si="42"/>
        <v>9.98</v>
      </c>
      <c r="AE103" s="129">
        <f t="shared" si="42"/>
        <v>9.98</v>
      </c>
      <c r="AF103" s="129">
        <f t="shared" si="42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0"/>
        <v>9.1</v>
      </c>
      <c r="C104" s="130">
        <v>9.1</v>
      </c>
      <c r="D104" s="129">
        <f t="shared" si="41"/>
        <v>9.1</v>
      </c>
      <c r="E104" s="129">
        <f t="shared" si="41"/>
        <v>9.1</v>
      </c>
      <c r="F104" s="129">
        <f t="shared" si="41"/>
        <v>9.1</v>
      </c>
      <c r="G104" s="129">
        <f t="shared" si="41"/>
        <v>9.1</v>
      </c>
      <c r="H104" s="129">
        <f t="shared" si="41"/>
        <v>9.1</v>
      </c>
      <c r="I104" s="129">
        <f t="shared" si="41"/>
        <v>9.1</v>
      </c>
      <c r="J104" s="129">
        <f t="shared" si="41"/>
        <v>9.1</v>
      </c>
      <c r="K104" s="129">
        <f t="shared" si="41"/>
        <v>9.1</v>
      </c>
      <c r="L104" s="129">
        <f t="shared" si="41"/>
        <v>9.1</v>
      </c>
      <c r="M104" s="129">
        <f t="shared" si="41"/>
        <v>9.1</v>
      </c>
      <c r="N104" s="129">
        <f t="shared" si="41"/>
        <v>9.1</v>
      </c>
      <c r="O104" s="129">
        <f t="shared" si="41"/>
        <v>9.1</v>
      </c>
      <c r="P104" s="129">
        <f t="shared" si="41"/>
        <v>9.1</v>
      </c>
      <c r="Q104" s="129">
        <f t="shared" si="41"/>
        <v>9.1</v>
      </c>
      <c r="R104" s="129">
        <f t="shared" si="41"/>
        <v>9.1</v>
      </c>
      <c r="S104" s="129">
        <f t="shared" si="41"/>
        <v>9.1</v>
      </c>
      <c r="T104" s="129">
        <f t="shared" si="42"/>
        <v>9.1</v>
      </c>
      <c r="U104" s="129">
        <f t="shared" si="42"/>
        <v>9.1</v>
      </c>
      <c r="V104" s="129">
        <f t="shared" si="42"/>
        <v>9.1</v>
      </c>
      <c r="W104" s="129">
        <f t="shared" si="42"/>
        <v>9.1</v>
      </c>
      <c r="X104" s="129">
        <f t="shared" si="42"/>
        <v>9.1</v>
      </c>
      <c r="Y104" s="129">
        <f t="shared" si="42"/>
        <v>9.1</v>
      </c>
      <c r="Z104" s="129">
        <f t="shared" si="42"/>
        <v>9.1</v>
      </c>
      <c r="AA104" s="129">
        <f t="shared" si="42"/>
        <v>9.1</v>
      </c>
      <c r="AB104" s="129">
        <f t="shared" si="42"/>
        <v>9.1</v>
      </c>
      <c r="AC104" s="129">
        <f t="shared" si="42"/>
        <v>9.1</v>
      </c>
      <c r="AD104" s="129">
        <f t="shared" si="42"/>
        <v>9.1</v>
      </c>
      <c r="AE104" s="129">
        <f t="shared" si="42"/>
        <v>9.1</v>
      </c>
      <c r="AF104" s="129">
        <f t="shared" si="42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0"/>
        <v>9.18</v>
      </c>
      <c r="C105" s="130">
        <v>9.18</v>
      </c>
      <c r="D105" s="129">
        <f t="shared" si="41"/>
        <v>9.18</v>
      </c>
      <c r="E105" s="129">
        <f t="shared" si="41"/>
        <v>9.18</v>
      </c>
      <c r="F105" s="129">
        <f t="shared" si="41"/>
        <v>9.18</v>
      </c>
      <c r="G105" s="129">
        <f t="shared" si="41"/>
        <v>9.18</v>
      </c>
      <c r="H105" s="129">
        <f t="shared" si="41"/>
        <v>9.18</v>
      </c>
      <c r="I105" s="129">
        <f t="shared" si="41"/>
        <v>9.18</v>
      </c>
      <c r="J105" s="129">
        <f t="shared" si="41"/>
        <v>9.18</v>
      </c>
      <c r="K105" s="129">
        <f t="shared" si="41"/>
        <v>9.18</v>
      </c>
      <c r="L105" s="129">
        <f t="shared" si="41"/>
        <v>9.18</v>
      </c>
      <c r="M105" s="129">
        <f t="shared" si="41"/>
        <v>9.18</v>
      </c>
      <c r="N105" s="129">
        <f t="shared" si="41"/>
        <v>9.18</v>
      </c>
      <c r="O105" s="129">
        <f t="shared" si="41"/>
        <v>9.18</v>
      </c>
      <c r="P105" s="129">
        <f t="shared" si="41"/>
        <v>9.18</v>
      </c>
      <c r="Q105" s="129">
        <f t="shared" si="41"/>
        <v>9.18</v>
      </c>
      <c r="R105" s="129">
        <f t="shared" si="41"/>
        <v>9.18</v>
      </c>
      <c r="S105" s="129">
        <f t="shared" si="41"/>
        <v>9.18</v>
      </c>
      <c r="T105" s="129">
        <f t="shared" si="42"/>
        <v>9.18</v>
      </c>
      <c r="U105" s="129">
        <f t="shared" si="42"/>
        <v>9.18</v>
      </c>
      <c r="V105" s="129">
        <f t="shared" si="42"/>
        <v>9.18</v>
      </c>
      <c r="W105" s="129">
        <f t="shared" si="42"/>
        <v>9.18</v>
      </c>
      <c r="X105" s="129">
        <f t="shared" si="42"/>
        <v>9.18</v>
      </c>
      <c r="Y105" s="129">
        <f t="shared" si="42"/>
        <v>9.18</v>
      </c>
      <c r="Z105" s="129">
        <f t="shared" si="42"/>
        <v>9.18</v>
      </c>
      <c r="AA105" s="129">
        <f t="shared" si="42"/>
        <v>9.18</v>
      </c>
      <c r="AB105" s="129">
        <f t="shared" si="42"/>
        <v>9.18</v>
      </c>
      <c r="AC105" s="129">
        <f t="shared" si="42"/>
        <v>9.18</v>
      </c>
      <c r="AD105" s="129">
        <f t="shared" si="42"/>
        <v>9.18</v>
      </c>
      <c r="AE105" s="129">
        <f t="shared" si="42"/>
        <v>9.18</v>
      </c>
      <c r="AF105" s="129">
        <f t="shared" si="42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0"/>
        <v>7</v>
      </c>
      <c r="C106" s="130">
        <v>7</v>
      </c>
      <c r="D106" s="129">
        <f t="shared" si="41"/>
        <v>7</v>
      </c>
      <c r="E106" s="129">
        <f t="shared" si="41"/>
        <v>7</v>
      </c>
      <c r="F106" s="129">
        <f t="shared" si="41"/>
        <v>7</v>
      </c>
      <c r="G106" s="129">
        <f t="shared" si="41"/>
        <v>7</v>
      </c>
      <c r="H106" s="129">
        <f t="shared" si="41"/>
        <v>7</v>
      </c>
      <c r="I106" s="129">
        <f t="shared" si="41"/>
        <v>7</v>
      </c>
      <c r="J106" s="129">
        <f t="shared" si="41"/>
        <v>7</v>
      </c>
      <c r="K106" s="129">
        <f t="shared" si="41"/>
        <v>7</v>
      </c>
      <c r="L106" s="129">
        <f t="shared" si="41"/>
        <v>7</v>
      </c>
      <c r="M106" s="129">
        <f t="shared" si="41"/>
        <v>7</v>
      </c>
      <c r="N106" s="129">
        <f t="shared" si="41"/>
        <v>7</v>
      </c>
      <c r="O106" s="129">
        <f t="shared" si="41"/>
        <v>7</v>
      </c>
      <c r="P106" s="129">
        <f t="shared" si="41"/>
        <v>7</v>
      </c>
      <c r="Q106" s="129">
        <f t="shared" si="41"/>
        <v>7</v>
      </c>
      <c r="R106" s="129">
        <f t="shared" si="41"/>
        <v>7</v>
      </c>
      <c r="S106" s="129">
        <f t="shared" si="41"/>
        <v>7</v>
      </c>
      <c r="T106" s="129">
        <f t="shared" si="42"/>
        <v>7</v>
      </c>
      <c r="U106" s="129">
        <f t="shared" si="42"/>
        <v>7</v>
      </c>
      <c r="V106" s="129">
        <f t="shared" si="42"/>
        <v>7</v>
      </c>
      <c r="W106" s="129">
        <f t="shared" si="42"/>
        <v>7</v>
      </c>
      <c r="X106" s="129">
        <f t="shared" si="42"/>
        <v>7</v>
      </c>
      <c r="Y106" s="129">
        <f t="shared" si="42"/>
        <v>7</v>
      </c>
      <c r="Z106" s="129">
        <f t="shared" si="42"/>
        <v>7</v>
      </c>
      <c r="AA106" s="129">
        <f t="shared" si="42"/>
        <v>7</v>
      </c>
      <c r="AB106" s="129">
        <f t="shared" si="42"/>
        <v>7</v>
      </c>
      <c r="AC106" s="129">
        <f t="shared" si="42"/>
        <v>7</v>
      </c>
      <c r="AD106" s="129">
        <f t="shared" si="42"/>
        <v>7</v>
      </c>
      <c r="AE106" s="129">
        <f t="shared" si="42"/>
        <v>7</v>
      </c>
      <c r="AF106" s="129">
        <f t="shared" si="42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1420.1399999999999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2078/09/17)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908.04</v>
      </c>
      <c r="U213" s="167">
        <f t="shared" si="76"/>
        <v>919.34</v>
      </c>
      <c r="V213" s="167">
        <f t="shared" si="76"/>
        <v>908.64</v>
      </c>
      <c r="W213" s="167">
        <f t="shared" si="76"/>
        <v>903.33999999999992</v>
      </c>
      <c r="X213" s="167">
        <f t="shared" si="76"/>
        <v>908.33999999999992</v>
      </c>
      <c r="Y213" s="167">
        <f t="shared" si="76"/>
        <v>955.34</v>
      </c>
      <c r="Z213" s="167">
        <f t="shared" si="76"/>
        <v>1005.34</v>
      </c>
      <c r="AA213" s="167">
        <f t="shared" si="76"/>
        <v>1067.44</v>
      </c>
      <c r="AB213" s="167">
        <f t="shared" si="76"/>
        <v>1165.74</v>
      </c>
      <c r="AC213" s="167">
        <f t="shared" si="76"/>
        <v>1280.54</v>
      </c>
      <c r="AD213" s="167">
        <f t="shared" si="76"/>
        <v>1367.6399999999999</v>
      </c>
      <c r="AE213" s="167">
        <f t="shared" si="76"/>
        <v>1420.1399999999999</v>
      </c>
      <c r="AF213" s="167">
        <f t="shared" si="76"/>
        <v>1391.1399999999999</v>
      </c>
      <c r="AG213" s="167">
        <f t="shared" si="76"/>
        <v>1323.1399999999999</v>
      </c>
      <c r="AH213" s="167">
        <f t="shared" si="76"/>
        <v>1234.74</v>
      </c>
      <c r="AI213" s="167">
        <f t="shared" si="76"/>
        <v>1115.04</v>
      </c>
      <c r="AJ213" s="167">
        <f t="shared" si="76"/>
        <v>1117.6400000000001</v>
      </c>
      <c r="AK213" s="167">
        <f t="shared" si="76"/>
        <v>1038.1399999999999</v>
      </c>
      <c r="AL213" s="167">
        <f t="shared" si="76"/>
        <v>1013.84</v>
      </c>
      <c r="AM213" s="167">
        <f t="shared" si="76"/>
        <v>1026.94</v>
      </c>
      <c r="AN213" s="167">
        <f t="shared" si="76"/>
        <v>1168.74</v>
      </c>
      <c r="AO213" s="167">
        <f t="shared" si="76"/>
        <v>1346.54</v>
      </c>
      <c r="AP213" s="167">
        <f t="shared" si="76"/>
        <v>1465.8400000000001</v>
      </c>
      <c r="AQ213" s="167">
        <f t="shared" si="76"/>
        <v>1424.74</v>
      </c>
      <c r="AR213" s="167">
        <f t="shared" si="76"/>
        <v>1384.54</v>
      </c>
      <c r="AS213" s="167">
        <f t="shared" si="76"/>
        <v>1374.24</v>
      </c>
      <c r="AT213" s="167">
        <f t="shared" si="76"/>
        <v>1315.3400000000001</v>
      </c>
      <c r="AU213" s="167">
        <f t="shared" si="76"/>
        <v>1264.8399999999999</v>
      </c>
      <c r="AV213" s="167">
        <f t="shared" si="76"/>
        <v>1238.94</v>
      </c>
      <c r="AW213" s="167">
        <f t="shared" si="76"/>
        <v>1060.74</v>
      </c>
      <c r="AX213" s="167">
        <f t="shared" si="76"/>
        <v>946.24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N62:N67 P39:R39 M39:O42 O61:O67 P40:Q42 R42 R40:T41 M58:R59 X85:X91 AB81:AF81 C81:R81 C56:AF56 C82:AF83 D193:AF199 B193:B199 AB84:AF91 C68:AF80 B9:AF10 B191:AF191 AF57:AF59 AG73 AB94:AF99 U212:AF212 M61:N61 M60:O60 C63:L67 C57:L61 P60:R67 S39:T42 M36:U37 M11:U14 M16:U32 V14:W14 V17:W32 N45:W48 S58:W67 U40:Z42 V11:AE11 Z40:AE43 X18:AF30 V36:AF36 AF43 Y45:AF48 M53:AF55">
    <cfRule type="expression" dxfId="4738" priority="305">
      <formula>B$9&gt;=20/24</formula>
    </cfRule>
    <cfRule type="expression" dxfId="4737" priority="306">
      <formula>AND(B$9&gt;=14/24,B$9&lt;20/24)</formula>
    </cfRule>
    <cfRule type="expression" dxfId="4736" priority="307">
      <formula>AND(B$9&gt;=8/24,B$9&lt;14/24)</formula>
    </cfRule>
    <cfRule type="expression" dxfId="4735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M57:T57">
    <cfRule type="expression" dxfId="4734" priority="300">
      <formula>M$9&gt;=20/24</formula>
    </cfRule>
    <cfRule type="expression" dxfId="4733" priority="301">
      <formula>AND(M$9&gt;=14/24,M$9&lt;20/24)</formula>
    </cfRule>
    <cfRule type="expression" dxfId="4732" priority="302">
      <formula>AND(M$9&gt;=8/24,M$9&lt;14/24)</formula>
    </cfRule>
    <cfRule type="expression" dxfId="4731" priority="303">
      <formula>M$9&lt;8/24</formula>
    </cfRule>
  </conditionalFormatting>
  <conditionalFormatting sqref="M43:U43">
    <cfRule type="expression" dxfId="4730" priority="296">
      <formula>M$9&gt;=20/24</formula>
    </cfRule>
    <cfRule type="expression" dxfId="4729" priority="297">
      <formula>AND(M$9&gt;=14/24,M$9&lt;20/24)</formula>
    </cfRule>
    <cfRule type="expression" dxfId="4728" priority="298">
      <formula>AND(M$9&gt;=8/24,M$9&lt;14/24)</formula>
    </cfRule>
    <cfRule type="expression" dxfId="4727" priority="299">
      <formula>M$9&lt;8/24</formula>
    </cfRule>
  </conditionalFormatting>
  <conditionalFormatting sqref="S39:AE39">
    <cfRule type="expression" dxfId="4726" priority="288">
      <formula>S$9&gt;=20/24</formula>
    </cfRule>
    <cfRule type="expression" dxfId="4725" priority="289">
      <formula>AND(S$9&gt;=14/24,S$9&lt;20/24)</formula>
    </cfRule>
    <cfRule type="expression" dxfId="4724" priority="290">
      <formula>AND(S$9&gt;=8/24,S$9&lt;14/24)</formula>
    </cfRule>
    <cfRule type="expression" dxfId="4723" priority="291">
      <formula>S$9&lt;8/24</formula>
    </cfRule>
  </conditionalFormatting>
  <conditionalFormatting sqref="U57:X57 Z57:AE57">
    <cfRule type="expression" dxfId="4722" priority="284">
      <formula>U$9&gt;=20/24</formula>
    </cfRule>
    <cfRule type="expression" dxfId="4721" priority="285">
      <formula>AND(U$9&gt;=14/24,U$9&lt;20/24)</formula>
    </cfRule>
    <cfRule type="expression" dxfId="4720" priority="286">
      <formula>AND(U$9&gt;=8/24,U$9&lt;14/24)</formula>
    </cfRule>
    <cfRule type="expression" dxfId="4719" priority="287">
      <formula>U$9&lt;8/24</formula>
    </cfRule>
  </conditionalFormatting>
  <conditionalFormatting sqref="S81:AA81">
    <cfRule type="expression" dxfId="4718" priority="280">
      <formula>S$9&gt;=20/24</formula>
    </cfRule>
    <cfRule type="expression" dxfId="4717" priority="281">
      <formula>AND(S$9&gt;=14/24,S$9&lt;20/24)</formula>
    </cfRule>
    <cfRule type="expression" dxfId="4716" priority="282">
      <formula>AND(S$9&gt;=8/24,S$9&lt;14/24)</formula>
    </cfRule>
    <cfRule type="expression" dxfId="4715" priority="283">
      <formula>S$9&lt;8/24</formula>
    </cfRule>
  </conditionalFormatting>
  <conditionalFormatting sqref="U84:X84">
    <cfRule type="expression" dxfId="4714" priority="276">
      <formula>U$9&gt;=20/24</formula>
    </cfRule>
    <cfRule type="expression" dxfId="4713" priority="277">
      <formula>AND(U$9&gt;=14/24,U$9&lt;20/24)</formula>
    </cfRule>
    <cfRule type="expression" dxfId="4712" priority="278">
      <formula>AND(U$9&gt;=8/24,U$9&lt;14/24)</formula>
    </cfRule>
    <cfRule type="expression" dxfId="4711" priority="279">
      <formula>U$9&lt;8/24</formula>
    </cfRule>
  </conditionalFormatting>
  <conditionalFormatting sqref="M35:W35">
    <cfRule type="expression" dxfId="4710" priority="272">
      <formula>M$9&gt;=20/24</formula>
    </cfRule>
    <cfRule type="expression" dxfId="4709" priority="273">
      <formula>AND(M$9&gt;=14/24,M$9&lt;20/24)</formula>
    </cfRule>
    <cfRule type="expression" dxfId="4708" priority="274">
      <formula>AND(M$9&gt;=8/24,M$9&lt;14/24)</formula>
    </cfRule>
    <cfRule type="expression" dxfId="4707" priority="275">
      <formula>M$9&lt;8/24</formula>
    </cfRule>
  </conditionalFormatting>
  <conditionalFormatting sqref="M49:W49">
    <cfRule type="expression" dxfId="4706" priority="268">
      <formula>M$9&gt;=20/24</formula>
    </cfRule>
    <cfRule type="expression" dxfId="4705" priority="269">
      <formula>AND(M$9&gt;=14/24,M$9&lt;20/24)</formula>
    </cfRule>
    <cfRule type="expression" dxfId="4704" priority="270">
      <formula>AND(M$9&gt;=8/24,M$9&lt;14/24)</formula>
    </cfRule>
    <cfRule type="expression" dxfId="4703" priority="271">
      <formula>M$9&lt;8/24</formula>
    </cfRule>
  </conditionalFormatting>
  <conditionalFormatting sqref="M50:W50">
    <cfRule type="expression" dxfId="4702" priority="264">
      <formula>M$9&gt;=20/24</formula>
    </cfRule>
    <cfRule type="expression" dxfId="4701" priority="265">
      <formula>AND(M$9&gt;=14/24,M$9&lt;20/24)</formula>
    </cfRule>
    <cfRule type="expression" dxfId="4700" priority="266">
      <formula>AND(M$9&gt;=8/24,M$9&lt;14/24)</formula>
    </cfRule>
    <cfRule type="expression" dxfId="4699" priority="267">
      <formula>M$9&lt;8/24</formula>
    </cfRule>
  </conditionalFormatting>
  <conditionalFormatting sqref="M45:W48">
    <cfRule type="expression" dxfId="4698" priority="260">
      <formula>M$9&gt;=20/24</formula>
    </cfRule>
    <cfRule type="expression" dxfId="4697" priority="261">
      <formula>AND(M$9&gt;=14/24,M$9&lt;20/24)</formula>
    </cfRule>
    <cfRule type="expression" dxfId="4696" priority="262">
      <formula>AND(M$9&gt;=8/24,M$9&lt;14/24)</formula>
    </cfRule>
    <cfRule type="expression" dxfId="4695" priority="263">
      <formula>M$9&lt;8/24</formula>
    </cfRule>
  </conditionalFormatting>
  <conditionalFormatting sqref="V37:AE37">
    <cfRule type="expression" dxfId="4694" priority="256">
      <formula>V$9&gt;=20/24</formula>
    </cfRule>
    <cfRule type="expression" dxfId="4693" priority="257">
      <formula>AND(V$9&gt;=14/24,V$9&lt;20/24)</formula>
    </cfRule>
    <cfRule type="expression" dxfId="4692" priority="258">
      <formula>AND(V$9&gt;=8/24,V$9&lt;14/24)</formula>
    </cfRule>
    <cfRule type="expression" dxfId="4691" priority="259">
      <formula>V$9&lt;8/24</formula>
    </cfRule>
  </conditionalFormatting>
  <conditionalFormatting sqref="X31:AF32 X35:AF35">
    <cfRule type="expression" dxfId="4690" priority="252">
      <formula>X$9&gt;=20/24</formula>
    </cfRule>
    <cfRule type="expression" dxfId="4689" priority="253">
      <formula>AND(X$9&gt;=14/24,X$9&lt;20/24)</formula>
    </cfRule>
    <cfRule type="expression" dxfId="4688" priority="254">
      <formula>AND(X$9&gt;=8/24,X$9&lt;14/24)</formula>
    </cfRule>
    <cfRule type="expression" dxfId="4687" priority="255">
      <formula>X$9&lt;8/24</formula>
    </cfRule>
  </conditionalFormatting>
  <conditionalFormatting sqref="S42:U43 U43:Z43 S45:AF48">
    <cfRule type="expression" dxfId="4686" priority="248">
      <formula>S$9&gt;=20/24</formula>
    </cfRule>
    <cfRule type="expression" dxfId="4685" priority="249">
      <formula>AND(S$9&gt;=14/24,S$9&lt;20/24)</formula>
    </cfRule>
    <cfRule type="expression" dxfId="4684" priority="250">
      <formula>AND(S$9&gt;=8/24,S$9&lt;14/24)</formula>
    </cfRule>
    <cfRule type="expression" dxfId="4683" priority="251">
      <formula>S$9&lt;8/24</formula>
    </cfRule>
  </conditionalFormatting>
  <conditionalFormatting sqref="S49:AF49">
    <cfRule type="expression" dxfId="4682" priority="244">
      <formula>S$9&gt;=20/24</formula>
    </cfRule>
    <cfRule type="expression" dxfId="4681" priority="245">
      <formula>AND(S$9&gt;=14/24,S$9&lt;20/24)</formula>
    </cfRule>
    <cfRule type="expression" dxfId="4680" priority="246">
      <formula>AND(S$9&gt;=8/24,S$9&lt;14/24)</formula>
    </cfRule>
    <cfRule type="expression" dxfId="4679" priority="247">
      <formula>S$9&lt;8/24</formula>
    </cfRule>
  </conditionalFormatting>
  <conditionalFormatting sqref="S50:AF50">
    <cfRule type="expression" dxfId="4678" priority="240">
      <formula>S$9&gt;=20/24</formula>
    </cfRule>
    <cfRule type="expression" dxfId="4677" priority="241">
      <formula>AND(S$9&gt;=14/24,S$9&lt;20/24)</formula>
    </cfRule>
    <cfRule type="expression" dxfId="4676" priority="242">
      <formula>AND(S$9&gt;=8/24,S$9&lt;14/24)</formula>
    </cfRule>
    <cfRule type="expression" dxfId="4675" priority="243">
      <formula>S$9&lt;8/24</formula>
    </cfRule>
  </conditionalFormatting>
  <conditionalFormatting sqref="X60:X67">
    <cfRule type="expression" dxfId="4674" priority="236">
      <formula>X$9&gt;=20/24</formula>
    </cfRule>
    <cfRule type="expression" dxfId="4673" priority="237">
      <formula>AND(X$9&gt;=14/24,X$9&lt;20/24)</formula>
    </cfRule>
    <cfRule type="expression" dxfId="4672" priority="238">
      <formula>AND(X$9&gt;=8/24,X$9&lt;14/24)</formula>
    </cfRule>
    <cfRule type="expression" dxfId="4671" priority="239">
      <formula>X$9&lt;8/24</formula>
    </cfRule>
  </conditionalFormatting>
  <conditionalFormatting sqref="C62:L62">
    <cfRule type="expression" dxfId="4670" priority="232">
      <formula>C$9&gt;=20/24</formula>
    </cfRule>
    <cfRule type="expression" dxfId="4669" priority="233">
      <formula>AND(C$9&gt;=14/24,C$9&lt;20/24)</formula>
    </cfRule>
    <cfRule type="expression" dxfId="4668" priority="234">
      <formula>AND(C$9&gt;=8/24,C$9&lt;14/24)</formula>
    </cfRule>
    <cfRule type="expression" dxfId="4667" priority="235">
      <formula>C$9&lt;8/24</formula>
    </cfRule>
  </conditionalFormatting>
  <conditionalFormatting sqref="U94:AA97">
    <cfRule type="expression" dxfId="4666" priority="228">
      <formula>U$9&gt;=20/24</formula>
    </cfRule>
    <cfRule type="expression" dxfId="4665" priority="229">
      <formula>AND(U$9&gt;=14/24,U$9&lt;20/24)</formula>
    </cfRule>
    <cfRule type="expression" dxfId="4664" priority="230">
      <formula>AND(U$9&gt;=8/24,U$9&lt;14/24)</formula>
    </cfRule>
    <cfRule type="expression" dxfId="4663" priority="231">
      <formula>U$9&lt;8/24</formula>
    </cfRule>
  </conditionalFormatting>
  <conditionalFormatting sqref="AG51 G11:T11 M12:T14 U11:U14 M16:U32 V14:W14 V17:W32 V11:AF11 E37:AF37 X18:AF32 M34:AF36 C38:AF56">
    <cfRule type="expression" dxfId="4662" priority="227">
      <formula>C11&gt;$AG11</formula>
    </cfRule>
  </conditionalFormatting>
  <conditionalFormatting sqref="A100:A156 A84:A97 A11:A14 A16:A32 A45:A72 A80:A82 A74:A78 A35:A43 A169:A199">
    <cfRule type="expression" dxfId="4661" priority="226">
      <formula>$AH11=0</formula>
    </cfRule>
  </conditionalFormatting>
  <conditionalFormatting sqref="U98:AA98">
    <cfRule type="expression" dxfId="4660" priority="222">
      <formula>U$9&gt;=20/24</formula>
    </cfRule>
    <cfRule type="expression" dxfId="4659" priority="223">
      <formula>AND(U$9&gt;=14/24,U$9&lt;20/24)</formula>
    </cfRule>
    <cfRule type="expression" dxfId="4658" priority="224">
      <formula>AND(U$9&gt;=8/24,U$9&lt;14/24)</formula>
    </cfRule>
    <cfRule type="expression" dxfId="4657" priority="225">
      <formula>U$9&lt;8/24</formula>
    </cfRule>
  </conditionalFormatting>
  <conditionalFormatting sqref="A98">
    <cfRule type="expression" dxfId="4656" priority="221">
      <formula>$AH98=0</formula>
    </cfRule>
  </conditionalFormatting>
  <conditionalFormatting sqref="M62:M67">
    <cfRule type="expression" dxfId="4655" priority="209">
      <formula>M$9&gt;=20/24</formula>
    </cfRule>
    <cfRule type="expression" dxfId="4654" priority="210">
      <formula>AND(M$9&gt;=14/24,M$9&lt;20/24)</formula>
    </cfRule>
    <cfRule type="expression" dxfId="4653" priority="211">
      <formula>AND(M$9&gt;=8/24,M$9&lt;14/24)</formula>
    </cfRule>
    <cfRule type="expression" dxfId="4652" priority="212">
      <formula>M$9&lt;8/24</formula>
    </cfRule>
  </conditionalFormatting>
  <conditionalFormatting sqref="AL32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M34:W34">
    <cfRule type="expression" dxfId="4651" priority="200">
      <formula>M$9&gt;=20/24</formula>
    </cfRule>
    <cfRule type="expression" dxfId="4650" priority="201">
      <formula>AND(M$9&gt;=14/24,M$9&lt;20/24)</formula>
    </cfRule>
    <cfRule type="expression" dxfId="4649" priority="202">
      <formula>AND(M$9&gt;=8/24,M$9&lt;14/24)</formula>
    </cfRule>
    <cfRule type="expression" dxfId="4648" priority="203">
      <formula>M$9&lt;8/24</formula>
    </cfRule>
  </conditionalFormatting>
  <conditionalFormatting sqref="X34:AF34">
    <cfRule type="expression" dxfId="4647" priority="196">
      <formula>X$9&gt;=20/24</formula>
    </cfRule>
    <cfRule type="expression" dxfId="4646" priority="197">
      <formula>AND(X$9&gt;=14/24,X$9&lt;20/24)</formula>
    </cfRule>
    <cfRule type="expression" dxfId="4645" priority="198">
      <formula>AND(X$9&gt;=8/24,X$9&lt;14/24)</formula>
    </cfRule>
    <cfRule type="expression" dxfId="4644" priority="199">
      <formula>X$9&lt;8/24</formula>
    </cfRule>
  </conditionalFormatting>
  <conditionalFormatting sqref="A34">
    <cfRule type="expression" dxfId="4643" priority="195">
      <formula>$AH34=0</formula>
    </cfRule>
  </conditionalFormatting>
  <conditionalFormatting sqref="A83">
    <cfRule type="expression" dxfId="4642" priority="194">
      <formula>$AH83=0</formula>
    </cfRule>
  </conditionalFormatting>
  <conditionalFormatting sqref="M15:U15">
    <cfRule type="expression" dxfId="4641" priority="186">
      <formula>M$9&gt;=20/24</formula>
    </cfRule>
    <cfRule type="expression" dxfId="4640" priority="187">
      <formula>AND(M$9&gt;=14/24,M$9&lt;20/24)</formula>
    </cfRule>
    <cfRule type="expression" dxfId="4639" priority="188">
      <formula>AND(M$9&gt;=8/24,M$9&lt;14/24)</formula>
    </cfRule>
    <cfRule type="expression" dxfId="4638" priority="189">
      <formula>M$9&lt;8/24</formula>
    </cfRule>
  </conditionalFormatting>
  <conditionalFormatting sqref="M15:U15">
    <cfRule type="expression" dxfId="4637" priority="185">
      <formula>M15&gt;$AG15</formula>
    </cfRule>
  </conditionalFormatting>
  <conditionalFormatting sqref="A15">
    <cfRule type="expression" dxfId="4636" priority="184">
      <formula>$AH15=0</formula>
    </cfRule>
  </conditionalFormatting>
  <conditionalFormatting sqref="A163:A168">
    <cfRule type="expression" dxfId="4635" priority="183">
      <formula>$AH163=0</formula>
    </cfRule>
  </conditionalFormatting>
  <conditionalFormatting sqref="A157:A162">
    <cfRule type="expression" dxfId="4634" priority="182">
      <formula>$AH157=0</formula>
    </cfRule>
  </conditionalFormatting>
  <conditionalFormatting sqref="Z44:AF44">
    <cfRule type="expression" dxfId="4633" priority="178">
      <formula>Z$9&gt;=20/24</formula>
    </cfRule>
    <cfRule type="expression" dxfId="4632" priority="179">
      <formula>AND(Z$9&gt;=14/24,Z$9&lt;20/24)</formula>
    </cfRule>
    <cfRule type="expression" dxfId="4631" priority="180">
      <formula>AND(Z$9&gt;=8/24,Z$9&lt;14/24)</formula>
    </cfRule>
    <cfRule type="expression" dxfId="4630" priority="181">
      <formula>Z$9&lt;8/24</formula>
    </cfRule>
  </conditionalFormatting>
  <conditionalFormatting sqref="M44:U44">
    <cfRule type="expression" dxfId="4629" priority="174">
      <formula>M$9&gt;=20/24</formula>
    </cfRule>
    <cfRule type="expression" dxfId="4628" priority="175">
      <formula>AND(M$9&gt;=14/24,M$9&lt;20/24)</formula>
    </cfRule>
    <cfRule type="expression" dxfId="4627" priority="176">
      <formula>AND(M$9&gt;=8/24,M$9&lt;14/24)</formula>
    </cfRule>
    <cfRule type="expression" dxfId="4626" priority="177">
      <formula>M$9&lt;8/24</formula>
    </cfRule>
  </conditionalFormatting>
  <conditionalFormatting sqref="S44:AF44">
    <cfRule type="expression" dxfId="4625" priority="170">
      <formula>S$9&gt;=20/24</formula>
    </cfRule>
    <cfRule type="expression" dxfId="4624" priority="171">
      <formula>AND(S$9&gt;=14/24,S$9&lt;20/24)</formula>
    </cfRule>
    <cfRule type="expression" dxfId="4623" priority="172">
      <formula>AND(S$9&gt;=8/24,S$9&lt;14/24)</formula>
    </cfRule>
    <cfRule type="expression" dxfId="4622" priority="173">
      <formula>S$9&lt;8/24</formula>
    </cfRule>
  </conditionalFormatting>
  <conditionalFormatting sqref="A44">
    <cfRule type="expression" dxfId="4621" priority="169">
      <formula>$AH44=0</formula>
    </cfRule>
  </conditionalFormatting>
  <conditionalFormatting sqref="A79">
    <cfRule type="expression" dxfId="4620" priority="168">
      <formula>$AH79=0</formula>
    </cfRule>
  </conditionalFormatting>
  <conditionalFormatting sqref="A73">
    <cfRule type="expression" dxfId="4619" priority="167">
      <formula>$AH73=0</formula>
    </cfRule>
  </conditionalFormatting>
  <conditionalFormatting sqref="AL34:AL35 AL7:AL31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4618" priority="159">
      <formula>U$9&gt;=20/24</formula>
    </cfRule>
    <cfRule type="expression" dxfId="4617" priority="160">
      <formula>AND(U$9&gt;=14/24,U$9&lt;20/24)</formula>
    </cfRule>
    <cfRule type="expression" dxfId="4616" priority="161">
      <formula>AND(U$9&gt;=8/24,U$9&lt;14/24)</formula>
    </cfRule>
    <cfRule type="expression" dxfId="4615" priority="162">
      <formula>U$9&lt;8/24</formula>
    </cfRule>
  </conditionalFormatting>
  <conditionalFormatting sqref="C84:T91">
    <cfRule type="expression" dxfId="4614" priority="155">
      <formula>C$9&gt;=20/24</formula>
    </cfRule>
    <cfRule type="expression" dxfId="4613" priority="156">
      <formula>AND(C$9&gt;=14/24,C$9&lt;20/24)</formula>
    </cfRule>
    <cfRule type="expression" dxfId="4612" priority="157">
      <formula>AND(C$9&gt;=8/24,C$9&lt;14/24)</formula>
    </cfRule>
    <cfRule type="expression" dxfId="4611" priority="158">
      <formula>C$9&lt;8/24</formula>
    </cfRule>
  </conditionalFormatting>
  <conditionalFormatting sqref="C94:F94 C95:P97">
    <cfRule type="expression" dxfId="4610" priority="147">
      <formula>C$9&gt;=20/24</formula>
    </cfRule>
    <cfRule type="expression" dxfId="4609" priority="148">
      <formula>AND(C$9&gt;=14/24,C$9&lt;20/24)</formula>
    </cfRule>
    <cfRule type="expression" dxfId="4608" priority="149">
      <formula>AND(C$9&gt;=8/24,C$9&lt;14/24)</formula>
    </cfRule>
    <cfRule type="expression" dxfId="4607" priority="150">
      <formula>C$9&lt;8/24</formula>
    </cfRule>
  </conditionalFormatting>
  <conditionalFormatting sqref="Q94:S97">
    <cfRule type="expression" dxfId="4606" priority="143">
      <formula>Q$9&gt;=20/24</formula>
    </cfRule>
    <cfRule type="expression" dxfId="4605" priority="144">
      <formula>AND(Q$9&gt;=14/24,Q$9&lt;20/24)</formula>
    </cfRule>
    <cfRule type="expression" dxfId="4604" priority="145">
      <formula>AND(Q$9&gt;=8/24,Q$9&lt;14/24)</formula>
    </cfRule>
    <cfRule type="expression" dxfId="4603" priority="146">
      <formula>Q$9&lt;8/24</formula>
    </cfRule>
  </conditionalFormatting>
  <conditionalFormatting sqref="T94:T97">
    <cfRule type="expression" dxfId="4602" priority="139">
      <formula>T$9&gt;=20/24</formula>
    </cfRule>
    <cfRule type="expression" dxfId="4601" priority="140">
      <formula>AND(T$9&gt;=14/24,T$9&lt;20/24)</formula>
    </cfRule>
    <cfRule type="expression" dxfId="4600" priority="141">
      <formula>AND(T$9&gt;=8/24,T$9&lt;14/24)</formula>
    </cfRule>
    <cfRule type="expression" dxfId="4599" priority="142">
      <formula>T$9&lt;8/24</formula>
    </cfRule>
  </conditionalFormatting>
  <conditionalFormatting sqref="C98:P98">
    <cfRule type="expression" dxfId="4598" priority="135">
      <formula>C$9&gt;=20/24</formula>
    </cfRule>
    <cfRule type="expression" dxfId="4597" priority="136">
      <formula>AND(C$9&gt;=14/24,C$9&lt;20/24)</formula>
    </cfRule>
    <cfRule type="expression" dxfId="4596" priority="137">
      <formula>AND(C$9&gt;=8/24,C$9&lt;14/24)</formula>
    </cfRule>
    <cfRule type="expression" dxfId="4595" priority="138">
      <formula>C$9&lt;8/24</formula>
    </cfRule>
  </conditionalFormatting>
  <conditionalFormatting sqref="Q98:S98">
    <cfRule type="expression" dxfId="4594" priority="131">
      <formula>Q$9&gt;=20/24</formula>
    </cfRule>
    <cfRule type="expression" dxfId="4593" priority="132">
      <formula>AND(Q$9&gt;=14/24,Q$9&lt;20/24)</formula>
    </cfRule>
    <cfRule type="expression" dxfId="4592" priority="133">
      <formula>AND(Q$9&gt;=8/24,Q$9&lt;14/24)</formula>
    </cfRule>
    <cfRule type="expression" dxfId="4591" priority="134">
      <formula>Q$9&lt;8/24</formula>
    </cfRule>
  </conditionalFormatting>
  <conditionalFormatting sqref="T98">
    <cfRule type="expression" dxfId="4590" priority="127">
      <formula>T$9&gt;=20/24</formula>
    </cfRule>
    <cfRule type="expression" dxfId="4589" priority="128">
      <formula>AND(T$9&gt;=14/24,T$9&lt;20/24)</formula>
    </cfRule>
    <cfRule type="expression" dxfId="4588" priority="129">
      <formula>AND(T$9&gt;=8/24,T$9&lt;14/24)</formula>
    </cfRule>
    <cfRule type="expression" dxfId="4587" priority="130">
      <formula>T$9&lt;8/24</formula>
    </cfRule>
  </conditionalFormatting>
  <conditionalFormatting sqref="M94:P94">
    <cfRule type="expression" dxfId="4586" priority="123">
      <formula>M$9&gt;=20/24</formula>
    </cfRule>
    <cfRule type="expression" dxfId="4585" priority="124">
      <formula>AND(M$9&gt;=14/24,M$9&lt;20/24)</formula>
    </cfRule>
    <cfRule type="expression" dxfId="4584" priority="125">
      <formula>AND(M$9&gt;=8/24,M$9&lt;14/24)</formula>
    </cfRule>
    <cfRule type="expression" dxfId="4583" priority="126">
      <formula>M$9&lt;8/24</formula>
    </cfRule>
  </conditionalFormatting>
  <conditionalFormatting sqref="G94:L94">
    <cfRule type="expression" dxfId="4582" priority="119">
      <formula>G$9&gt;=20/24</formula>
    </cfRule>
    <cfRule type="expression" dxfId="4581" priority="120">
      <formula>AND(G$9&gt;=14/24,G$9&lt;20/24)</formula>
    </cfRule>
    <cfRule type="expression" dxfId="4580" priority="121">
      <formula>AND(G$9&gt;=8/24,G$9&lt;14/24)</formula>
    </cfRule>
    <cfRule type="expression" dxfId="4579" priority="122">
      <formula>G$9&lt;8/24</formula>
    </cfRule>
  </conditionalFormatting>
  <conditionalFormatting sqref="U94:W94">
    <cfRule type="expression" dxfId="4578" priority="115">
      <formula>U$9&gt;=20/24</formula>
    </cfRule>
    <cfRule type="expression" dxfId="4577" priority="116">
      <formula>AND(U$9&gt;=14/24,U$9&lt;20/24)</formula>
    </cfRule>
    <cfRule type="expression" dxfId="4576" priority="117">
      <formula>AND(U$9&gt;=8/24,U$9&lt;14/24)</formula>
    </cfRule>
    <cfRule type="expression" dxfId="4575" priority="118">
      <formula>U$9&lt;8/24</formula>
    </cfRule>
  </conditionalFormatting>
  <conditionalFormatting sqref="Q94:T94">
    <cfRule type="expression" dxfId="4574" priority="111">
      <formula>Q$9&gt;=20/24</formula>
    </cfRule>
    <cfRule type="expression" dxfId="4573" priority="112">
      <formula>AND(Q$9&gt;=14/24,Q$9&lt;20/24)</formula>
    </cfRule>
    <cfRule type="expression" dxfId="4572" priority="113">
      <formula>AND(Q$9&gt;=8/24,Q$9&lt;14/24)</formula>
    </cfRule>
    <cfRule type="expression" dxfId="4571" priority="114">
      <formula>Q$9&lt;8/24</formula>
    </cfRule>
  </conditionalFormatting>
  <conditionalFormatting sqref="U99:AA99">
    <cfRule type="expression" dxfId="4570" priority="107">
      <formula>U$9&gt;=20/24</formula>
    </cfRule>
    <cfRule type="expression" dxfId="4569" priority="108">
      <formula>AND(U$9&gt;=14/24,U$9&lt;20/24)</formula>
    </cfRule>
    <cfRule type="expression" dxfId="4568" priority="109">
      <formula>AND(U$9&gt;=8/24,U$9&lt;14/24)</formula>
    </cfRule>
    <cfRule type="expression" dxfId="4567" priority="110">
      <formula>U$9&lt;8/24</formula>
    </cfRule>
  </conditionalFormatting>
  <conditionalFormatting sqref="C99:P99">
    <cfRule type="expression" dxfId="4566" priority="103">
      <formula>C$9&gt;=20/24</formula>
    </cfRule>
    <cfRule type="expression" dxfId="4565" priority="104">
      <formula>AND(C$9&gt;=14/24,C$9&lt;20/24)</formula>
    </cfRule>
    <cfRule type="expression" dxfId="4564" priority="105">
      <formula>AND(C$9&gt;=8/24,C$9&lt;14/24)</formula>
    </cfRule>
    <cfRule type="expression" dxfId="4563" priority="106">
      <formula>C$9&lt;8/24</formula>
    </cfRule>
  </conditionalFormatting>
  <conditionalFormatting sqref="Q99:S99">
    <cfRule type="expression" dxfId="4562" priority="99">
      <formula>Q$9&gt;=20/24</formula>
    </cfRule>
    <cfRule type="expression" dxfId="4561" priority="100">
      <formula>AND(Q$9&gt;=14/24,Q$9&lt;20/24)</formula>
    </cfRule>
    <cfRule type="expression" dxfId="4560" priority="101">
      <formula>AND(Q$9&gt;=8/24,Q$9&lt;14/24)</formula>
    </cfRule>
    <cfRule type="expression" dxfId="4559" priority="102">
      <formula>Q$9&lt;8/24</formula>
    </cfRule>
  </conditionalFormatting>
  <conditionalFormatting sqref="T99">
    <cfRule type="expression" dxfId="4558" priority="95">
      <formula>T$9&gt;=20/24</formula>
    </cfRule>
    <cfRule type="expression" dxfId="4557" priority="96">
      <formula>AND(T$9&gt;=14/24,T$9&lt;20/24)</formula>
    </cfRule>
    <cfRule type="expression" dxfId="4556" priority="97">
      <formula>AND(T$9&gt;=8/24,T$9&lt;14/24)</formula>
    </cfRule>
    <cfRule type="expression" dxfId="4555" priority="98">
      <formula>T$9&lt;8/24</formula>
    </cfRule>
  </conditionalFormatting>
  <conditionalFormatting sqref="V12:W13 V15:W16 X12:AF16">
    <cfRule type="expression" dxfId="4554" priority="91">
      <formula>V$9&gt;=20/24</formula>
    </cfRule>
    <cfRule type="expression" dxfId="4553" priority="92">
      <formula>AND(V$9&gt;=14/24,V$9&lt;20/24)</formula>
    </cfRule>
    <cfRule type="expression" dxfId="4552" priority="93">
      <formula>AND(V$9&gt;=8/24,V$9&lt;14/24)</formula>
    </cfRule>
    <cfRule type="expression" dxfId="4551" priority="94">
      <formula>V$9&lt;8/24</formula>
    </cfRule>
  </conditionalFormatting>
  <conditionalFormatting sqref="X17:AF17">
    <cfRule type="expression" dxfId="4550" priority="87">
      <formula>X$9&gt;=20/24</formula>
    </cfRule>
    <cfRule type="expression" dxfId="4549" priority="88">
      <formula>AND(X$9&gt;=14/24,X$9&lt;20/24)</formula>
    </cfRule>
    <cfRule type="expression" dxfId="4548" priority="89">
      <formula>AND(X$9&gt;=8/24,X$9&lt;14/24)</formula>
    </cfRule>
    <cfRule type="expression" dxfId="4547" priority="90">
      <formula>X$9&lt;8/24</formula>
    </cfRule>
  </conditionalFormatting>
  <conditionalFormatting sqref="V12:AF13">
    <cfRule type="expression" dxfId="4546" priority="83">
      <formula>V$9&gt;=20/24</formula>
    </cfRule>
    <cfRule type="expression" dxfId="4545" priority="84">
      <formula>AND(V$9&gt;=14/24,V$9&lt;20/24)</formula>
    </cfRule>
    <cfRule type="expression" dxfId="4544" priority="85">
      <formula>AND(V$9&gt;=8/24,V$9&lt;14/24)</formula>
    </cfRule>
    <cfRule type="expression" dxfId="4543" priority="86">
      <formula>V$9&lt;8/24</formula>
    </cfRule>
  </conditionalFormatting>
  <conditionalFormatting sqref="AC58:AE59">
    <cfRule type="expression" dxfId="4542" priority="79">
      <formula>AC$9&gt;=20/24</formula>
    </cfRule>
    <cfRule type="expression" dxfId="4541" priority="80">
      <formula>AND(AC$9&gt;=14/24,AC$9&lt;20/24)</formula>
    </cfRule>
    <cfRule type="expression" dxfId="4540" priority="81">
      <formula>AND(AC$9&gt;=8/24,AC$9&lt;14/24)</formula>
    </cfRule>
    <cfRule type="expression" dxfId="4539" priority="82">
      <formula>AC$9&lt;8/24</formula>
    </cfRule>
  </conditionalFormatting>
  <conditionalFormatting sqref="AL3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38" priority="312">
      <formula>C$9&gt;=20/24</formula>
    </cfRule>
    <cfRule type="expression" dxfId="4537" priority="313">
      <formula>AND(C$9&gt;=14/24,C$9&lt;20/24)</formula>
    </cfRule>
    <cfRule type="expression" dxfId="4536" priority="314">
      <formula>AND(C$9&gt;=8/24,C$9&lt;14/24)</formula>
    </cfRule>
    <cfRule type="expression" dxfId="4535" priority="315">
      <formula>C$9&lt;8/24</formula>
    </cfRule>
  </conditionalFormatting>
  <conditionalFormatting sqref="A200">
    <cfRule type="expression" dxfId="4534" priority="316">
      <formula>$AH200=0</formula>
    </cfRule>
  </conditionalFormatting>
  <conditionalFormatting sqref="AG212">
    <cfRule type="expression" dxfId="4533" priority="317">
      <formula>B$9&gt;=20/24</formula>
    </cfRule>
    <cfRule type="expression" dxfId="4532" priority="318">
      <formula>AND(B$9&gt;=14/24,B$9&lt;20/24)</formula>
    </cfRule>
    <cfRule type="expression" dxfId="4531" priority="319">
      <formula>AND(B$9&gt;=8/24,B$9&lt;14/24)</formula>
    </cfRule>
    <cfRule type="expression" dxfId="4530" priority="320">
      <formula>B$9&lt;8/24</formula>
    </cfRule>
  </conditionalFormatting>
  <conditionalFormatting sqref="S8">
    <cfRule type="expression" dxfId="4529" priority="73">
      <formula>U$9&gt;=20/24</formula>
    </cfRule>
    <cfRule type="expression" dxfId="4528" priority="74">
      <formula>AND(U$9&gt;=14/24,U$9&lt;20/24)</formula>
    </cfRule>
    <cfRule type="expression" dxfId="4527" priority="75">
      <formula>AND(U$9&gt;=8/24,U$9&lt;14/24)</formula>
    </cfRule>
    <cfRule type="expression" dxfId="4526" priority="76">
      <formula>U$9&lt;8/24</formula>
    </cfRule>
  </conditionalFormatting>
  <conditionalFormatting sqref="AB8">
    <cfRule type="expression" dxfId="4525" priority="69">
      <formula>AD$9&gt;=20/24</formula>
    </cfRule>
    <cfRule type="expression" dxfId="4524" priority="70">
      <formula>AND(AD$9&gt;=14/24,AD$9&lt;20/24)</formula>
    </cfRule>
    <cfRule type="expression" dxfId="4523" priority="71">
      <formula>AND(AD$9&gt;=8/24,AD$9&lt;14/24)</formula>
    </cfRule>
    <cfRule type="expression" dxfId="4522" priority="72">
      <formula>AD$9&lt;8/24</formula>
    </cfRule>
  </conditionalFormatting>
  <conditionalFormatting sqref="AH212:AX212">
    <cfRule type="expression" dxfId="4521" priority="321">
      <formula>AG$9&gt;=20/24</formula>
    </cfRule>
    <cfRule type="expression" dxfId="4520" priority="322">
      <formula>AND(AG$9&gt;=14/24,AG$9&lt;20/24)</formula>
    </cfRule>
    <cfRule type="expression" dxfId="4519" priority="323">
      <formula>AND(AG$9&gt;=8/24,AG$9&lt;14/24)</formula>
    </cfRule>
    <cfRule type="expression" dxfId="4518" priority="324">
      <formula>AG$9&lt;8/24</formula>
    </cfRule>
  </conditionalFormatting>
  <conditionalFormatting sqref="T212">
    <cfRule type="expression" dxfId="4517" priority="325">
      <formula>AX$9&gt;=20/24</formula>
    </cfRule>
    <cfRule type="expression" dxfId="4516" priority="326">
      <formula>AND(AX$9&gt;=14/24,AX$9&lt;20/24)</formula>
    </cfRule>
    <cfRule type="expression" dxfId="4515" priority="327">
      <formula>AND(AX$9&gt;=8/24,AX$9&lt;14/24)</formula>
    </cfRule>
    <cfRule type="expression" dxfId="4514" priority="328">
      <formula>AX$9&lt;8/24</formula>
    </cfRule>
  </conditionalFormatting>
  <conditionalFormatting sqref="A99">
    <cfRule type="expression" dxfId="4513" priority="68">
      <formula>$AH99=0</formula>
    </cfRule>
  </conditionalFormatting>
  <conditionalFormatting sqref="M33:W33">
    <cfRule type="expression" dxfId="4512" priority="64">
      <formula>M$9&gt;=20/24</formula>
    </cfRule>
    <cfRule type="expression" dxfId="4511" priority="65">
      <formula>AND(M$9&gt;=14/24,M$9&lt;20/24)</formula>
    </cfRule>
    <cfRule type="expression" dxfId="4510" priority="66">
      <formula>AND(M$9&gt;=8/24,M$9&lt;14/24)</formula>
    </cfRule>
    <cfRule type="expression" dxfId="4509" priority="67">
      <formula>M$9&lt;8/24</formula>
    </cfRule>
  </conditionalFormatting>
  <conditionalFormatting sqref="X33:AF33">
    <cfRule type="expression" dxfId="4508" priority="56">
      <formula>X$9&gt;=20/24</formula>
    </cfRule>
    <cfRule type="expression" dxfId="4507" priority="57">
      <formula>AND(X$9&gt;=14/24,X$9&lt;20/24)</formula>
    </cfRule>
    <cfRule type="expression" dxfId="4506" priority="58">
      <formula>AND(X$9&gt;=8/24,X$9&lt;14/24)</formula>
    </cfRule>
    <cfRule type="expression" dxfId="4505" priority="59">
      <formula>X$9&lt;8/24</formula>
    </cfRule>
  </conditionalFormatting>
  <conditionalFormatting sqref="M33:AF33">
    <cfRule type="expression" dxfId="4504" priority="55">
      <formula>M33&gt;$AG33</formula>
    </cfRule>
  </conditionalFormatting>
  <conditionalFormatting sqref="B94:B99 B53:B91 B11:F14 B36:L36 B16:L26 B28:L31 G12:L14">
    <cfRule type="expression" dxfId="4503" priority="51">
      <formula>B$9&gt;=20/24</formula>
    </cfRule>
    <cfRule type="expression" dxfId="4502" priority="52">
      <formula>AND(B$9&gt;=14/24,B$9&lt;20/24)</formula>
    </cfRule>
    <cfRule type="expression" dxfId="4501" priority="53">
      <formula>AND(B$9&gt;=8/24,B$9&lt;14/24)</formula>
    </cfRule>
    <cfRule type="expression" dxfId="4500" priority="54">
      <formula>B$9&lt;8/24</formula>
    </cfRule>
  </conditionalFormatting>
  <conditionalFormatting sqref="B32:L32">
    <cfRule type="expression" dxfId="4499" priority="47">
      <formula>B$9&gt;=20/24</formula>
    </cfRule>
    <cfRule type="expression" dxfId="4498" priority="48">
      <formula>AND(B$9&gt;=14/24,B$9&lt;20/24)</formula>
    </cfRule>
    <cfRule type="expression" dxfId="4497" priority="49">
      <formula>AND(B$9&gt;=8/24,B$9&lt;14/24)</formula>
    </cfRule>
    <cfRule type="expression" dxfId="4496" priority="50">
      <formula>B$9&lt;8/24</formula>
    </cfRule>
  </conditionalFormatting>
  <conditionalFormatting sqref="B35:L35">
    <cfRule type="expression" dxfId="4495" priority="43">
      <formula>B$9&gt;=20/24</formula>
    </cfRule>
    <cfRule type="expression" dxfId="4494" priority="44">
      <formula>AND(B$9&gt;=14/24,B$9&lt;20/24)</formula>
    </cfRule>
    <cfRule type="expression" dxfId="4493" priority="45">
      <formula>AND(B$9&gt;=8/24,B$9&lt;14/24)</formula>
    </cfRule>
    <cfRule type="expression" dxfId="4492" priority="46">
      <formula>B$9&lt;8/24</formula>
    </cfRule>
  </conditionalFormatting>
  <conditionalFormatting sqref="B34:B56 C34:D37 B11:F32 G12:L32 E34:L36">
    <cfRule type="expression" dxfId="4491" priority="42">
      <formula>B11&gt;$AG11</formula>
    </cfRule>
  </conditionalFormatting>
  <conditionalFormatting sqref="B34:L34">
    <cfRule type="expression" dxfId="4490" priority="38">
      <formula>B$9&gt;=20/24</formula>
    </cfRule>
    <cfRule type="expression" dxfId="4489" priority="39">
      <formula>AND(B$9&gt;=14/24,B$9&lt;20/24)</formula>
    </cfRule>
    <cfRule type="expression" dxfId="4488" priority="40">
      <formula>AND(B$9&gt;=8/24,B$9&lt;14/24)</formula>
    </cfRule>
    <cfRule type="expression" dxfId="4487" priority="41">
      <formula>B$9&lt;8/24</formula>
    </cfRule>
  </conditionalFormatting>
  <conditionalFormatting sqref="B15:L15">
    <cfRule type="expression" dxfId="4486" priority="34">
      <formula>B$9&gt;=20/24</formula>
    </cfRule>
    <cfRule type="expression" dxfId="4485" priority="35">
      <formula>AND(B$9&gt;=14/24,B$9&lt;20/24)</formula>
    </cfRule>
    <cfRule type="expression" dxfId="4484" priority="36">
      <formula>AND(B$9&gt;=8/24,B$9&lt;14/24)</formula>
    </cfRule>
    <cfRule type="expression" dxfId="4483" priority="37">
      <formula>B$9&lt;8/24</formula>
    </cfRule>
  </conditionalFormatting>
  <conditionalFormatting sqref="B33:L33">
    <cfRule type="expression" dxfId="4482" priority="30">
      <formula>B$9&gt;=20/24</formula>
    </cfRule>
    <cfRule type="expression" dxfId="4481" priority="31">
      <formula>AND(B$9&gt;=14/24,B$9&lt;20/24)</formula>
    </cfRule>
    <cfRule type="expression" dxfId="4480" priority="32">
      <formula>AND(B$9&gt;=8/24,B$9&lt;14/24)</formula>
    </cfRule>
    <cfRule type="expression" dxfId="4479" priority="33">
      <formula>B$9&lt;8/24</formula>
    </cfRule>
  </conditionalFormatting>
  <conditionalFormatting sqref="B33:L33">
    <cfRule type="expression" dxfId="4478" priority="29">
      <formula>B33&gt;$AG33</formula>
    </cfRule>
  </conditionalFormatting>
  <conditionalFormatting sqref="Y49:AF49">
    <cfRule type="expression" dxfId="4477" priority="25">
      <formula>Y$9&gt;=20/24</formula>
    </cfRule>
    <cfRule type="expression" dxfId="4476" priority="26">
      <formula>AND(Y$9&gt;=14/24,Y$9&lt;20/24)</formula>
    </cfRule>
    <cfRule type="expression" dxfId="4475" priority="27">
      <formula>AND(Y$9&gt;=8/24,Y$9&lt;14/24)</formula>
    </cfRule>
    <cfRule type="expression" dxfId="4474" priority="28">
      <formula>Y$9&lt;8/24</formula>
    </cfRule>
  </conditionalFormatting>
  <conditionalFormatting sqref="Y50:AF50">
    <cfRule type="expression" dxfId="4473" priority="21">
      <formula>Y$9&gt;=20/24</formula>
    </cfRule>
    <cfRule type="expression" dxfId="4472" priority="22">
      <formula>AND(Y$9&gt;=14/24,Y$9&lt;20/24)</formula>
    </cfRule>
    <cfRule type="expression" dxfId="4471" priority="23">
      <formula>AND(Y$9&gt;=8/24,Y$9&lt;14/24)</formula>
    </cfRule>
    <cfRule type="expression" dxfId="4470" priority="24">
      <formula>Y$9&lt;8/24</formula>
    </cfRule>
  </conditionalFormatting>
  <conditionalFormatting sqref="Y45:AF48">
    <cfRule type="expression" dxfId="4469" priority="17">
      <formula>Y$9&gt;=20/24</formula>
    </cfRule>
    <cfRule type="expression" dxfId="4468" priority="18">
      <formula>AND(Y$9&gt;=14/24,Y$9&lt;20/24)</formula>
    </cfRule>
    <cfRule type="expression" dxfId="4467" priority="19">
      <formula>AND(Y$9&gt;=8/24,Y$9&lt;14/24)</formula>
    </cfRule>
    <cfRule type="expression" dxfId="4466" priority="20">
      <formula>Y$9&lt;8/24</formula>
    </cfRule>
  </conditionalFormatting>
  <conditionalFormatting sqref="Y58:Y67 Z60:AF67">
    <cfRule type="expression" dxfId="4465" priority="13">
      <formula>Y$9&gt;=20/24</formula>
    </cfRule>
    <cfRule type="expression" dxfId="4464" priority="14">
      <formula>AND(Y$9&gt;=14/24,Y$9&lt;20/24)</formula>
    </cfRule>
    <cfRule type="expression" dxfId="4463" priority="15">
      <formula>AND(Y$9&gt;=8/24,Y$9&lt;14/24)</formula>
    </cfRule>
    <cfRule type="expression" dxfId="4462" priority="16">
      <formula>Y$9&lt;8/24</formula>
    </cfRule>
  </conditionalFormatting>
  <conditionalFormatting sqref="Y57">
    <cfRule type="expression" dxfId="4461" priority="9">
      <formula>Y$9&gt;=20/24</formula>
    </cfRule>
    <cfRule type="expression" dxfId="4460" priority="10">
      <formula>AND(Y$9&gt;=14/24,Y$9&lt;20/24)</formula>
    </cfRule>
    <cfRule type="expression" dxfId="4459" priority="11">
      <formula>AND(Y$9&gt;=8/24,Y$9&lt;14/24)</formula>
    </cfRule>
    <cfRule type="expression" dxfId="4458" priority="12">
      <formula>Y$9&lt;8/24</formula>
    </cfRule>
  </conditionalFormatting>
  <conditionalFormatting sqref="Y84:AA84">
    <cfRule type="expression" dxfId="4457" priority="5">
      <formula>Y$9&gt;=20/24</formula>
    </cfRule>
    <cfRule type="expression" dxfId="4456" priority="6">
      <formula>AND(Y$9&gt;=14/24,Y$9&lt;20/24)</formula>
    </cfRule>
    <cfRule type="expression" dxfId="4455" priority="7">
      <formula>AND(Y$9&gt;=8/24,Y$9&lt;14/24)</formula>
    </cfRule>
    <cfRule type="expression" dxfId="4454" priority="8">
      <formula>Y$9&lt;8/24</formula>
    </cfRule>
  </conditionalFormatting>
  <conditionalFormatting sqref="Y85:AA91">
    <cfRule type="expression" dxfId="4453" priority="1">
      <formula>Y$9&gt;=20/24</formula>
    </cfRule>
    <cfRule type="expression" dxfId="4452" priority="2">
      <formula>AND(Y$9&gt;=14/24,Y$9&lt;20/24)</formula>
    </cfRule>
    <cfRule type="expression" dxfId="4451" priority="3">
      <formula>AND(Y$9&gt;=8/24,Y$9&lt;14/24)</formula>
    </cfRule>
    <cfRule type="expression" dxfId="4450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61143757-4E54-4D0A-A1BB-06E20ADBD15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D39" sqref="D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2078/09/18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99.9</v>
      </c>
      <c r="C5" s="32">
        <f t="shared" si="0"/>
        <v>103.3</v>
      </c>
      <c r="D5" s="32">
        <f t="shared" si="0"/>
        <v>116.3</v>
      </c>
      <c r="E5" s="32">
        <f t="shared" si="0"/>
        <v>118.7</v>
      </c>
      <c r="F5" s="32">
        <f t="shared" si="0"/>
        <v>166.2</v>
      </c>
      <c r="G5" s="32">
        <f t="shared" si="0"/>
        <v>183.7</v>
      </c>
      <c r="H5" s="32">
        <f t="shared" si="0"/>
        <v>226.20000000000002</v>
      </c>
      <c r="I5" s="32">
        <f t="shared" si="0"/>
        <v>237.9</v>
      </c>
      <c r="J5" s="32">
        <f t="shared" si="0"/>
        <v>235</v>
      </c>
      <c r="K5" s="32">
        <f t="shared" si="0"/>
        <v>172.7</v>
      </c>
      <c r="L5" s="32">
        <f t="shared" si="0"/>
        <v>316.60000000000002</v>
      </c>
      <c r="M5" s="32">
        <f t="shared" si="0"/>
        <v>155.30000000000001</v>
      </c>
      <c r="N5" s="32">
        <f t="shared" si="0"/>
        <v>407.5</v>
      </c>
      <c r="O5" s="32">
        <f t="shared" si="0"/>
        <v>391.6</v>
      </c>
      <c r="P5" s="32">
        <f t="shared" si="0"/>
        <v>388.6</v>
      </c>
      <c r="Q5" s="32">
        <f t="shared" si="0"/>
        <v>440.70000000000005</v>
      </c>
      <c r="R5" s="32">
        <f t="shared" si="0"/>
        <v>466.6</v>
      </c>
      <c r="S5" s="32">
        <f t="shared" si="0"/>
        <v>462</v>
      </c>
      <c r="T5" s="32">
        <f t="shared" si="0"/>
        <v>460</v>
      </c>
      <c r="U5" s="32">
        <f t="shared" si="0"/>
        <v>422.8</v>
      </c>
      <c r="V5" s="32">
        <f t="shared" si="0"/>
        <v>121.2</v>
      </c>
      <c r="W5" s="32">
        <f t="shared" si="0"/>
        <v>340.2</v>
      </c>
      <c r="X5" s="32">
        <f t="shared" si="0"/>
        <v>256</v>
      </c>
      <c r="Y5" s="32">
        <f t="shared" si="0"/>
        <v>336</v>
      </c>
      <c r="Z5" s="32">
        <f t="shared" si="0"/>
        <v>345.5</v>
      </c>
      <c r="AA5" s="32">
        <f t="shared" si="0"/>
        <v>415.29999999999995</v>
      </c>
      <c r="AB5" s="32">
        <f t="shared" si="0"/>
        <v>380.7</v>
      </c>
      <c r="AC5" s="32">
        <f t="shared" si="0"/>
        <v>320.7</v>
      </c>
      <c r="AD5" s="32">
        <f t="shared" si="0"/>
        <v>257</v>
      </c>
      <c r="AE5" s="32">
        <f t="shared" si="0"/>
        <v>178.5</v>
      </c>
      <c r="AF5" s="32">
        <f>B68</f>
        <v>123.7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1577MW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Load=829</v>
      </c>
      <c r="B7" s="37">
        <f>B75</f>
        <v>890.94</v>
      </c>
      <c r="C7" s="37">
        <f t="shared" ref="C7:AF7" si="1">C75</f>
        <v>836.44</v>
      </c>
      <c r="D7" s="37">
        <f t="shared" si="1"/>
        <v>846.84</v>
      </c>
      <c r="E7" s="37">
        <f t="shared" si="1"/>
        <v>828.74</v>
      </c>
      <c r="F7" s="37">
        <f t="shared" si="1"/>
        <v>833.14</v>
      </c>
      <c r="G7" s="37">
        <f t="shared" si="1"/>
        <v>891.14</v>
      </c>
      <c r="H7" s="37">
        <f t="shared" si="1"/>
        <v>944.54</v>
      </c>
      <c r="I7" s="37">
        <f t="shared" si="1"/>
        <v>1047.6400000000001</v>
      </c>
      <c r="J7" s="37">
        <f t="shared" si="1"/>
        <v>1174.44</v>
      </c>
      <c r="K7" s="37">
        <f t="shared" si="1"/>
        <v>1319.7399999999998</v>
      </c>
      <c r="L7" s="37">
        <f t="shared" si="1"/>
        <v>1456.54</v>
      </c>
      <c r="M7" s="37">
        <f t="shared" si="1"/>
        <v>1577.24</v>
      </c>
      <c r="N7" s="37">
        <f t="shared" si="1"/>
        <v>1437.3400000000001</v>
      </c>
      <c r="O7" s="37">
        <f t="shared" si="1"/>
        <v>1403.74</v>
      </c>
      <c r="P7" s="37">
        <f t="shared" si="1"/>
        <v>1371.54</v>
      </c>
      <c r="Q7" s="37">
        <f t="shared" si="1"/>
        <v>1312.3400000000001</v>
      </c>
      <c r="R7" s="37">
        <f t="shared" si="1"/>
        <v>1194.24</v>
      </c>
      <c r="S7" s="37">
        <f t="shared" si="1"/>
        <v>1227.6399999999999</v>
      </c>
      <c r="T7" s="37">
        <f t="shared" si="1"/>
        <v>1234.3399999999999</v>
      </c>
      <c r="U7" s="37">
        <f t="shared" si="1"/>
        <v>1266.94</v>
      </c>
      <c r="V7" s="37">
        <f t="shared" si="1"/>
        <v>1335.84</v>
      </c>
      <c r="W7" s="37">
        <f t="shared" si="1"/>
        <v>1455.7400000000002</v>
      </c>
      <c r="X7" s="37">
        <f t="shared" si="1"/>
        <v>1620.64</v>
      </c>
      <c r="Y7" s="37">
        <f t="shared" si="1"/>
        <v>1611.4400000000003</v>
      </c>
      <c r="Z7" s="37">
        <f t="shared" si="1"/>
        <v>1526.8400000000001</v>
      </c>
      <c r="AA7" s="37">
        <f t="shared" si="1"/>
        <v>1503.04</v>
      </c>
      <c r="AB7" s="37">
        <f t="shared" si="1"/>
        <v>1377.6399999999999</v>
      </c>
      <c r="AC7" s="37">
        <f t="shared" si="1"/>
        <v>1367.34</v>
      </c>
      <c r="AD7" s="37">
        <f t="shared" si="1"/>
        <v>1229.9399999999998</v>
      </c>
      <c r="AE7" s="37">
        <f t="shared" si="1"/>
        <v>1053.3399999999999</v>
      </c>
      <c r="AF7" s="37">
        <f t="shared" si="1"/>
        <v>966.6400000000001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10</v>
      </c>
      <c r="D11" s="49">
        <v>10</v>
      </c>
      <c r="E11" s="49">
        <v>10</v>
      </c>
      <c r="F11" s="49">
        <v>60</v>
      </c>
      <c r="G11" s="49">
        <v>51.2</v>
      </c>
      <c r="H11" s="49">
        <v>52.2</v>
      </c>
      <c r="I11" s="49">
        <v>100</v>
      </c>
      <c r="J11" s="49">
        <v>170</v>
      </c>
      <c r="K11" s="49">
        <v>173</v>
      </c>
      <c r="L11" s="49">
        <v>330</v>
      </c>
      <c r="M11" s="50">
        <v>300</v>
      </c>
      <c r="N11" s="50">
        <v>310</v>
      </c>
      <c r="O11" s="50">
        <v>70</v>
      </c>
      <c r="P11" s="50">
        <v>60</v>
      </c>
      <c r="Q11" s="50">
        <v>70</v>
      </c>
      <c r="R11" s="51">
        <v>28</v>
      </c>
      <c r="S11" s="50">
        <v>35</v>
      </c>
      <c r="T11" s="50">
        <v>25</v>
      </c>
      <c r="U11" s="50">
        <v>40</v>
      </c>
      <c r="V11" s="50">
        <v>62</v>
      </c>
      <c r="W11" s="50">
        <v>380</v>
      </c>
      <c r="X11" s="50">
        <v>280</v>
      </c>
      <c r="Y11" s="50">
        <v>380</v>
      </c>
      <c r="Z11" s="52">
        <v>220</v>
      </c>
      <c r="AA11" s="50">
        <v>170</v>
      </c>
      <c r="AB11" s="50">
        <v>20</v>
      </c>
      <c r="AC11" s="50">
        <v>20</v>
      </c>
      <c r="AD11" s="50">
        <v>20</v>
      </c>
      <c r="AE11" s="50">
        <v>32</v>
      </c>
      <c r="AF11" s="50">
        <v>76</v>
      </c>
      <c r="AG11" s="53">
        <v>456</v>
      </c>
      <c r="AH11" s="54">
        <f>MAX(B11:AF11)</f>
        <v>380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45</v>
      </c>
      <c r="C12" s="58">
        <v>45</v>
      </c>
      <c r="D12" s="58">
        <v>45</v>
      </c>
      <c r="E12" s="58">
        <v>45</v>
      </c>
      <c r="F12" s="58">
        <v>45</v>
      </c>
      <c r="G12" s="58">
        <v>45</v>
      </c>
      <c r="H12" s="58">
        <v>45</v>
      </c>
      <c r="I12" s="58">
        <v>45</v>
      </c>
      <c r="J12" s="58">
        <v>45</v>
      </c>
      <c r="K12" s="58">
        <v>45</v>
      </c>
      <c r="L12" s="58">
        <v>45</v>
      </c>
      <c r="M12" s="58">
        <v>45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58">
        <v>44</v>
      </c>
      <c r="Y12" s="58">
        <v>44</v>
      </c>
      <c r="Z12" s="58">
        <v>44</v>
      </c>
      <c r="AA12" s="58">
        <v>44</v>
      </c>
      <c r="AB12" s="58">
        <v>44</v>
      </c>
      <c r="AC12" s="58">
        <v>44</v>
      </c>
      <c r="AD12" s="58">
        <v>44</v>
      </c>
      <c r="AE12" s="58">
        <v>44</v>
      </c>
      <c r="AF12" s="58">
        <v>44</v>
      </c>
      <c r="AG12" s="59">
        <v>60</v>
      </c>
      <c r="AH12" s="54">
        <f t="shared" ref="AH12:AH75" si="2">MAX(B12:AF12)</f>
        <v>45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26</v>
      </c>
      <c r="C13" s="58">
        <v>26</v>
      </c>
      <c r="D13" s="58">
        <v>26</v>
      </c>
      <c r="E13" s="58">
        <v>26</v>
      </c>
      <c r="F13" s="58">
        <v>26</v>
      </c>
      <c r="G13" s="58">
        <v>26.8</v>
      </c>
      <c r="H13" s="58">
        <v>26.7</v>
      </c>
      <c r="I13" s="58">
        <v>26.8</v>
      </c>
      <c r="J13" s="58">
        <v>25.5</v>
      </c>
      <c r="K13" s="58">
        <v>25.7</v>
      </c>
      <c r="L13" s="58">
        <v>25.7</v>
      </c>
      <c r="M13" s="58">
        <v>25.7</v>
      </c>
      <c r="N13" s="49">
        <v>25.6</v>
      </c>
      <c r="O13" s="49">
        <v>25.6</v>
      </c>
      <c r="P13" s="49">
        <v>25.6</v>
      </c>
      <c r="Q13" s="49">
        <v>25.6</v>
      </c>
      <c r="R13" s="49">
        <v>25.6</v>
      </c>
      <c r="S13" s="49">
        <v>25.6</v>
      </c>
      <c r="T13" s="49">
        <v>25.6</v>
      </c>
      <c r="U13" s="49">
        <v>25.6</v>
      </c>
      <c r="V13" s="49">
        <v>25.6</v>
      </c>
      <c r="W13" s="49">
        <v>25.6</v>
      </c>
      <c r="X13" s="58">
        <v>25.6</v>
      </c>
      <c r="Y13" s="58">
        <v>25.6</v>
      </c>
      <c r="Z13" s="58">
        <v>25.6</v>
      </c>
      <c r="AA13" s="58">
        <v>25.6</v>
      </c>
      <c r="AB13" s="58">
        <v>25.3</v>
      </c>
      <c r="AC13" s="58">
        <v>25.3</v>
      </c>
      <c r="AD13" s="58">
        <v>25.3</v>
      </c>
      <c r="AE13" s="58">
        <v>25.3</v>
      </c>
      <c r="AF13" s="58">
        <v>25.4</v>
      </c>
      <c r="AG13" s="59">
        <v>52.4</v>
      </c>
      <c r="AH13" s="54">
        <f t="shared" si="2"/>
        <v>26.8</v>
      </c>
      <c r="AI13" s="55">
        <f t="shared" si="3"/>
        <v>25.3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49.5</v>
      </c>
      <c r="C14" s="60">
        <v>49.5</v>
      </c>
      <c r="D14" s="60">
        <v>49.5</v>
      </c>
      <c r="E14" s="60">
        <v>49.5</v>
      </c>
      <c r="F14" s="60">
        <v>49.5</v>
      </c>
      <c r="G14" s="60">
        <v>47.7</v>
      </c>
      <c r="H14" s="60">
        <v>48.1</v>
      </c>
      <c r="I14" s="60">
        <v>47.9</v>
      </c>
      <c r="J14" s="60">
        <v>47.9</v>
      </c>
      <c r="K14" s="60">
        <v>47.9</v>
      </c>
      <c r="L14" s="60">
        <v>48.2</v>
      </c>
      <c r="M14" s="60">
        <v>48.2</v>
      </c>
      <c r="N14" s="50">
        <v>47.8</v>
      </c>
      <c r="O14" s="50">
        <v>47.8</v>
      </c>
      <c r="P14" s="50">
        <v>47.8</v>
      </c>
      <c r="Q14" s="50">
        <v>47.8</v>
      </c>
      <c r="R14" s="50">
        <v>48</v>
      </c>
      <c r="S14" s="50">
        <v>48</v>
      </c>
      <c r="T14" s="50">
        <v>48</v>
      </c>
      <c r="U14" s="50">
        <v>48</v>
      </c>
      <c r="V14" s="50">
        <v>48</v>
      </c>
      <c r="W14" s="50">
        <v>48</v>
      </c>
      <c r="X14" s="60">
        <v>48</v>
      </c>
      <c r="Y14" s="60">
        <v>48</v>
      </c>
      <c r="Z14" s="60">
        <v>48</v>
      </c>
      <c r="AA14" s="60">
        <v>48</v>
      </c>
      <c r="AB14" s="60">
        <v>48</v>
      </c>
      <c r="AC14" s="60">
        <v>48</v>
      </c>
      <c r="AD14" s="60">
        <v>48</v>
      </c>
      <c r="AE14" s="60">
        <v>48</v>
      </c>
      <c r="AF14" s="60">
        <v>47.8</v>
      </c>
      <c r="AG14" s="59">
        <v>50</v>
      </c>
      <c r="AH14" s="54">
        <f t="shared" si="2"/>
        <v>49.5</v>
      </c>
      <c r="AI14" s="55">
        <f t="shared" si="3"/>
        <v>47.7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</v>
      </c>
      <c r="C15" s="60">
        <v>23</v>
      </c>
      <c r="D15" s="60">
        <v>23</v>
      </c>
      <c r="E15" s="60">
        <v>23</v>
      </c>
      <c r="F15" s="60">
        <v>23.4</v>
      </c>
      <c r="G15" s="60">
        <v>23.4</v>
      </c>
      <c r="H15" s="60">
        <v>23.7</v>
      </c>
      <c r="I15" s="60">
        <v>23.3</v>
      </c>
      <c r="J15" s="60">
        <v>24.5</v>
      </c>
      <c r="K15" s="60">
        <v>24.3</v>
      </c>
      <c r="L15" s="60">
        <v>23.3</v>
      </c>
      <c r="M15" s="60">
        <v>23.3</v>
      </c>
      <c r="N15" s="50">
        <v>23.2</v>
      </c>
      <c r="O15" s="50">
        <v>23.2</v>
      </c>
      <c r="P15" s="50">
        <v>23.2</v>
      </c>
      <c r="Q15" s="50">
        <v>23.2</v>
      </c>
      <c r="R15" s="50">
        <v>23.1</v>
      </c>
      <c r="S15" s="50">
        <v>23.1</v>
      </c>
      <c r="T15" s="50">
        <v>23.1</v>
      </c>
      <c r="U15" s="50">
        <v>23.1</v>
      </c>
      <c r="V15" s="50">
        <v>23.1</v>
      </c>
      <c r="W15" s="50">
        <v>23.1</v>
      </c>
      <c r="X15" s="60">
        <v>23.1</v>
      </c>
      <c r="Y15" s="60">
        <v>23.1</v>
      </c>
      <c r="Z15" s="60">
        <v>23.1</v>
      </c>
      <c r="AA15" s="60">
        <v>23.1</v>
      </c>
      <c r="AB15" s="60">
        <v>23.3</v>
      </c>
      <c r="AC15" s="60">
        <v>23.5</v>
      </c>
      <c r="AD15" s="60">
        <v>23.5</v>
      </c>
      <c r="AE15" s="60">
        <v>23.5</v>
      </c>
      <c r="AF15" s="60">
        <v>23.9</v>
      </c>
      <c r="AG15" s="62">
        <v>45</v>
      </c>
      <c r="AH15" s="54">
        <f t="shared" si="2"/>
        <v>24.5</v>
      </c>
      <c r="AI15" s="55">
        <f t="shared" si="3"/>
        <v>23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13</v>
      </c>
      <c r="C16" s="63">
        <v>13</v>
      </c>
      <c r="D16" s="63">
        <v>13</v>
      </c>
      <c r="E16" s="63">
        <v>13</v>
      </c>
      <c r="F16" s="63">
        <v>13</v>
      </c>
      <c r="G16" s="63">
        <v>13</v>
      </c>
      <c r="H16" s="63">
        <v>13</v>
      </c>
      <c r="I16" s="63">
        <v>13</v>
      </c>
      <c r="J16" s="63">
        <v>13</v>
      </c>
      <c r="K16" s="63">
        <v>13</v>
      </c>
      <c r="L16" s="63">
        <v>13</v>
      </c>
      <c r="M16" s="63">
        <v>13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63">
        <v>13</v>
      </c>
      <c r="Y16" s="63">
        <v>13</v>
      </c>
      <c r="Z16" s="63">
        <v>13</v>
      </c>
      <c r="AA16" s="63">
        <v>13</v>
      </c>
      <c r="AB16" s="63">
        <v>13</v>
      </c>
      <c r="AC16" s="63">
        <v>13</v>
      </c>
      <c r="AD16" s="63">
        <v>13</v>
      </c>
      <c r="AE16" s="63">
        <v>13</v>
      </c>
      <c r="AF16" s="63">
        <v>13</v>
      </c>
      <c r="AG16" s="59">
        <v>45</v>
      </c>
      <c r="AH16" s="54">
        <f t="shared" si="2"/>
        <v>13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12</v>
      </c>
      <c r="C17" s="60">
        <v>12</v>
      </c>
      <c r="D17" s="60">
        <v>12</v>
      </c>
      <c r="E17" s="60">
        <v>12</v>
      </c>
      <c r="F17" s="60">
        <v>12</v>
      </c>
      <c r="G17" s="60">
        <v>12</v>
      </c>
      <c r="H17" s="60">
        <v>12</v>
      </c>
      <c r="I17" s="60">
        <v>12</v>
      </c>
      <c r="J17" s="60">
        <v>12</v>
      </c>
      <c r="K17" s="60">
        <v>12</v>
      </c>
      <c r="L17" s="60">
        <v>12</v>
      </c>
      <c r="M17" s="60">
        <v>12</v>
      </c>
      <c r="N17" s="50">
        <v>12</v>
      </c>
      <c r="O17" s="50">
        <v>12</v>
      </c>
      <c r="P17" s="50">
        <v>12</v>
      </c>
      <c r="Q17" s="50">
        <v>12</v>
      </c>
      <c r="R17" s="50">
        <v>12</v>
      </c>
      <c r="S17" s="50">
        <v>12</v>
      </c>
      <c r="T17" s="50">
        <v>12</v>
      </c>
      <c r="U17" s="50">
        <v>12</v>
      </c>
      <c r="V17" s="50">
        <v>12</v>
      </c>
      <c r="W17" s="50">
        <v>12</v>
      </c>
      <c r="X17" s="60">
        <v>12</v>
      </c>
      <c r="Y17" s="60">
        <v>12</v>
      </c>
      <c r="Z17" s="60">
        <v>12</v>
      </c>
      <c r="AA17" s="60">
        <v>12</v>
      </c>
      <c r="AB17" s="60">
        <v>12</v>
      </c>
      <c r="AC17" s="60">
        <v>12</v>
      </c>
      <c r="AD17" s="60">
        <v>12</v>
      </c>
      <c r="AE17" s="60">
        <v>12</v>
      </c>
      <c r="AF17" s="60">
        <v>12</v>
      </c>
      <c r="AG17" s="59">
        <v>42</v>
      </c>
      <c r="AH17" s="54">
        <f t="shared" si="2"/>
        <v>12</v>
      </c>
      <c r="AI17" s="55">
        <f t="shared" si="3"/>
        <v>12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</v>
      </c>
      <c r="N18" s="50">
        <v>11</v>
      </c>
      <c r="O18" s="50">
        <v>11</v>
      </c>
      <c r="P18" s="50">
        <v>11</v>
      </c>
      <c r="Q18" s="50">
        <v>11</v>
      </c>
      <c r="R18" s="50">
        <v>11</v>
      </c>
      <c r="S18" s="50">
        <v>11</v>
      </c>
      <c r="T18" s="50">
        <v>11</v>
      </c>
      <c r="U18" s="50">
        <v>11</v>
      </c>
      <c r="V18" s="50">
        <v>11</v>
      </c>
      <c r="W18" s="50">
        <v>11</v>
      </c>
      <c r="X18" s="50">
        <v>11</v>
      </c>
      <c r="Y18" s="50">
        <v>11</v>
      </c>
      <c r="Z18" s="50">
        <v>11</v>
      </c>
      <c r="AA18" s="50">
        <v>11</v>
      </c>
      <c r="AB18" s="50">
        <v>11</v>
      </c>
      <c r="AC18" s="50">
        <v>11</v>
      </c>
      <c r="AD18" s="50">
        <v>11</v>
      </c>
      <c r="AE18" s="50">
        <v>11</v>
      </c>
      <c r="AF18" s="50">
        <v>11</v>
      </c>
      <c r="AG18" s="59">
        <v>36</v>
      </c>
      <c r="AH18" s="54">
        <f t="shared" si="2"/>
        <v>11</v>
      </c>
      <c r="AI18" s="55">
        <f t="shared" si="3"/>
        <v>11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11.8</v>
      </c>
      <c r="C19" s="50">
        <v>11.8</v>
      </c>
      <c r="D19" s="50">
        <v>11.8</v>
      </c>
      <c r="E19" s="50">
        <v>11.8</v>
      </c>
      <c r="F19" s="50">
        <v>11.8</v>
      </c>
      <c r="G19" s="50">
        <v>11.9</v>
      </c>
      <c r="H19" s="50">
        <v>11.9</v>
      </c>
      <c r="I19" s="50">
        <v>11.9</v>
      </c>
      <c r="J19" s="50">
        <v>11.9</v>
      </c>
      <c r="K19" s="50">
        <v>12</v>
      </c>
      <c r="L19" s="50">
        <v>12</v>
      </c>
      <c r="M19" s="50">
        <v>12</v>
      </c>
      <c r="N19" s="50">
        <v>12</v>
      </c>
      <c r="O19" s="50">
        <v>12</v>
      </c>
      <c r="P19" s="50">
        <v>12</v>
      </c>
      <c r="Q19" s="50">
        <v>12</v>
      </c>
      <c r="R19" s="50">
        <v>12</v>
      </c>
      <c r="S19" s="50">
        <v>12</v>
      </c>
      <c r="T19" s="50">
        <v>12</v>
      </c>
      <c r="U19" s="50">
        <v>12</v>
      </c>
      <c r="V19" s="50">
        <v>12</v>
      </c>
      <c r="W19" s="50">
        <v>12</v>
      </c>
      <c r="X19" s="50">
        <v>12</v>
      </c>
      <c r="Y19" s="50">
        <v>12</v>
      </c>
      <c r="Z19" s="50">
        <v>12</v>
      </c>
      <c r="AA19" s="50">
        <v>12</v>
      </c>
      <c r="AB19" s="50">
        <v>12</v>
      </c>
      <c r="AC19" s="50">
        <v>12.2</v>
      </c>
      <c r="AD19" s="50">
        <v>12.2</v>
      </c>
      <c r="AE19" s="50">
        <v>12.2</v>
      </c>
      <c r="AF19" s="50">
        <v>12.2</v>
      </c>
      <c r="AG19" s="59">
        <v>30</v>
      </c>
      <c r="AH19" s="54">
        <f t="shared" si="2"/>
        <v>12.2</v>
      </c>
      <c r="AI19" s="55">
        <f t="shared" si="3"/>
        <v>11.8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18</v>
      </c>
      <c r="C22" s="50">
        <v>18</v>
      </c>
      <c r="D22" s="50">
        <v>18</v>
      </c>
      <c r="E22" s="50">
        <v>18</v>
      </c>
      <c r="F22" s="50">
        <v>14.6</v>
      </c>
      <c r="G22" s="50">
        <v>14.6</v>
      </c>
      <c r="H22" s="50">
        <v>14.5</v>
      </c>
      <c r="I22" s="50">
        <v>14.3</v>
      </c>
      <c r="J22" s="50">
        <v>14.3</v>
      </c>
      <c r="K22" s="50">
        <v>15.2</v>
      </c>
      <c r="L22" s="50">
        <v>14.6</v>
      </c>
      <c r="M22" s="50">
        <v>14.6</v>
      </c>
      <c r="N22" s="50">
        <v>14.1</v>
      </c>
      <c r="O22" s="50">
        <v>14.1</v>
      </c>
      <c r="P22" s="50">
        <v>14.1</v>
      </c>
      <c r="Q22" s="50">
        <v>14.1</v>
      </c>
      <c r="R22" s="50">
        <v>14.1</v>
      </c>
      <c r="S22" s="50">
        <v>14.1</v>
      </c>
      <c r="T22" s="50">
        <v>14.1</v>
      </c>
      <c r="U22" s="50">
        <v>14.1</v>
      </c>
      <c r="V22" s="50">
        <v>14.1</v>
      </c>
      <c r="W22" s="50">
        <v>14.1</v>
      </c>
      <c r="X22" s="50">
        <v>14.1</v>
      </c>
      <c r="Y22" s="50">
        <v>14.1</v>
      </c>
      <c r="Z22" s="50">
        <v>14.1</v>
      </c>
      <c r="AA22" s="50">
        <v>14.1</v>
      </c>
      <c r="AB22" s="50">
        <v>14.1</v>
      </c>
      <c r="AC22" s="50">
        <v>14.1</v>
      </c>
      <c r="AD22" s="50">
        <v>14.1</v>
      </c>
      <c r="AE22" s="50">
        <v>14.1</v>
      </c>
      <c r="AF22" s="50">
        <v>12.9</v>
      </c>
      <c r="AG22" s="59">
        <v>25</v>
      </c>
      <c r="AH22" s="54">
        <f t="shared" si="2"/>
        <v>18</v>
      </c>
      <c r="AI22" s="55">
        <f t="shared" si="3"/>
        <v>12.9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19.5</v>
      </c>
      <c r="C24" s="50">
        <v>19.5</v>
      </c>
      <c r="D24" s="50">
        <v>19.5</v>
      </c>
      <c r="E24" s="50">
        <v>19.5</v>
      </c>
      <c r="F24" s="50">
        <v>19.5</v>
      </c>
      <c r="G24" s="50">
        <v>16.2</v>
      </c>
      <c r="H24" s="50">
        <v>15.8</v>
      </c>
      <c r="I24" s="50">
        <v>15.8</v>
      </c>
      <c r="J24" s="50">
        <v>15.4</v>
      </c>
      <c r="K24" s="50">
        <v>15</v>
      </c>
      <c r="L24" s="50">
        <v>15</v>
      </c>
      <c r="M24" s="50">
        <v>15</v>
      </c>
      <c r="N24" s="50">
        <v>13.6</v>
      </c>
      <c r="O24" s="50">
        <v>13.6</v>
      </c>
      <c r="P24" s="50">
        <v>13.6</v>
      </c>
      <c r="Q24" s="50">
        <v>13.6</v>
      </c>
      <c r="R24" s="50">
        <v>13.6</v>
      </c>
      <c r="S24" s="50">
        <v>13.6</v>
      </c>
      <c r="T24" s="50">
        <v>13.6</v>
      </c>
      <c r="U24" s="50">
        <v>13.6</v>
      </c>
      <c r="V24" s="50">
        <v>13.6</v>
      </c>
      <c r="W24" s="50">
        <v>13.6</v>
      </c>
      <c r="X24" s="50">
        <v>13.6</v>
      </c>
      <c r="Y24" s="50">
        <v>13.6</v>
      </c>
      <c r="Z24" s="50">
        <v>17</v>
      </c>
      <c r="AA24" s="50">
        <v>17</v>
      </c>
      <c r="AB24" s="50">
        <v>17</v>
      </c>
      <c r="AC24" s="50">
        <v>17</v>
      </c>
      <c r="AD24" s="50">
        <v>17</v>
      </c>
      <c r="AE24" s="50">
        <v>17</v>
      </c>
      <c r="AF24" s="50">
        <v>17.100000000000001</v>
      </c>
      <c r="AG24" s="59">
        <v>25</v>
      </c>
      <c r="AH24" s="54">
        <f t="shared" si="2"/>
        <v>19.5</v>
      </c>
      <c r="AI24" s="55">
        <f t="shared" si="3"/>
        <v>13.6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13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9.6999999999999993</v>
      </c>
      <c r="N26" s="50">
        <v>9.6999999999999993</v>
      </c>
      <c r="O26" s="50">
        <v>9.6999999999999993</v>
      </c>
      <c r="P26" s="50">
        <v>9.6999999999999993</v>
      </c>
      <c r="Q26" s="50">
        <v>9.6999999999999993</v>
      </c>
      <c r="R26" s="50">
        <v>9.6999999999999993</v>
      </c>
      <c r="S26" s="50">
        <v>9.6999999999999993</v>
      </c>
      <c r="T26" s="50">
        <v>9.6999999999999993</v>
      </c>
      <c r="U26" s="50">
        <v>9.6999999999999993</v>
      </c>
      <c r="V26" s="50">
        <v>9.6999999999999993</v>
      </c>
      <c r="W26" s="50">
        <v>9.6999999999999993</v>
      </c>
      <c r="X26" s="50">
        <v>9.6999999999999993</v>
      </c>
      <c r="Y26" s="50">
        <v>9.6999999999999993</v>
      </c>
      <c r="Z26" s="50">
        <v>9.6999999999999993</v>
      </c>
      <c r="AA26" s="50">
        <v>9.6999999999999993</v>
      </c>
      <c r="AB26" s="50">
        <v>9.6999999999999993</v>
      </c>
      <c r="AC26" s="50">
        <v>9.6999999999999993</v>
      </c>
      <c r="AD26" s="50">
        <v>9.6999999999999993</v>
      </c>
      <c r="AE26" s="50">
        <v>9.6999999999999993</v>
      </c>
      <c r="AF26" s="50">
        <v>9.6999999999999993</v>
      </c>
      <c r="AG26" s="59">
        <v>20</v>
      </c>
      <c r="AH26" s="54">
        <f t="shared" si="2"/>
        <v>9.6999999999999993</v>
      </c>
      <c r="AI26" s="55">
        <f t="shared" si="3"/>
        <v>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67.5</v>
      </c>
      <c r="C37" s="61">
        <v>68</v>
      </c>
      <c r="D37" s="61">
        <v>68</v>
      </c>
      <c r="E37" s="61">
        <v>68</v>
      </c>
      <c r="F37" s="61">
        <v>68</v>
      </c>
      <c r="G37" s="61">
        <v>68</v>
      </c>
      <c r="H37" s="61">
        <v>68</v>
      </c>
      <c r="I37" s="61">
        <v>68</v>
      </c>
      <c r="J37" s="61">
        <v>68</v>
      </c>
      <c r="K37" s="61">
        <v>68</v>
      </c>
      <c r="L37" s="61">
        <v>68</v>
      </c>
      <c r="M37" s="70">
        <f>22.9+41.9</f>
        <v>64.8</v>
      </c>
      <c r="N37" s="70">
        <f>24.4+43.9</f>
        <v>68.3</v>
      </c>
      <c r="O37" s="70">
        <f>23+42.6</f>
        <v>65.599999999999994</v>
      </c>
      <c r="P37" s="70">
        <f>43.1+23.4</f>
        <v>66.5</v>
      </c>
      <c r="Q37" s="70">
        <f>23.5+43</f>
        <v>66.5</v>
      </c>
      <c r="R37" s="70">
        <f>23.8+43.6</f>
        <v>67.400000000000006</v>
      </c>
      <c r="S37" s="70">
        <f>43+23</f>
        <v>66</v>
      </c>
      <c r="T37" s="70">
        <f>43+23</f>
        <v>66</v>
      </c>
      <c r="U37" s="70">
        <f>43+23</f>
        <v>66</v>
      </c>
      <c r="V37" s="70">
        <f>43+23</f>
        <v>66</v>
      </c>
      <c r="W37" s="70">
        <f>43+23</f>
        <v>66</v>
      </c>
      <c r="X37" s="70">
        <v>57.5</v>
      </c>
      <c r="Y37" s="70">
        <v>57.5</v>
      </c>
      <c r="Z37" s="70">
        <v>57.5</v>
      </c>
      <c r="AA37" s="70">
        <v>57.5</v>
      </c>
      <c r="AB37" s="70">
        <f>21.6+39.5</f>
        <v>61.1</v>
      </c>
      <c r="AC37" s="70">
        <f>21.7+39.6</f>
        <v>61.3</v>
      </c>
      <c r="AD37" s="70">
        <f>21.7+39.6</f>
        <v>61.3</v>
      </c>
      <c r="AE37" s="70">
        <f>22.3+40.5</f>
        <v>62.8</v>
      </c>
      <c r="AF37" s="70">
        <f>22.7+41.4</f>
        <v>64.099999999999994</v>
      </c>
      <c r="AG37" s="67">
        <v>240</v>
      </c>
      <c r="AH37" s="54">
        <f t="shared" si="2"/>
        <v>68.3</v>
      </c>
      <c r="AI37" s="55">
        <f t="shared" si="3"/>
        <v>57.5</v>
      </c>
      <c r="AK37" s="56"/>
    </row>
    <row r="38" spans="1:88" ht="15.75" thickBot="1" x14ac:dyDescent="0.3">
      <c r="A38" s="71" t="s">
        <v>46</v>
      </c>
      <c r="B38" s="72">
        <f>SUM(B11:B36)</f>
        <v>476.5</v>
      </c>
      <c r="C38" s="72">
        <f t="shared" ref="C38:AF38" si="4">SUM(C11:C36)</f>
        <v>476.5</v>
      </c>
      <c r="D38" s="72">
        <f t="shared" si="4"/>
        <v>476.5</v>
      </c>
      <c r="E38" s="72">
        <f t="shared" si="4"/>
        <v>476.5</v>
      </c>
      <c r="F38" s="72">
        <f t="shared" si="4"/>
        <v>523.5</v>
      </c>
      <c r="G38" s="72">
        <f t="shared" si="4"/>
        <v>510.5</v>
      </c>
      <c r="H38" s="72">
        <f t="shared" si="4"/>
        <v>511.59999999999997</v>
      </c>
      <c r="I38" s="72">
        <f t="shared" si="4"/>
        <v>558.70000000000005</v>
      </c>
      <c r="J38" s="72">
        <f t="shared" si="4"/>
        <v>628.19999999999993</v>
      </c>
      <c r="K38" s="72">
        <f t="shared" si="4"/>
        <v>631.79999999999995</v>
      </c>
      <c r="L38" s="72">
        <f t="shared" si="4"/>
        <v>787.50000000000011</v>
      </c>
      <c r="M38" s="72">
        <f t="shared" si="4"/>
        <v>763.2</v>
      </c>
      <c r="N38" s="72">
        <f t="shared" si="4"/>
        <v>767.7</v>
      </c>
      <c r="O38" s="72">
        <f t="shared" si="4"/>
        <v>527.70000000000005</v>
      </c>
      <c r="P38" s="72">
        <f t="shared" si="4"/>
        <v>517.70000000000005</v>
      </c>
      <c r="Q38" s="72">
        <f t="shared" si="4"/>
        <v>527.70000000000005</v>
      </c>
      <c r="R38" s="72">
        <f t="shared" si="4"/>
        <v>485.79999999999995</v>
      </c>
      <c r="S38" s="72">
        <f t="shared" si="4"/>
        <v>492.8</v>
      </c>
      <c r="T38" s="72">
        <f t="shared" si="4"/>
        <v>482.79999999999995</v>
      </c>
      <c r="U38" s="72">
        <f t="shared" si="4"/>
        <v>497.8</v>
      </c>
      <c r="V38" s="72">
        <f t="shared" si="4"/>
        <v>519.79999999999995</v>
      </c>
      <c r="W38" s="72">
        <f t="shared" si="4"/>
        <v>837.80000000000018</v>
      </c>
      <c r="X38" s="72">
        <v>737.80000000000007</v>
      </c>
      <c r="Y38" s="72">
        <f t="shared" si="4"/>
        <v>837.80000000000018</v>
      </c>
      <c r="Z38" s="72">
        <f t="shared" si="4"/>
        <v>681.2</v>
      </c>
      <c r="AA38" s="72">
        <f t="shared" si="4"/>
        <v>631.20000000000005</v>
      </c>
      <c r="AB38" s="72">
        <f t="shared" si="4"/>
        <v>481.09999999999997</v>
      </c>
      <c r="AC38" s="72">
        <f t="shared" si="4"/>
        <v>481.49999999999994</v>
      </c>
      <c r="AD38" s="72">
        <f t="shared" si="4"/>
        <v>481.49999999999994</v>
      </c>
      <c r="AE38" s="72">
        <f t="shared" si="4"/>
        <v>493.49999999999994</v>
      </c>
      <c r="AF38" s="72">
        <f t="shared" si="4"/>
        <v>536.70000000000005</v>
      </c>
      <c r="AG38" s="67">
        <f>SUM(AG11:AG37)</f>
        <v>1492.8299999999997</v>
      </c>
      <c r="AH38" s="54">
        <f t="shared" si="2"/>
        <v>837.80000000000018</v>
      </c>
      <c r="AI38" s="55">
        <f t="shared" si="3"/>
        <v>476.5</v>
      </c>
      <c r="AK38" s="56"/>
    </row>
    <row r="39" spans="1:88" x14ac:dyDescent="0.25">
      <c r="A39" s="57" t="s">
        <v>47</v>
      </c>
      <c r="B39" s="49">
        <v>86.6</v>
      </c>
      <c r="C39" s="61">
        <v>61.3</v>
      </c>
      <c r="D39" s="61">
        <v>60</v>
      </c>
      <c r="E39" s="61">
        <v>40.6</v>
      </c>
      <c r="F39" s="61">
        <v>30.6</v>
      </c>
      <c r="G39" s="61">
        <v>30.6</v>
      </c>
      <c r="H39" s="61">
        <v>66.099999999999994</v>
      </c>
      <c r="I39" s="61">
        <v>66.099999999999994</v>
      </c>
      <c r="J39" s="61">
        <v>90</v>
      </c>
      <c r="K39" s="61">
        <v>146</v>
      </c>
      <c r="L39" s="61">
        <v>145.9</v>
      </c>
      <c r="M39" s="50">
        <v>145.9</v>
      </c>
      <c r="N39" s="50">
        <v>145.9</v>
      </c>
      <c r="O39" s="50">
        <v>146</v>
      </c>
      <c r="P39" s="50">
        <v>145.80000000000001</v>
      </c>
      <c r="Q39" s="50">
        <v>127.1</v>
      </c>
      <c r="R39" s="50">
        <v>81.400000000000006</v>
      </c>
      <c r="S39" s="50">
        <v>81.400000000000006</v>
      </c>
      <c r="T39" s="50">
        <v>71</v>
      </c>
      <c r="U39" s="50">
        <v>81</v>
      </c>
      <c r="V39" s="50">
        <v>111</v>
      </c>
      <c r="W39" s="50">
        <v>145.9</v>
      </c>
      <c r="X39" s="50">
        <v>145.80000000000001</v>
      </c>
      <c r="Y39" s="50">
        <v>145.80000000000001</v>
      </c>
      <c r="Z39" s="50">
        <v>145.80000000000001</v>
      </c>
      <c r="AA39" s="50">
        <v>145.80000000000001</v>
      </c>
      <c r="AB39" s="50">
        <v>121.6</v>
      </c>
      <c r="AC39" s="50">
        <v>145.80000000000001</v>
      </c>
      <c r="AD39" s="50">
        <v>100</v>
      </c>
      <c r="AE39" s="50">
        <v>95</v>
      </c>
      <c r="AF39" s="50">
        <v>63.5</v>
      </c>
      <c r="AG39" s="62">
        <v>144</v>
      </c>
      <c r="AH39" s="54">
        <f t="shared" si="2"/>
        <v>146</v>
      </c>
      <c r="AI39" s="55">
        <f t="shared" si="3"/>
        <v>30.6</v>
      </c>
      <c r="AK39" s="56"/>
    </row>
    <row r="40" spans="1:88" x14ac:dyDescent="0.25">
      <c r="A40" s="66" t="s">
        <v>48</v>
      </c>
      <c r="B40" s="61">
        <v>29.9</v>
      </c>
      <c r="C40" s="61">
        <v>23.2</v>
      </c>
      <c r="D40" s="61">
        <v>30</v>
      </c>
      <c r="E40" s="61">
        <v>23.2</v>
      </c>
      <c r="F40" s="61">
        <v>0</v>
      </c>
      <c r="G40" s="61">
        <v>21.8</v>
      </c>
      <c r="H40" s="61">
        <v>21.6</v>
      </c>
      <c r="I40" s="61">
        <v>22.3</v>
      </c>
      <c r="J40" s="61">
        <v>44.1</v>
      </c>
      <c r="K40" s="61">
        <v>70</v>
      </c>
      <c r="L40" s="61">
        <v>70.099999999999994</v>
      </c>
      <c r="M40" s="73">
        <v>70.099999999999994</v>
      </c>
      <c r="N40" s="73">
        <v>70.2</v>
      </c>
      <c r="O40" s="73">
        <v>59.4</v>
      </c>
      <c r="P40" s="73">
        <v>60.3</v>
      </c>
      <c r="Q40" s="73">
        <v>51.6</v>
      </c>
      <c r="R40" s="73">
        <v>44.5</v>
      </c>
      <c r="S40" s="73">
        <v>44.5</v>
      </c>
      <c r="T40" s="73">
        <v>46</v>
      </c>
      <c r="U40" s="73">
        <v>46</v>
      </c>
      <c r="V40" s="73">
        <v>45</v>
      </c>
      <c r="W40" s="73">
        <v>70.5</v>
      </c>
      <c r="X40" s="73">
        <v>71.900000000000006</v>
      </c>
      <c r="Y40" s="73">
        <v>71.900000000000006</v>
      </c>
      <c r="Z40" s="73">
        <v>71.900000000000006</v>
      </c>
      <c r="AA40" s="73">
        <v>71.900000000000006</v>
      </c>
      <c r="AB40" s="73">
        <v>49.6</v>
      </c>
      <c r="AC40" s="73">
        <v>59.6</v>
      </c>
      <c r="AD40" s="73">
        <v>42</v>
      </c>
      <c r="AE40" s="73">
        <v>34.799999999999997</v>
      </c>
      <c r="AF40" s="73">
        <v>29.8</v>
      </c>
      <c r="AG40" s="67">
        <v>70</v>
      </c>
      <c r="AH40" s="54">
        <f t="shared" si="2"/>
        <v>71.900000000000006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48.1</v>
      </c>
      <c r="C41" s="61">
        <v>49</v>
      </c>
      <c r="D41" s="61">
        <v>50.5</v>
      </c>
      <c r="E41" s="61">
        <v>45.6</v>
      </c>
      <c r="F41" s="61">
        <v>34.4</v>
      </c>
      <c r="G41" s="61">
        <v>35.4</v>
      </c>
      <c r="H41" s="61">
        <v>34.9</v>
      </c>
      <c r="I41" s="61">
        <v>35</v>
      </c>
      <c r="J41" s="61">
        <v>34.9</v>
      </c>
      <c r="K41" s="61">
        <v>65.7</v>
      </c>
      <c r="L41" s="61">
        <v>64.400000000000006</v>
      </c>
      <c r="M41" s="73">
        <v>69.3</v>
      </c>
      <c r="N41" s="73">
        <v>67.099999999999994</v>
      </c>
      <c r="O41" s="73">
        <v>66</v>
      </c>
      <c r="P41" s="73">
        <v>59.9</v>
      </c>
      <c r="Q41" s="73">
        <v>40.1</v>
      </c>
      <c r="R41" s="73">
        <v>35.4</v>
      </c>
      <c r="S41" s="73">
        <v>31</v>
      </c>
      <c r="T41" s="73">
        <v>32</v>
      </c>
      <c r="U41" s="73">
        <v>32</v>
      </c>
      <c r="V41" s="73">
        <v>50</v>
      </c>
      <c r="W41" s="73">
        <v>68.599999999999994</v>
      </c>
      <c r="X41" s="73">
        <v>68.400000000000006</v>
      </c>
      <c r="Y41" s="73">
        <v>68.400000000000006</v>
      </c>
      <c r="Z41" s="73">
        <v>68.400000000000006</v>
      </c>
      <c r="AA41" s="73">
        <v>68.400000000000006</v>
      </c>
      <c r="AB41" s="73">
        <v>68.400000000000006</v>
      </c>
      <c r="AC41" s="73">
        <v>66.400000000000006</v>
      </c>
      <c r="AD41" s="73">
        <v>57.3</v>
      </c>
      <c r="AE41" s="73">
        <v>42</v>
      </c>
      <c r="AF41" s="73">
        <v>42</v>
      </c>
      <c r="AG41" s="67">
        <v>69</v>
      </c>
      <c r="AH41" s="54">
        <f t="shared" si="2"/>
        <v>69.3</v>
      </c>
      <c r="AI41" s="55">
        <f t="shared" si="3"/>
        <v>31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60.2</v>
      </c>
      <c r="E42" s="61">
        <v>60.2</v>
      </c>
      <c r="F42" s="61">
        <v>60.2</v>
      </c>
      <c r="G42" s="61">
        <v>60.2</v>
      </c>
      <c r="H42" s="61">
        <v>60.2</v>
      </c>
      <c r="I42" s="61">
        <v>60.2</v>
      </c>
      <c r="J42" s="61">
        <v>60.2</v>
      </c>
      <c r="K42" s="61">
        <v>60.2</v>
      </c>
      <c r="L42" s="61">
        <v>60.2</v>
      </c>
      <c r="M42" s="73">
        <v>60.2</v>
      </c>
      <c r="N42" s="73">
        <v>60</v>
      </c>
      <c r="O42" s="73">
        <v>60</v>
      </c>
      <c r="P42" s="73">
        <v>60</v>
      </c>
      <c r="Q42" s="73">
        <v>60</v>
      </c>
      <c r="R42" s="73">
        <v>30.7</v>
      </c>
      <c r="S42" s="73">
        <v>30.7</v>
      </c>
      <c r="T42" s="73">
        <v>60.7</v>
      </c>
      <c r="U42" s="73">
        <v>60.7</v>
      </c>
      <c r="V42" s="73">
        <v>60</v>
      </c>
      <c r="W42" s="73">
        <v>60</v>
      </c>
      <c r="X42" s="73">
        <v>60</v>
      </c>
      <c r="Y42" s="73">
        <v>60</v>
      </c>
      <c r="Z42" s="73">
        <v>60</v>
      </c>
      <c r="AA42" s="73">
        <v>60</v>
      </c>
      <c r="AB42" s="73">
        <v>60</v>
      </c>
      <c r="AC42" s="73">
        <v>60.2</v>
      </c>
      <c r="AD42" s="73">
        <v>60.4</v>
      </c>
      <c r="AE42" s="73">
        <v>60.4</v>
      </c>
      <c r="AF42" s="73">
        <v>60.4</v>
      </c>
      <c r="AG42" s="67">
        <v>60</v>
      </c>
      <c r="AH42" s="54">
        <f t="shared" si="2"/>
        <v>60.7</v>
      </c>
      <c r="AI42" s="55">
        <f t="shared" si="3"/>
        <v>30.7</v>
      </c>
      <c r="AK42" s="56"/>
    </row>
    <row r="43" spans="1:88" x14ac:dyDescent="0.25">
      <c r="A43" s="66" t="s">
        <v>51</v>
      </c>
      <c r="B43" s="73">
        <v>10</v>
      </c>
      <c r="C43" s="61">
        <v>10.4</v>
      </c>
      <c r="D43" s="61">
        <v>10.4</v>
      </c>
      <c r="E43" s="61">
        <v>10.4</v>
      </c>
      <c r="F43" s="61">
        <v>9.8000000000000007</v>
      </c>
      <c r="G43" s="61">
        <v>10.5</v>
      </c>
      <c r="H43" s="61">
        <v>10.5</v>
      </c>
      <c r="I43" s="61">
        <v>23.2</v>
      </c>
      <c r="J43" s="61">
        <v>23.2</v>
      </c>
      <c r="K43" s="61">
        <v>22.4</v>
      </c>
      <c r="L43" s="61">
        <v>23.1</v>
      </c>
      <c r="M43" s="50">
        <v>26.2</v>
      </c>
      <c r="N43" s="50">
        <v>14.9</v>
      </c>
      <c r="O43" s="50">
        <v>15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9</v>
      </c>
      <c r="W43" s="50">
        <v>9</v>
      </c>
      <c r="X43" s="50">
        <v>30</v>
      </c>
      <c r="Y43" s="50">
        <v>30</v>
      </c>
      <c r="Z43" s="50">
        <v>30</v>
      </c>
      <c r="AA43" s="50">
        <v>30</v>
      </c>
      <c r="AB43" s="50">
        <v>28.4</v>
      </c>
      <c r="AC43" s="50">
        <v>28.2</v>
      </c>
      <c r="AD43" s="50">
        <v>28.2</v>
      </c>
      <c r="AE43" s="50">
        <v>14.9</v>
      </c>
      <c r="AF43" s="50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3</v>
      </c>
      <c r="C46" s="50">
        <v>3</v>
      </c>
      <c r="D46" s="50">
        <v>3</v>
      </c>
      <c r="E46" s="50">
        <v>3</v>
      </c>
      <c r="F46" s="50">
        <v>3</v>
      </c>
      <c r="G46" s="50">
        <v>3</v>
      </c>
      <c r="H46" s="50">
        <v>3</v>
      </c>
      <c r="I46" s="50">
        <v>3</v>
      </c>
      <c r="J46" s="50">
        <v>3</v>
      </c>
      <c r="K46" s="50">
        <v>3</v>
      </c>
      <c r="L46" s="50">
        <v>3.3</v>
      </c>
      <c r="M46" s="50">
        <v>3.3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3.3</v>
      </c>
      <c r="AI46" s="55">
        <f t="shared" si="3"/>
        <v>3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0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</v>
      </c>
      <c r="C48" s="50">
        <v>6</v>
      </c>
      <c r="D48" s="50">
        <v>6</v>
      </c>
      <c r="E48" s="50">
        <v>6</v>
      </c>
      <c r="F48" s="50">
        <v>6</v>
      </c>
      <c r="G48" s="50">
        <v>6</v>
      </c>
      <c r="H48" s="50">
        <v>6</v>
      </c>
      <c r="I48" s="50">
        <v>6</v>
      </c>
      <c r="J48" s="50">
        <v>6</v>
      </c>
      <c r="K48" s="50">
        <v>6</v>
      </c>
      <c r="L48" s="50">
        <v>6</v>
      </c>
      <c r="M48" s="50">
        <v>6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50">
        <v>7</v>
      </c>
      <c r="AG48" s="67">
        <v>14</v>
      </c>
      <c r="AH48" s="54">
        <f t="shared" si="2"/>
        <v>7</v>
      </c>
      <c r="AI48" s="55">
        <f t="shared" si="3"/>
        <v>6</v>
      </c>
      <c r="AK48" s="56"/>
    </row>
    <row r="49" spans="1:37" x14ac:dyDescent="0.25">
      <c r="A49" s="66" t="s">
        <v>57</v>
      </c>
      <c r="B49" s="50">
        <v>8</v>
      </c>
      <c r="C49" s="50">
        <v>8</v>
      </c>
      <c r="D49" s="50">
        <v>8</v>
      </c>
      <c r="E49" s="50">
        <v>8</v>
      </c>
      <c r="F49" s="50">
        <v>8</v>
      </c>
      <c r="G49" s="50">
        <v>8</v>
      </c>
      <c r="H49" s="50">
        <v>8</v>
      </c>
      <c r="I49" s="50">
        <v>8</v>
      </c>
      <c r="J49" s="50">
        <v>8</v>
      </c>
      <c r="K49" s="50">
        <v>8</v>
      </c>
      <c r="L49" s="50">
        <v>8</v>
      </c>
      <c r="M49" s="50">
        <v>8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8</v>
      </c>
      <c r="AI49" s="55">
        <f t="shared" si="3"/>
        <v>6.6</v>
      </c>
      <c r="AK49" s="56"/>
    </row>
    <row r="50" spans="1:37" x14ac:dyDescent="0.25">
      <c r="A50" s="66" t="s">
        <v>58</v>
      </c>
      <c r="B50" s="50">
        <v>4.4000000000000004</v>
      </c>
      <c r="C50" s="50">
        <v>4.4000000000000004</v>
      </c>
      <c r="D50" s="50">
        <v>4.4000000000000004</v>
      </c>
      <c r="E50" s="50">
        <v>4.4000000000000004</v>
      </c>
      <c r="F50" s="50">
        <v>4.4000000000000004</v>
      </c>
      <c r="G50" s="50">
        <v>4.4000000000000004</v>
      </c>
      <c r="H50" s="50">
        <v>4.4000000000000004</v>
      </c>
      <c r="I50" s="50">
        <v>4.4000000000000004</v>
      </c>
      <c r="J50" s="50">
        <v>4.4000000000000004</v>
      </c>
      <c r="K50" s="50">
        <v>4.4000000000000004</v>
      </c>
      <c r="L50" s="50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5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ref="AD51" si="7">AD199</f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290.74</v>
      </c>
      <c r="C52" s="72">
        <f t="shared" ref="C52:AF52" si="8">SUM(C39:C51)</f>
        <v>260.04000000000002</v>
      </c>
      <c r="D52" s="72">
        <f t="shared" si="8"/>
        <v>267.04000000000002</v>
      </c>
      <c r="E52" s="72">
        <f t="shared" si="8"/>
        <v>235.94000000000003</v>
      </c>
      <c r="F52" s="72">
        <f t="shared" si="8"/>
        <v>190.94</v>
      </c>
      <c r="G52" s="72">
        <f t="shared" si="8"/>
        <v>214.44</v>
      </c>
      <c r="H52" s="72">
        <f t="shared" si="8"/>
        <v>249.24</v>
      </c>
      <c r="I52" s="72">
        <f t="shared" si="8"/>
        <v>262.74</v>
      </c>
      <c r="J52" s="72">
        <f t="shared" si="8"/>
        <v>308.33999999999997</v>
      </c>
      <c r="K52" s="72">
        <f t="shared" si="8"/>
        <v>420.23999999999995</v>
      </c>
      <c r="L52" s="72">
        <f t="shared" si="8"/>
        <v>419.94</v>
      </c>
      <c r="M52" s="72">
        <f t="shared" si="8"/>
        <v>427.94</v>
      </c>
      <c r="N52" s="72">
        <f t="shared" si="8"/>
        <v>413.84000000000003</v>
      </c>
      <c r="O52" s="72">
        <f t="shared" si="8"/>
        <v>402.14</v>
      </c>
      <c r="P52" s="72">
        <f t="shared" si="8"/>
        <v>391.74</v>
      </c>
      <c r="Q52" s="72">
        <f t="shared" si="8"/>
        <v>344.53999999999996</v>
      </c>
      <c r="R52" s="72">
        <f t="shared" si="8"/>
        <v>247.73999999999998</v>
      </c>
      <c r="S52" s="72">
        <f t="shared" si="8"/>
        <v>243.33999999999997</v>
      </c>
      <c r="T52" s="72">
        <f t="shared" si="8"/>
        <v>265.44</v>
      </c>
      <c r="U52" s="72">
        <f t="shared" si="8"/>
        <v>275.44</v>
      </c>
      <c r="V52" s="72">
        <f t="shared" si="8"/>
        <v>330.74</v>
      </c>
      <c r="W52" s="72">
        <f t="shared" si="8"/>
        <v>409.74</v>
      </c>
      <c r="X52" s="72">
        <v>431.84000000000003</v>
      </c>
      <c r="Y52" s="72">
        <f t="shared" si="8"/>
        <v>431.84000000000003</v>
      </c>
      <c r="Z52" s="72">
        <f t="shared" si="8"/>
        <v>418.84000000000003</v>
      </c>
      <c r="AA52" s="72">
        <f t="shared" si="8"/>
        <v>431.84000000000003</v>
      </c>
      <c r="AB52" s="72">
        <f t="shared" si="8"/>
        <v>383.74</v>
      </c>
      <c r="AC52" s="72">
        <f t="shared" si="8"/>
        <v>415.94</v>
      </c>
      <c r="AD52" s="72">
        <f t="shared" si="8"/>
        <v>343.64</v>
      </c>
      <c r="AE52" s="72">
        <f t="shared" si="8"/>
        <v>302.84000000000003</v>
      </c>
      <c r="AF52" s="72">
        <f t="shared" si="8"/>
        <v>251.44</v>
      </c>
      <c r="AG52" s="78">
        <f>SUM(AG39:AG51)</f>
        <v>489.91</v>
      </c>
      <c r="AH52" s="54">
        <f t="shared" si="2"/>
        <v>431.84000000000003</v>
      </c>
      <c r="AI52" s="55">
        <f t="shared" si="3"/>
        <v>190.94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20</v>
      </c>
      <c r="L53" s="61">
        <v>49.5</v>
      </c>
      <c r="M53" s="79">
        <v>44.9</v>
      </c>
      <c r="N53" s="79">
        <v>59.5</v>
      </c>
      <c r="O53" s="79">
        <v>39.200000000000003</v>
      </c>
      <c r="P53" s="79">
        <v>45.6</v>
      </c>
      <c r="Q53" s="50">
        <v>29.5</v>
      </c>
      <c r="R53" s="50">
        <v>10.5</v>
      </c>
      <c r="S53" s="50">
        <v>14.8</v>
      </c>
      <c r="T53" s="50">
        <v>14.8</v>
      </c>
      <c r="U53" s="50">
        <v>20</v>
      </c>
      <c r="V53" s="50">
        <v>42</v>
      </c>
      <c r="W53" s="50">
        <v>50.8</v>
      </c>
      <c r="X53" s="50">
        <v>53</v>
      </c>
      <c r="Y53" s="50">
        <v>53</v>
      </c>
      <c r="Z53" s="50">
        <v>55.3</v>
      </c>
      <c r="AA53" s="50">
        <v>57.8</v>
      </c>
      <c r="AB53" s="50">
        <v>57.6</v>
      </c>
      <c r="AC53" s="50">
        <v>53.7</v>
      </c>
      <c r="AD53" s="50">
        <v>50</v>
      </c>
      <c r="AE53" s="50">
        <v>0</v>
      </c>
      <c r="AF53" s="50">
        <v>0</v>
      </c>
      <c r="AG53" s="62">
        <v>60</v>
      </c>
      <c r="AH53" s="54">
        <f t="shared" si="2"/>
        <v>59.5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9.3000000000000007</v>
      </c>
      <c r="L54" s="61">
        <v>19.7</v>
      </c>
      <c r="M54" s="79">
        <v>18</v>
      </c>
      <c r="N54" s="79">
        <v>30</v>
      </c>
      <c r="O54" s="79">
        <v>19.899999999999999</v>
      </c>
      <c r="P54" s="79">
        <v>18.2</v>
      </c>
      <c r="Q54" s="73">
        <v>16.100000000000001</v>
      </c>
      <c r="R54" s="73">
        <v>7</v>
      </c>
      <c r="S54" s="50">
        <v>7.4</v>
      </c>
      <c r="T54" s="50">
        <v>6.8</v>
      </c>
      <c r="U54" s="50">
        <v>10</v>
      </c>
      <c r="V54" s="73">
        <v>15</v>
      </c>
      <c r="W54" s="73">
        <v>26.5</v>
      </c>
      <c r="X54" s="73">
        <v>24</v>
      </c>
      <c r="Y54" s="73">
        <v>24</v>
      </c>
      <c r="Z54" s="73">
        <v>26</v>
      </c>
      <c r="AA54" s="73">
        <v>26.9</v>
      </c>
      <c r="AB54" s="73">
        <v>29.2</v>
      </c>
      <c r="AC54" s="73">
        <v>26</v>
      </c>
      <c r="AD54" s="73">
        <v>25</v>
      </c>
      <c r="AE54" s="73">
        <v>0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3.4</v>
      </c>
      <c r="L55" s="74">
        <v>7.2</v>
      </c>
      <c r="M55" s="81">
        <v>6.6</v>
      </c>
      <c r="N55" s="81">
        <v>11</v>
      </c>
      <c r="O55" s="81">
        <v>7.3</v>
      </c>
      <c r="P55" s="81">
        <v>6.7</v>
      </c>
      <c r="Q55" s="80">
        <v>5.9</v>
      </c>
      <c r="R55" s="80">
        <v>2.5</v>
      </c>
      <c r="S55" s="50">
        <v>2.7</v>
      </c>
      <c r="T55" s="50">
        <v>2.5</v>
      </c>
      <c r="U55" s="50">
        <v>3.7</v>
      </c>
      <c r="V55" s="80">
        <v>5.5</v>
      </c>
      <c r="W55" s="80">
        <v>9.6999999999999993</v>
      </c>
      <c r="X55" s="80">
        <v>8.8000000000000007</v>
      </c>
      <c r="Y55" s="80">
        <v>8.8000000000000007</v>
      </c>
      <c r="Z55" s="80">
        <v>9.5</v>
      </c>
      <c r="AA55" s="80">
        <v>9.8000000000000007</v>
      </c>
      <c r="AB55" s="80">
        <v>10.7</v>
      </c>
      <c r="AC55" s="80">
        <v>9.5</v>
      </c>
      <c r="AD55" s="80">
        <v>9.1</v>
      </c>
      <c r="AE55" s="80">
        <v>0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9">SUM(D53:D55)</f>
        <v>0</v>
      </c>
      <c r="E56" s="72">
        <f t="shared" si="9"/>
        <v>0</v>
      </c>
      <c r="F56" s="72">
        <f t="shared" si="9"/>
        <v>0</v>
      </c>
      <c r="G56" s="72">
        <f t="shared" si="9"/>
        <v>0</v>
      </c>
      <c r="H56" s="72">
        <f t="shared" si="9"/>
        <v>0</v>
      </c>
      <c r="I56" s="72">
        <f t="shared" si="9"/>
        <v>0</v>
      </c>
      <c r="J56" s="72">
        <f t="shared" si="9"/>
        <v>0</v>
      </c>
      <c r="K56" s="72">
        <f t="shared" si="9"/>
        <v>32.700000000000003</v>
      </c>
      <c r="L56" s="72">
        <f t="shared" si="9"/>
        <v>76.400000000000006</v>
      </c>
      <c r="M56" s="72">
        <f t="shared" si="9"/>
        <v>69.5</v>
      </c>
      <c r="N56" s="72">
        <f t="shared" si="9"/>
        <v>100.5</v>
      </c>
      <c r="O56" s="72">
        <f t="shared" si="9"/>
        <v>66.400000000000006</v>
      </c>
      <c r="P56" s="72">
        <f t="shared" si="9"/>
        <v>70.5</v>
      </c>
      <c r="Q56" s="72">
        <f t="shared" si="9"/>
        <v>51.5</v>
      </c>
      <c r="R56" s="72">
        <f t="shared" si="9"/>
        <v>20</v>
      </c>
      <c r="S56" s="72">
        <f t="shared" si="9"/>
        <v>24.900000000000002</v>
      </c>
      <c r="T56" s="72">
        <f t="shared" si="9"/>
        <v>24.1</v>
      </c>
      <c r="U56" s="72">
        <f t="shared" si="9"/>
        <v>33.700000000000003</v>
      </c>
      <c r="V56" s="72">
        <f t="shared" si="9"/>
        <v>62.5</v>
      </c>
      <c r="W56" s="72">
        <f t="shared" si="9"/>
        <v>87</v>
      </c>
      <c r="X56" s="72">
        <v>85.8</v>
      </c>
      <c r="Y56" s="72">
        <f t="shared" si="9"/>
        <v>85.8</v>
      </c>
      <c r="Z56" s="72">
        <f t="shared" si="9"/>
        <v>90.8</v>
      </c>
      <c r="AA56" s="72">
        <f t="shared" si="9"/>
        <v>94.499999999999986</v>
      </c>
      <c r="AB56" s="72">
        <f t="shared" si="9"/>
        <v>97.5</v>
      </c>
      <c r="AC56" s="72">
        <f t="shared" si="9"/>
        <v>89.2</v>
      </c>
      <c r="AD56" s="72">
        <f t="shared" si="9"/>
        <v>84.1</v>
      </c>
      <c r="AE56" s="72">
        <f t="shared" si="9"/>
        <v>0</v>
      </c>
      <c r="AF56" s="72">
        <f t="shared" si="9"/>
        <v>0</v>
      </c>
      <c r="AG56" s="78">
        <f>SUM(AG53:AG55)</f>
        <v>106</v>
      </c>
      <c r="AH56" s="54">
        <f t="shared" si="2"/>
        <v>100.5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61.5</v>
      </c>
      <c r="C57" s="50">
        <v>58.1</v>
      </c>
      <c r="D57" s="50">
        <v>58.8</v>
      </c>
      <c r="E57" s="50">
        <v>67</v>
      </c>
      <c r="F57" s="50">
        <v>65</v>
      </c>
      <c r="G57" s="50">
        <v>65.099999999999994</v>
      </c>
      <c r="H57" s="50">
        <v>66.599999999999994</v>
      </c>
      <c r="I57" s="50">
        <v>69.400000000000006</v>
      </c>
      <c r="J57" s="50">
        <v>70.5</v>
      </c>
      <c r="K57" s="50">
        <v>63</v>
      </c>
      <c r="L57" s="50">
        <v>70.7</v>
      </c>
      <c r="M57" s="50">
        <v>70</v>
      </c>
      <c r="N57" s="50">
        <v>74.3</v>
      </c>
      <c r="O57" s="50">
        <v>67.5</v>
      </c>
      <c r="P57" s="50">
        <v>66.599999999999994</v>
      </c>
      <c r="Q57" s="50">
        <v>57</v>
      </c>
      <c r="R57" s="50">
        <v>63.6</v>
      </c>
      <c r="S57" s="50">
        <v>67.599999999999994</v>
      </c>
      <c r="T57" s="50">
        <v>67</v>
      </c>
      <c r="U57" s="50">
        <v>70</v>
      </c>
      <c r="V57" s="50">
        <v>59.8</v>
      </c>
      <c r="W57" s="50">
        <v>66.7</v>
      </c>
      <c r="X57" s="50">
        <v>68.8</v>
      </c>
      <c r="Y57" s="50">
        <v>72</v>
      </c>
      <c r="Z57" s="50">
        <v>74</v>
      </c>
      <c r="AA57" s="50">
        <v>71</v>
      </c>
      <c r="AB57" s="50">
        <v>63.2</v>
      </c>
      <c r="AC57" s="50">
        <v>60.7</v>
      </c>
      <c r="AD57" s="50">
        <v>60.7</v>
      </c>
      <c r="AE57" s="50">
        <v>54</v>
      </c>
      <c r="AF57" s="50">
        <v>56.5</v>
      </c>
      <c r="AG57" s="62"/>
      <c r="AH57" s="54">
        <f t="shared" si="2"/>
        <v>74.3</v>
      </c>
      <c r="AI57" s="55">
        <f t="shared" si="3"/>
        <v>54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87.9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67"/>
      <c r="AH58" s="54">
        <f t="shared" si="2"/>
        <v>87.9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62.2</v>
      </c>
      <c r="C59" s="73">
        <v>41.8</v>
      </c>
      <c r="D59" s="73">
        <v>44.5</v>
      </c>
      <c r="E59" s="73">
        <v>49.3</v>
      </c>
      <c r="F59" s="73">
        <v>53.7</v>
      </c>
      <c r="G59" s="73">
        <v>101.1</v>
      </c>
      <c r="H59" s="50">
        <v>117.1</v>
      </c>
      <c r="I59" s="50">
        <v>156.80000000000001</v>
      </c>
      <c r="J59" s="50">
        <v>167.4</v>
      </c>
      <c r="K59" s="50">
        <v>172</v>
      </c>
      <c r="L59" s="50">
        <v>102</v>
      </c>
      <c r="M59" s="73">
        <v>191.6</v>
      </c>
      <c r="N59" s="73">
        <v>81</v>
      </c>
      <c r="O59" s="73">
        <v>340</v>
      </c>
      <c r="P59" s="73">
        <v>325</v>
      </c>
      <c r="Q59" s="73">
        <v>331.6</v>
      </c>
      <c r="R59" s="73">
        <v>319.10000000000002</v>
      </c>
      <c r="S59" s="73">
        <v>341</v>
      </c>
      <c r="T59" s="73">
        <v>335</v>
      </c>
      <c r="U59" s="73">
        <v>330</v>
      </c>
      <c r="V59" s="73">
        <v>320</v>
      </c>
      <c r="W59" s="73">
        <v>41.5</v>
      </c>
      <c r="X59" s="84">
        <v>98</v>
      </c>
      <c r="Y59" s="84">
        <v>97</v>
      </c>
      <c r="Z59" s="84">
        <v>186</v>
      </c>
      <c r="AA59" s="84">
        <v>190</v>
      </c>
      <c r="AB59" s="84">
        <v>285.89999999999998</v>
      </c>
      <c r="AC59" s="84">
        <v>320</v>
      </c>
      <c r="AD59" s="84">
        <v>260</v>
      </c>
      <c r="AE59" s="84">
        <v>203</v>
      </c>
      <c r="AF59" s="84">
        <v>122</v>
      </c>
      <c r="AG59" s="85"/>
      <c r="AH59" s="54">
        <f t="shared" si="2"/>
        <v>341</v>
      </c>
      <c r="AI59" s="55">
        <f t="shared" si="3"/>
        <v>41.5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55</v>
      </c>
      <c r="N60" s="73">
        <v>0</v>
      </c>
      <c r="O60" s="73">
        <v>0</v>
      </c>
      <c r="P60" s="73">
        <v>0</v>
      </c>
      <c r="Q60" s="73">
        <v>0</v>
      </c>
      <c r="R60" s="73">
        <v>58</v>
      </c>
      <c r="S60" s="73">
        <v>58</v>
      </c>
      <c r="T60" s="73">
        <v>60</v>
      </c>
      <c r="U60" s="73">
        <v>60</v>
      </c>
      <c r="V60" s="73">
        <v>43</v>
      </c>
      <c r="W60" s="73">
        <v>13</v>
      </c>
      <c r="X60" s="73">
        <v>15</v>
      </c>
      <c r="Y60" s="73">
        <v>15</v>
      </c>
      <c r="Z60" s="73">
        <v>14</v>
      </c>
      <c r="AA60" s="73">
        <v>14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60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0">
        <v>0</v>
      </c>
      <c r="O61" s="50">
        <v>0</v>
      </c>
      <c r="P61" s="73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70.5</v>
      </c>
      <c r="Y61" s="50">
        <v>72</v>
      </c>
      <c r="Z61" s="50">
        <v>62</v>
      </c>
      <c r="AA61" s="50">
        <v>70.5</v>
      </c>
      <c r="AB61" s="50">
        <v>66.2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73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60">
        <v>0</v>
      </c>
      <c r="O63" s="60">
        <v>0</v>
      </c>
      <c r="P63" s="73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73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73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63">
        <v>0</v>
      </c>
      <c r="O66" s="63">
        <v>0</v>
      </c>
      <c r="P66" s="7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63">
        <v>0</v>
      </c>
      <c r="O67" s="63">
        <v>0</v>
      </c>
      <c r="P67" s="7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123.7</v>
      </c>
      <c r="C68" s="72">
        <f>SUM(C57:C67)</f>
        <v>99.9</v>
      </c>
      <c r="D68" s="72">
        <f t="shared" ref="D68:AF68" si="10">SUM(D57:D67)</f>
        <v>103.3</v>
      </c>
      <c r="E68" s="72">
        <f t="shared" si="10"/>
        <v>116.3</v>
      </c>
      <c r="F68" s="72">
        <f t="shared" si="10"/>
        <v>118.7</v>
      </c>
      <c r="G68" s="72">
        <f t="shared" si="10"/>
        <v>166.2</v>
      </c>
      <c r="H68" s="72">
        <f t="shared" si="10"/>
        <v>183.7</v>
      </c>
      <c r="I68" s="72">
        <f t="shared" si="10"/>
        <v>226.20000000000002</v>
      </c>
      <c r="J68" s="72">
        <f t="shared" si="10"/>
        <v>237.9</v>
      </c>
      <c r="K68" s="72">
        <f t="shared" si="10"/>
        <v>235</v>
      </c>
      <c r="L68" s="72">
        <f t="shared" si="10"/>
        <v>172.7</v>
      </c>
      <c r="M68" s="72">
        <f t="shared" si="10"/>
        <v>316.60000000000002</v>
      </c>
      <c r="N68" s="72">
        <f t="shared" si="10"/>
        <v>155.30000000000001</v>
      </c>
      <c r="O68" s="72">
        <f t="shared" si="10"/>
        <v>407.5</v>
      </c>
      <c r="P68" s="72">
        <f t="shared" si="10"/>
        <v>391.6</v>
      </c>
      <c r="Q68" s="72">
        <f t="shared" si="10"/>
        <v>388.6</v>
      </c>
      <c r="R68" s="72">
        <f t="shared" si="10"/>
        <v>440.70000000000005</v>
      </c>
      <c r="S68" s="72">
        <f t="shared" si="10"/>
        <v>466.6</v>
      </c>
      <c r="T68" s="72">
        <f t="shared" si="10"/>
        <v>462</v>
      </c>
      <c r="U68" s="72">
        <f t="shared" si="10"/>
        <v>460</v>
      </c>
      <c r="V68" s="72">
        <f t="shared" si="10"/>
        <v>422.8</v>
      </c>
      <c r="W68" s="72">
        <f t="shared" si="10"/>
        <v>121.2</v>
      </c>
      <c r="X68" s="72">
        <v>340.2</v>
      </c>
      <c r="Y68" s="72">
        <f t="shared" si="10"/>
        <v>256</v>
      </c>
      <c r="Z68" s="72">
        <f t="shared" si="10"/>
        <v>336</v>
      </c>
      <c r="AA68" s="72">
        <f t="shared" si="10"/>
        <v>345.5</v>
      </c>
      <c r="AB68" s="72">
        <f t="shared" si="10"/>
        <v>415.29999999999995</v>
      </c>
      <c r="AC68" s="72">
        <f t="shared" si="10"/>
        <v>380.7</v>
      </c>
      <c r="AD68" s="72">
        <f t="shared" si="10"/>
        <v>320.7</v>
      </c>
      <c r="AE68" s="72">
        <f t="shared" si="10"/>
        <v>257</v>
      </c>
      <c r="AF68" s="72">
        <f t="shared" si="10"/>
        <v>178.5</v>
      </c>
      <c r="AG68" s="78">
        <f>SUM(AG57:AG67)</f>
        <v>0</v>
      </c>
      <c r="AH68" s="54">
        <f t="shared" si="2"/>
        <v>466.6</v>
      </c>
      <c r="AI68" s="55">
        <f t="shared" si="3"/>
        <v>99.9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890.94</v>
      </c>
      <c r="C73" s="89">
        <f>C68+C56+C52+C38+C72</f>
        <v>836.44</v>
      </c>
      <c r="D73" s="89">
        <f t="shared" ref="D73:AG73" si="12">D68+D56+D52+D38+D72</f>
        <v>846.84</v>
      </c>
      <c r="E73" s="89">
        <f t="shared" si="12"/>
        <v>828.74</v>
      </c>
      <c r="F73" s="89">
        <f t="shared" si="12"/>
        <v>833.14</v>
      </c>
      <c r="G73" s="89">
        <f t="shared" si="12"/>
        <v>891.14</v>
      </c>
      <c r="H73" s="89">
        <f t="shared" si="12"/>
        <v>944.54</v>
      </c>
      <c r="I73" s="89">
        <f t="shared" si="12"/>
        <v>1047.6400000000001</v>
      </c>
      <c r="J73" s="89">
        <f t="shared" si="12"/>
        <v>1174.44</v>
      </c>
      <c r="K73" s="89">
        <f t="shared" si="12"/>
        <v>1319.7399999999998</v>
      </c>
      <c r="L73" s="89">
        <f t="shared" si="12"/>
        <v>1456.54</v>
      </c>
      <c r="M73" s="89">
        <f t="shared" si="12"/>
        <v>1577.24</v>
      </c>
      <c r="N73" s="89">
        <f t="shared" si="12"/>
        <v>1437.3400000000001</v>
      </c>
      <c r="O73" s="89">
        <f t="shared" si="12"/>
        <v>1403.74</v>
      </c>
      <c r="P73" s="89">
        <f t="shared" si="12"/>
        <v>1371.54</v>
      </c>
      <c r="Q73" s="89">
        <f t="shared" si="12"/>
        <v>1312.3400000000001</v>
      </c>
      <c r="R73" s="89">
        <f t="shared" si="12"/>
        <v>1194.24</v>
      </c>
      <c r="S73" s="89">
        <f t="shared" si="12"/>
        <v>1227.6399999999999</v>
      </c>
      <c r="T73" s="89">
        <f t="shared" si="12"/>
        <v>1234.3399999999999</v>
      </c>
      <c r="U73" s="89">
        <f t="shared" si="12"/>
        <v>1266.94</v>
      </c>
      <c r="V73" s="89">
        <f t="shared" si="12"/>
        <v>1335.84</v>
      </c>
      <c r="W73" s="89">
        <f t="shared" si="12"/>
        <v>1455.7400000000002</v>
      </c>
      <c r="X73" s="89">
        <f t="shared" si="12"/>
        <v>1595.64</v>
      </c>
      <c r="Y73" s="89">
        <f t="shared" si="12"/>
        <v>1611.4400000000003</v>
      </c>
      <c r="Z73" s="89">
        <f t="shared" si="12"/>
        <v>1526.8400000000001</v>
      </c>
      <c r="AA73" s="89">
        <f t="shared" si="12"/>
        <v>1503.04</v>
      </c>
      <c r="AB73" s="89">
        <f t="shared" si="12"/>
        <v>1377.6399999999999</v>
      </c>
      <c r="AC73" s="89">
        <f t="shared" si="12"/>
        <v>1367.34</v>
      </c>
      <c r="AD73" s="89">
        <f t="shared" si="12"/>
        <v>1229.9399999999998</v>
      </c>
      <c r="AE73" s="89">
        <f t="shared" si="12"/>
        <v>1053.3399999999999</v>
      </c>
      <c r="AF73" s="89">
        <f t="shared" si="12"/>
        <v>966.6400000000001</v>
      </c>
      <c r="AG73" s="89">
        <f t="shared" si="12"/>
        <v>2144.14</v>
      </c>
      <c r="AH73" s="54">
        <f t="shared" si="2"/>
        <v>1611.4400000000003</v>
      </c>
      <c r="AI73" s="55">
        <f t="shared" si="3"/>
        <v>828.74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>
        <v>25</v>
      </c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25</v>
      </c>
      <c r="AI74" s="55">
        <f t="shared" si="3"/>
        <v>25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890.94</v>
      </c>
      <c r="C75" s="89">
        <f>C73+C74</f>
        <v>836.44</v>
      </c>
      <c r="D75" s="89">
        <f t="shared" ref="D75:AF75" si="13">D72+D68+D56+D52+D38+D74</f>
        <v>846.84</v>
      </c>
      <c r="E75" s="89">
        <f t="shared" si="13"/>
        <v>828.74</v>
      </c>
      <c r="F75" s="89">
        <f t="shared" si="13"/>
        <v>833.14</v>
      </c>
      <c r="G75" s="89">
        <f t="shared" si="13"/>
        <v>891.14</v>
      </c>
      <c r="H75" s="89">
        <f t="shared" si="13"/>
        <v>944.54</v>
      </c>
      <c r="I75" s="89">
        <f t="shared" si="13"/>
        <v>1047.6400000000001</v>
      </c>
      <c r="J75" s="89">
        <f t="shared" si="13"/>
        <v>1174.44</v>
      </c>
      <c r="K75" s="89">
        <f t="shared" si="13"/>
        <v>1319.7399999999998</v>
      </c>
      <c r="L75" s="89">
        <f t="shared" si="13"/>
        <v>1456.54</v>
      </c>
      <c r="M75" s="89">
        <f t="shared" si="13"/>
        <v>1577.24</v>
      </c>
      <c r="N75" s="89">
        <f t="shared" si="13"/>
        <v>1437.3400000000001</v>
      </c>
      <c r="O75" s="89">
        <f t="shared" si="13"/>
        <v>1403.74</v>
      </c>
      <c r="P75" s="89">
        <f t="shared" si="13"/>
        <v>1371.54</v>
      </c>
      <c r="Q75" s="89">
        <f t="shared" si="13"/>
        <v>1312.3400000000001</v>
      </c>
      <c r="R75" s="89">
        <f t="shared" si="13"/>
        <v>1194.24</v>
      </c>
      <c r="S75" s="89">
        <f t="shared" si="13"/>
        <v>1227.6399999999999</v>
      </c>
      <c r="T75" s="89">
        <f t="shared" si="13"/>
        <v>1234.3399999999999</v>
      </c>
      <c r="U75" s="89">
        <f t="shared" si="13"/>
        <v>1266.94</v>
      </c>
      <c r="V75" s="89">
        <f t="shared" si="13"/>
        <v>1335.84</v>
      </c>
      <c r="W75" s="89">
        <f t="shared" si="13"/>
        <v>1455.7400000000002</v>
      </c>
      <c r="X75" s="89">
        <f t="shared" si="13"/>
        <v>1620.64</v>
      </c>
      <c r="Y75" s="89">
        <f t="shared" si="13"/>
        <v>1611.4400000000003</v>
      </c>
      <c r="Z75" s="89">
        <f t="shared" si="13"/>
        <v>1526.8400000000001</v>
      </c>
      <c r="AA75" s="89">
        <f t="shared" si="13"/>
        <v>1503.04</v>
      </c>
      <c r="AB75" s="89">
        <f t="shared" si="13"/>
        <v>1377.6399999999999</v>
      </c>
      <c r="AC75" s="89">
        <f t="shared" si="13"/>
        <v>1367.34</v>
      </c>
      <c r="AD75" s="89">
        <f t="shared" si="13"/>
        <v>1229.9399999999998</v>
      </c>
      <c r="AE75" s="89">
        <f t="shared" si="13"/>
        <v>1053.3399999999999</v>
      </c>
      <c r="AF75" s="89">
        <f t="shared" si="13"/>
        <v>966.6400000000001</v>
      </c>
      <c r="AG75" s="78">
        <f>AG72+AG68+AG56+AG52+AG38+AG74</f>
        <v>2144.14</v>
      </c>
      <c r="AH75" s="54">
        <f t="shared" si="2"/>
        <v>1620.64</v>
      </c>
      <c r="AI75" s="55">
        <f t="shared" si="3"/>
        <v>828.74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1781.88</v>
      </c>
      <c r="C83" s="72">
        <f t="shared" ref="C83:AG83" si="22">SUM(C70:C82)</f>
        <v>1672.88</v>
      </c>
      <c r="D83" s="72">
        <f t="shared" si="22"/>
        <v>1693.68</v>
      </c>
      <c r="E83" s="72">
        <f t="shared" si="22"/>
        <v>1657.48</v>
      </c>
      <c r="F83" s="72">
        <f t="shared" si="22"/>
        <v>1666.28</v>
      </c>
      <c r="G83" s="72">
        <f t="shared" si="22"/>
        <v>1782.28</v>
      </c>
      <c r="H83" s="72">
        <f t="shared" si="22"/>
        <v>1889.08</v>
      </c>
      <c r="I83" s="72">
        <f t="shared" si="22"/>
        <v>2095.2800000000002</v>
      </c>
      <c r="J83" s="72">
        <f t="shared" si="22"/>
        <v>2348.88</v>
      </c>
      <c r="K83" s="72">
        <f t="shared" si="22"/>
        <v>2639.4799999999996</v>
      </c>
      <c r="L83" s="72">
        <f t="shared" si="22"/>
        <v>2913.08</v>
      </c>
      <c r="M83" s="72">
        <f t="shared" si="22"/>
        <v>3154.48</v>
      </c>
      <c r="N83" s="72">
        <f t="shared" si="22"/>
        <v>2874.6800000000003</v>
      </c>
      <c r="O83" s="72">
        <f t="shared" si="22"/>
        <v>2807.48</v>
      </c>
      <c r="P83" s="72">
        <f t="shared" si="22"/>
        <v>2743.08</v>
      </c>
      <c r="Q83" s="72">
        <f t="shared" si="22"/>
        <v>2624.6800000000003</v>
      </c>
      <c r="R83" s="72">
        <f t="shared" si="22"/>
        <v>2388.48</v>
      </c>
      <c r="S83" s="72">
        <f t="shared" si="22"/>
        <v>2455.2799999999997</v>
      </c>
      <c r="T83" s="72">
        <f t="shared" si="22"/>
        <v>2468.6799999999998</v>
      </c>
      <c r="U83" s="72">
        <f t="shared" si="22"/>
        <v>2533.88</v>
      </c>
      <c r="V83" s="72">
        <f t="shared" si="22"/>
        <v>2671.68</v>
      </c>
      <c r="W83" s="72">
        <f t="shared" si="22"/>
        <v>2911.4800000000005</v>
      </c>
      <c r="X83" s="72">
        <f t="shared" si="22"/>
        <v>3241.28</v>
      </c>
      <c r="Y83" s="72">
        <f t="shared" si="22"/>
        <v>3222.8800000000006</v>
      </c>
      <c r="Z83" s="72">
        <f t="shared" si="22"/>
        <v>3053.6800000000003</v>
      </c>
      <c r="AA83" s="72">
        <f t="shared" si="22"/>
        <v>3006.08</v>
      </c>
      <c r="AB83" s="72">
        <f t="shared" si="22"/>
        <v>2755.2799999999997</v>
      </c>
      <c r="AC83" s="72">
        <f t="shared" si="22"/>
        <v>2734.68</v>
      </c>
      <c r="AD83" s="72">
        <f t="shared" si="22"/>
        <v>2459.8799999999997</v>
      </c>
      <c r="AE83" s="72">
        <f t="shared" si="22"/>
        <v>2106.6799999999998</v>
      </c>
      <c r="AF83" s="72">
        <f t="shared" si="22"/>
        <v>1933.2800000000002</v>
      </c>
      <c r="AG83" s="78">
        <f t="shared" si="22"/>
        <v>4360.08</v>
      </c>
      <c r="AH83" s="54">
        <f t="shared" si="15"/>
        <v>3241.28</v>
      </c>
      <c r="AI83" s="55">
        <f t="shared" si="16"/>
        <v>1657.48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50.066000000000003</v>
      </c>
      <c r="C84" s="95">
        <v>50.091999999999999</v>
      </c>
      <c r="D84" s="95">
        <v>50.091999999999999</v>
      </c>
      <c r="E84" s="95">
        <v>49.997999999999998</v>
      </c>
      <c r="F84" s="95">
        <v>49.987000000000002</v>
      </c>
      <c r="G84" s="95">
        <v>50.02</v>
      </c>
      <c r="H84" s="95">
        <v>50.042000000000002</v>
      </c>
      <c r="I84" s="95">
        <v>49.978000000000002</v>
      </c>
      <c r="J84" s="95">
        <v>50.082000000000001</v>
      </c>
      <c r="K84" s="95">
        <v>49.997999999999998</v>
      </c>
      <c r="L84" s="95">
        <v>49.948</v>
      </c>
      <c r="M84" s="95">
        <v>50.018000000000001</v>
      </c>
      <c r="N84" s="95">
        <v>49.984000000000002</v>
      </c>
      <c r="O84" s="95">
        <v>49.792000000000002</v>
      </c>
      <c r="P84" s="95">
        <v>50.015000000000001</v>
      </c>
      <c r="Q84" s="95">
        <v>49.993000000000002</v>
      </c>
      <c r="R84" s="95">
        <v>50.106000000000002</v>
      </c>
      <c r="S84" s="95">
        <v>50.054000000000002</v>
      </c>
      <c r="T84" s="95">
        <v>50.01</v>
      </c>
      <c r="U84" s="95">
        <v>49.93</v>
      </c>
      <c r="V84" s="95">
        <v>50.06</v>
      </c>
      <c r="W84" s="95">
        <v>50.087000000000003</v>
      </c>
      <c r="X84" s="95">
        <v>49.999000000000002</v>
      </c>
      <c r="Y84" s="95">
        <v>49.933</v>
      </c>
      <c r="Z84" s="95">
        <v>50.063000000000002</v>
      </c>
      <c r="AA84" s="95">
        <v>50.027999999999999</v>
      </c>
      <c r="AB84" s="95">
        <v>50.03</v>
      </c>
      <c r="AC84" s="95">
        <v>50.05</v>
      </c>
      <c r="AD84" s="95">
        <v>50.05</v>
      </c>
      <c r="AE84" s="95">
        <v>50.05</v>
      </c>
      <c r="AF84" s="95">
        <v>50.05</v>
      </c>
      <c r="AG84" s="96"/>
      <c r="AH84" s="54">
        <f t="shared" si="15"/>
        <v>50.106000000000002</v>
      </c>
      <c r="AI84" s="55">
        <f t="shared" si="16"/>
        <v>49.792000000000002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128.30000000000001</v>
      </c>
      <c r="C85" s="73">
        <v>129</v>
      </c>
      <c r="D85" s="73">
        <v>129</v>
      </c>
      <c r="E85" s="73">
        <v>128.9</v>
      </c>
      <c r="F85" s="73">
        <v>129</v>
      </c>
      <c r="G85" s="73">
        <v>128.80000000000001</v>
      </c>
      <c r="H85" s="73">
        <v>128</v>
      </c>
      <c r="I85" s="73">
        <v>126.7</v>
      </c>
      <c r="J85" s="73">
        <v>124.4</v>
      </c>
      <c r="K85" s="73">
        <v>124.1</v>
      </c>
      <c r="L85" s="73">
        <v>121.5</v>
      </c>
      <c r="M85" s="73">
        <v>120.5</v>
      </c>
      <c r="N85" s="73">
        <v>121.8</v>
      </c>
      <c r="O85" s="73">
        <v>123.5</v>
      </c>
      <c r="P85" s="73">
        <v>124.7</v>
      </c>
      <c r="Q85" s="73">
        <v>124</v>
      </c>
      <c r="R85" s="73">
        <v>122.7</v>
      </c>
      <c r="S85" s="73">
        <v>121.5</v>
      </c>
      <c r="T85" s="73">
        <v>125</v>
      </c>
      <c r="U85" s="98">
        <v>124</v>
      </c>
      <c r="V85" s="98">
        <v>124.4</v>
      </c>
      <c r="W85" s="98">
        <v>123.6</v>
      </c>
      <c r="X85" s="98">
        <v>124.2</v>
      </c>
      <c r="Y85" s="98">
        <v>121.3</v>
      </c>
      <c r="Z85" s="98">
        <v>125.3</v>
      </c>
      <c r="AA85" s="98">
        <v>125.5</v>
      </c>
      <c r="AB85" s="98">
        <v>127.9</v>
      </c>
      <c r="AC85" s="98">
        <v>124.6</v>
      </c>
      <c r="AD85" s="73">
        <v>126</v>
      </c>
      <c r="AE85" s="73">
        <v>126.3</v>
      </c>
      <c r="AF85" s="73">
        <v>126</v>
      </c>
      <c r="AG85" s="99"/>
      <c r="AH85" s="54">
        <f t="shared" si="15"/>
        <v>129</v>
      </c>
      <c r="AI85" s="55">
        <f t="shared" si="16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131.69999999999999</v>
      </c>
      <c r="C86" s="73">
        <v>132.1</v>
      </c>
      <c r="D86" s="73">
        <v>132.1</v>
      </c>
      <c r="E86" s="73">
        <v>132.4</v>
      </c>
      <c r="F86" s="73">
        <v>132.4</v>
      </c>
      <c r="G86" s="73">
        <v>131.69999999999999</v>
      </c>
      <c r="H86" s="73">
        <v>130.9</v>
      </c>
      <c r="I86" s="73">
        <v>129.5</v>
      </c>
      <c r="J86" s="73">
        <v>128</v>
      </c>
      <c r="K86" s="73">
        <v>127</v>
      </c>
      <c r="L86" s="73">
        <v>124.2</v>
      </c>
      <c r="M86" s="73">
        <v>122.9</v>
      </c>
      <c r="N86" s="73">
        <v>124.2</v>
      </c>
      <c r="O86" s="73">
        <v>125.9</v>
      </c>
      <c r="P86" s="73">
        <v>127</v>
      </c>
      <c r="Q86" s="73">
        <v>126.6</v>
      </c>
      <c r="R86" s="73">
        <v>125.6</v>
      </c>
      <c r="S86" s="73">
        <v>124.3</v>
      </c>
      <c r="T86" s="73">
        <v>127</v>
      </c>
      <c r="U86" s="98">
        <v>126</v>
      </c>
      <c r="V86" s="98">
        <v>126.6</v>
      </c>
      <c r="W86" s="98">
        <v>124.8</v>
      </c>
      <c r="X86" s="98">
        <v>124.6</v>
      </c>
      <c r="Y86" s="98">
        <v>122.4</v>
      </c>
      <c r="Z86" s="98">
        <v>125.3</v>
      </c>
      <c r="AA86" s="98">
        <v>126.3</v>
      </c>
      <c r="AB86" s="98">
        <v>128.69999999999999</v>
      </c>
      <c r="AC86" s="98">
        <v>126.9</v>
      </c>
      <c r="AD86" s="73">
        <v>128.69999999999999</v>
      </c>
      <c r="AE86" s="73">
        <v>128.9</v>
      </c>
      <c r="AF86" s="73">
        <v>129.69999999999999</v>
      </c>
      <c r="AG86" s="99"/>
      <c r="AH86" s="54">
        <f t="shared" si="15"/>
        <v>132.4</v>
      </c>
      <c r="AI86" s="55">
        <f t="shared" si="16"/>
        <v>122.4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130.6</v>
      </c>
      <c r="C87" s="73">
        <v>130.69999999999999</v>
      </c>
      <c r="D87" s="73">
        <v>130.69999999999999</v>
      </c>
      <c r="E87" s="73">
        <v>131.19999999999999</v>
      </c>
      <c r="F87" s="73">
        <v>131</v>
      </c>
      <c r="G87" s="73">
        <v>130.30000000000001</v>
      </c>
      <c r="H87" s="73">
        <v>129.9</v>
      </c>
      <c r="I87" s="73">
        <v>128.6</v>
      </c>
      <c r="J87" s="73">
        <v>127</v>
      </c>
      <c r="K87" s="73">
        <v>127.5</v>
      </c>
      <c r="L87" s="73">
        <v>128.19999999999999</v>
      </c>
      <c r="M87" s="73">
        <v>127.1</v>
      </c>
      <c r="N87" s="73">
        <v>128.30000000000001</v>
      </c>
      <c r="O87" s="73">
        <v>128.30000000000001</v>
      </c>
      <c r="P87" s="73">
        <v>129.69999999999999</v>
      </c>
      <c r="Q87" s="73">
        <v>129.5</v>
      </c>
      <c r="R87" s="73">
        <v>128.5</v>
      </c>
      <c r="S87" s="73">
        <v>129.9</v>
      </c>
      <c r="T87" s="73">
        <v>130</v>
      </c>
      <c r="U87" s="73">
        <v>130</v>
      </c>
      <c r="V87" s="73">
        <v>129.30000000000001</v>
      </c>
      <c r="W87" s="73">
        <v>127.7</v>
      </c>
      <c r="X87" s="98">
        <v>130.69999999999999</v>
      </c>
      <c r="Y87" s="98">
        <v>127.3</v>
      </c>
      <c r="Z87" s="98">
        <v>130</v>
      </c>
      <c r="AA87" s="98">
        <v>130.80000000000001</v>
      </c>
      <c r="AB87" s="98">
        <v>130.4</v>
      </c>
      <c r="AC87" s="98">
        <v>130.19999999999999</v>
      </c>
      <c r="AD87" s="73">
        <v>131.5</v>
      </c>
      <c r="AE87" s="73">
        <v>131.4</v>
      </c>
      <c r="AF87" s="73">
        <v>130.1</v>
      </c>
      <c r="AG87" s="99"/>
      <c r="AH87" s="54">
        <f t="shared" si="15"/>
        <v>131.5</v>
      </c>
      <c r="AI87" s="55">
        <f t="shared" si="16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133.6</v>
      </c>
      <c r="C88" s="73">
        <v>133.6</v>
      </c>
      <c r="D88" s="73">
        <v>133.6</v>
      </c>
      <c r="E88" s="73">
        <v>134.19999999999999</v>
      </c>
      <c r="F88" s="73">
        <v>133.80000000000001</v>
      </c>
      <c r="G88" s="73">
        <v>133.1</v>
      </c>
      <c r="H88" s="73">
        <v>132.5</v>
      </c>
      <c r="I88" s="73">
        <v>132.4</v>
      </c>
      <c r="J88" s="73">
        <v>131.1</v>
      </c>
      <c r="K88" s="73">
        <v>129.69999999999999</v>
      </c>
      <c r="L88" s="73">
        <v>131.4</v>
      </c>
      <c r="M88" s="73">
        <v>129.69999999999999</v>
      </c>
      <c r="N88" s="73">
        <v>131.19999999999999</v>
      </c>
      <c r="O88" s="73">
        <v>130.69999999999999</v>
      </c>
      <c r="P88" s="73">
        <v>132.6</v>
      </c>
      <c r="Q88" s="73">
        <v>132.9</v>
      </c>
      <c r="R88" s="73">
        <v>133.19999999999999</v>
      </c>
      <c r="S88" s="73">
        <v>133.80000000000001</v>
      </c>
      <c r="T88" s="73">
        <v>133</v>
      </c>
      <c r="U88" s="73">
        <v>133</v>
      </c>
      <c r="V88" s="73">
        <v>131.69999999999999</v>
      </c>
      <c r="W88" s="73">
        <v>132.6</v>
      </c>
      <c r="X88" s="98">
        <v>135.1</v>
      </c>
      <c r="Y88" s="98">
        <v>132.69999999999999</v>
      </c>
      <c r="Z88" s="98">
        <v>134</v>
      </c>
      <c r="AA88" s="98">
        <v>134</v>
      </c>
      <c r="AB88" s="98">
        <v>133.6</v>
      </c>
      <c r="AC88" s="98">
        <v>133.6</v>
      </c>
      <c r="AD88" s="73">
        <v>134.1</v>
      </c>
      <c r="AE88" s="73">
        <v>134.19999999999999</v>
      </c>
      <c r="AF88" s="73">
        <v>133.19999999999999</v>
      </c>
      <c r="AG88" s="99"/>
      <c r="AH88" s="54">
        <f t="shared" si="15"/>
        <v>135.1</v>
      </c>
      <c r="AI88" s="55">
        <f t="shared" si="16"/>
        <v>129.69999999999999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132.19999999999999</v>
      </c>
      <c r="C89" s="101">
        <v>132.69999999999999</v>
      </c>
      <c r="D89" s="101">
        <v>132.69999999999999</v>
      </c>
      <c r="E89" s="101">
        <v>134</v>
      </c>
      <c r="F89" s="101">
        <v>133.1</v>
      </c>
      <c r="G89" s="101">
        <v>132.6</v>
      </c>
      <c r="H89" s="101">
        <v>133.1</v>
      </c>
      <c r="I89" s="101">
        <v>132.1</v>
      </c>
      <c r="J89" s="101">
        <v>130.4</v>
      </c>
      <c r="K89" s="101">
        <v>135.1</v>
      </c>
      <c r="L89" s="101">
        <v>131.69999999999999</v>
      </c>
      <c r="M89" s="101">
        <v>132.9</v>
      </c>
      <c r="N89" s="101">
        <v>132.9</v>
      </c>
      <c r="O89" s="101">
        <v>133.80000000000001</v>
      </c>
      <c r="P89" s="101">
        <v>133</v>
      </c>
      <c r="Q89" s="101">
        <v>133.80000000000001</v>
      </c>
      <c r="R89" s="101">
        <v>132.80000000000001</v>
      </c>
      <c r="S89" s="101">
        <v>130.80000000000001</v>
      </c>
      <c r="T89" s="101">
        <v>133.5</v>
      </c>
      <c r="U89" s="101">
        <v>132</v>
      </c>
      <c r="V89" s="101">
        <v>134.69999999999999</v>
      </c>
      <c r="W89" s="101">
        <v>134</v>
      </c>
      <c r="X89" s="98">
        <v>134</v>
      </c>
      <c r="Y89" s="98">
        <v>132.5</v>
      </c>
      <c r="Z89" s="98">
        <v>133.30000000000001</v>
      </c>
      <c r="AA89" s="98">
        <v>135.30000000000001</v>
      </c>
      <c r="AB89" s="98">
        <v>134.4</v>
      </c>
      <c r="AC89" s="98">
        <v>133.6</v>
      </c>
      <c r="AD89" s="101">
        <v>133.1</v>
      </c>
      <c r="AE89" s="101">
        <v>132.5</v>
      </c>
      <c r="AF89" s="101">
        <v>129.9</v>
      </c>
      <c r="AG89" s="102"/>
      <c r="AH89" s="54">
        <f t="shared" si="15"/>
        <v>135.30000000000001</v>
      </c>
      <c r="AI89" s="55">
        <f t="shared" si="16"/>
        <v>129.9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135.30000000000001</v>
      </c>
      <c r="C90" s="73">
        <v>135.4</v>
      </c>
      <c r="D90" s="73">
        <v>135.4</v>
      </c>
      <c r="E90" s="73">
        <v>133.69999999999999</v>
      </c>
      <c r="F90" s="73">
        <v>134.4</v>
      </c>
      <c r="G90" s="73">
        <v>136</v>
      </c>
      <c r="H90" s="73">
        <v>133.4</v>
      </c>
      <c r="I90" s="73">
        <v>128.9</v>
      </c>
      <c r="J90" s="73">
        <v>134.80000000000001</v>
      </c>
      <c r="K90" s="73">
        <v>132.1</v>
      </c>
      <c r="L90" s="73">
        <v>129.9</v>
      </c>
      <c r="M90" s="73">
        <v>126.3</v>
      </c>
      <c r="N90" s="73">
        <v>127.2</v>
      </c>
      <c r="O90" s="73">
        <v>129.9</v>
      </c>
      <c r="P90" s="73">
        <v>129.30000000000001</v>
      </c>
      <c r="Q90" s="73">
        <v>132.30000000000001</v>
      </c>
      <c r="R90" s="73">
        <v>134.19999999999999</v>
      </c>
      <c r="S90" s="73">
        <v>133.6</v>
      </c>
      <c r="T90" s="73">
        <v>133</v>
      </c>
      <c r="U90" s="73">
        <v>133</v>
      </c>
      <c r="V90" s="73">
        <v>134.9</v>
      </c>
      <c r="W90" s="73">
        <v>134.80000000000001</v>
      </c>
      <c r="X90" s="98">
        <v>128.19999999999999</v>
      </c>
      <c r="Y90" s="98">
        <v>128.80000000000001</v>
      </c>
      <c r="Z90" s="98">
        <v>130.4</v>
      </c>
      <c r="AA90" s="98">
        <v>132.5</v>
      </c>
      <c r="AB90" s="98">
        <v>133.30000000000001</v>
      </c>
      <c r="AC90" s="98">
        <v>134</v>
      </c>
      <c r="AD90" s="73">
        <v>133.6</v>
      </c>
      <c r="AE90" s="73">
        <v>136.19999999999999</v>
      </c>
      <c r="AF90" s="73">
        <v>136.6</v>
      </c>
      <c r="AG90" s="99"/>
      <c r="AH90" s="54">
        <f t="shared" si="15"/>
        <v>136.6</v>
      </c>
      <c r="AI90" s="55">
        <f t="shared" si="16"/>
        <v>126.3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66.3</v>
      </c>
      <c r="C91" s="103">
        <v>66.599999999999994</v>
      </c>
      <c r="D91" s="103">
        <v>66.599999999999994</v>
      </c>
      <c r="E91" s="103">
        <v>66.8</v>
      </c>
      <c r="F91" s="103">
        <v>66.7</v>
      </c>
      <c r="G91" s="103">
        <v>66.3</v>
      </c>
      <c r="H91" s="103">
        <v>65.900000000000006</v>
      </c>
      <c r="I91" s="103">
        <v>65.099999999999994</v>
      </c>
      <c r="J91" s="103">
        <v>64.7</v>
      </c>
      <c r="K91" s="103">
        <v>64.599999999999994</v>
      </c>
      <c r="L91" s="103">
        <v>63.1</v>
      </c>
      <c r="M91" s="103">
        <v>62.6</v>
      </c>
      <c r="N91" s="103">
        <v>63.1</v>
      </c>
      <c r="O91" s="103">
        <v>63.8</v>
      </c>
      <c r="P91" s="103">
        <v>64.099999999999994</v>
      </c>
      <c r="Q91" s="103">
        <v>63.8</v>
      </c>
      <c r="R91" s="103">
        <v>63.4</v>
      </c>
      <c r="S91" s="103">
        <v>62.9</v>
      </c>
      <c r="T91" s="103">
        <v>64</v>
      </c>
      <c r="U91" s="103">
        <v>63.6</v>
      </c>
      <c r="V91" s="103">
        <v>63.9</v>
      </c>
      <c r="W91" s="103">
        <v>63.1</v>
      </c>
      <c r="X91" s="103">
        <v>62.9</v>
      </c>
      <c r="Y91" s="103">
        <v>62.2</v>
      </c>
      <c r="Z91" s="103">
        <v>63.5</v>
      </c>
      <c r="AA91" s="103">
        <v>64</v>
      </c>
      <c r="AB91" s="103">
        <v>65</v>
      </c>
      <c r="AC91" s="103">
        <v>64.7</v>
      </c>
      <c r="AD91" s="103">
        <v>65.400000000000006</v>
      </c>
      <c r="AE91" s="103">
        <v>65.599999999999994</v>
      </c>
      <c r="AF91" s="103">
        <v>65.8</v>
      </c>
      <c r="AG91" s="104"/>
      <c r="AH91" s="54">
        <f t="shared" si="15"/>
        <v>66.8</v>
      </c>
      <c r="AI91" s="55">
        <f t="shared" si="16"/>
        <v>62.2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199.93999999999997</v>
      </c>
      <c r="C93" s="110">
        <f>SUM(C15,C18,C21:C22,C42,C44:C45,C47,C49,C94:C97,C102,C108,C114,C123,C125,C137,C144,C147:C148,C155,C157,C159,C163:C165,C167:C169,C174,C180:C181,C183:C185,C193,C198)</f>
        <v>183.93999999999994</v>
      </c>
      <c r="D93" s="110">
        <f t="shared" ref="D93:AF93" si="23">SUM(D15,D18,D21:D22,D42,D44:D45,D47,D49,D94:D97,D102,D108,D114,D123,D125,D137,D144,D147:D148,D155,D157,D159,D163:D165,D167:D169,D174,D180:D181,D183:D185,D193,D198)</f>
        <v>183.93999999999994</v>
      </c>
      <c r="E93" s="110">
        <f t="shared" si="23"/>
        <v>174.13999999999996</v>
      </c>
      <c r="F93" s="110">
        <f t="shared" si="23"/>
        <v>175.33999999999997</v>
      </c>
      <c r="G93" s="109">
        <f t="shared" si="23"/>
        <v>201.63999999999996</v>
      </c>
      <c r="H93" s="109">
        <f t="shared" si="23"/>
        <v>234.14</v>
      </c>
      <c r="I93" s="109">
        <f t="shared" si="23"/>
        <v>262.04000000000002</v>
      </c>
      <c r="J93" s="109">
        <f t="shared" si="23"/>
        <v>320.54000000000002</v>
      </c>
      <c r="K93" s="109">
        <f t="shared" si="23"/>
        <v>407.24</v>
      </c>
      <c r="L93" s="109">
        <f t="shared" si="23"/>
        <v>435.54</v>
      </c>
      <c r="M93" s="109">
        <f t="shared" si="23"/>
        <v>450.64</v>
      </c>
      <c r="N93" s="109">
        <f t="shared" si="23"/>
        <v>419.14</v>
      </c>
      <c r="O93" s="109">
        <f t="shared" si="23"/>
        <v>411.64000000000004</v>
      </c>
      <c r="P93" s="109">
        <f t="shared" si="23"/>
        <v>399.04000000000008</v>
      </c>
      <c r="Q93" s="109">
        <f t="shared" si="23"/>
        <v>361.84000000000003</v>
      </c>
      <c r="R93" s="109">
        <f t="shared" si="23"/>
        <v>346.04</v>
      </c>
      <c r="S93" s="109">
        <f t="shared" si="23"/>
        <v>352.24</v>
      </c>
      <c r="T93" s="109">
        <f t="shared" si="23"/>
        <v>363.02</v>
      </c>
      <c r="U93" s="109">
        <f t="shared" si="23"/>
        <v>374.84000000000003</v>
      </c>
      <c r="V93" s="109">
        <f t="shared" si="23"/>
        <v>412.34000000000003</v>
      </c>
      <c r="W93" s="109">
        <f t="shared" si="23"/>
        <v>453.53999999999996</v>
      </c>
      <c r="X93" s="109">
        <f t="shared" si="23"/>
        <v>511.44</v>
      </c>
      <c r="Y93" s="109">
        <f t="shared" si="23"/>
        <v>515.93999999999994</v>
      </c>
      <c r="Z93" s="109">
        <f t="shared" si="23"/>
        <v>456.44</v>
      </c>
      <c r="AA93" s="109">
        <f t="shared" si="23"/>
        <v>440.84000000000003</v>
      </c>
      <c r="AB93" s="109">
        <f t="shared" si="23"/>
        <v>418.24</v>
      </c>
      <c r="AC93" s="109">
        <f t="shared" si="23"/>
        <v>453.34000000000003</v>
      </c>
      <c r="AD93" s="109">
        <f t="shared" si="23"/>
        <v>381.14</v>
      </c>
      <c r="AE93" s="109">
        <f t="shared" si="23"/>
        <v>317.84000000000003</v>
      </c>
      <c r="AF93" s="109">
        <f t="shared" si="23"/>
        <v>235.73999999999995</v>
      </c>
      <c r="AG93" s="111"/>
      <c r="AH93" s="54">
        <f>MAX(C93:AF93)</f>
        <v>515.93999999999994</v>
      </c>
      <c r="AI93" s="55">
        <f>MIN(C93:AF93)</f>
        <v>174.13999999999996</v>
      </c>
    </row>
    <row r="94" spans="1:88" x14ac:dyDescent="0.25">
      <c r="A94" s="112" t="s">
        <v>98</v>
      </c>
      <c r="B94" s="175">
        <v>48.9</v>
      </c>
      <c r="C94" s="58">
        <v>41.6</v>
      </c>
      <c r="D94" s="58">
        <v>41.6</v>
      </c>
      <c r="E94" s="58">
        <v>35</v>
      </c>
      <c r="F94" s="58">
        <v>17.8</v>
      </c>
      <c r="G94" s="114">
        <v>18.100000000000001</v>
      </c>
      <c r="H94" s="114">
        <v>25</v>
      </c>
      <c r="I94" s="114">
        <v>24</v>
      </c>
      <c r="J94" s="114">
        <v>31.6</v>
      </c>
      <c r="K94" s="114">
        <v>58.7</v>
      </c>
      <c r="L94" s="114">
        <v>52.1</v>
      </c>
      <c r="M94" s="113">
        <v>66.599999999999994</v>
      </c>
      <c r="N94" s="114">
        <v>53.6</v>
      </c>
      <c r="O94" s="114">
        <v>55.8</v>
      </c>
      <c r="P94" s="114">
        <v>49.8</v>
      </c>
      <c r="Q94" s="114">
        <v>27.7</v>
      </c>
      <c r="R94" s="114">
        <v>53.6</v>
      </c>
      <c r="S94" s="114">
        <v>49.9</v>
      </c>
      <c r="T94" s="114">
        <v>49.98</v>
      </c>
      <c r="U94" s="113">
        <v>42</v>
      </c>
      <c r="V94" s="113">
        <v>56</v>
      </c>
      <c r="W94" s="113">
        <v>74</v>
      </c>
      <c r="X94" s="114">
        <v>58.5</v>
      </c>
      <c r="Y94" s="114">
        <v>54.6</v>
      </c>
      <c r="Z94" s="114">
        <v>69.5</v>
      </c>
      <c r="AA94" s="114">
        <v>69.2</v>
      </c>
      <c r="AB94" s="114">
        <v>55.5</v>
      </c>
      <c r="AC94" s="114">
        <v>71.099999999999994</v>
      </c>
      <c r="AD94" s="113">
        <v>50.4</v>
      </c>
      <c r="AE94" s="113">
        <v>44.9</v>
      </c>
      <c r="AF94" s="113">
        <v>28.2</v>
      </c>
      <c r="AG94" s="115">
        <v>75</v>
      </c>
      <c r="AH94" s="54">
        <f t="shared" ref="AH94:AH99" si="24">IF(ABS(MAX(C94:AF94))&gt;ABS(MIN(C94:AF94)),MAX(C94:AF94),MIN(C94:AF94))</f>
        <v>74</v>
      </c>
      <c r="AI94" s="116">
        <f t="shared" ref="AI94:AI99" si="25">INDEX($C$9:$AF$9,1,MATCH(AH94,C94:AF94,0))</f>
        <v>0.72916666666666663</v>
      </c>
    </row>
    <row r="95" spans="1:88" x14ac:dyDescent="0.25">
      <c r="A95" s="117" t="s">
        <v>99</v>
      </c>
      <c r="B95" s="176">
        <v>-74</v>
      </c>
      <c r="C95" s="60">
        <v>-81</v>
      </c>
      <c r="D95" s="60">
        <v>-81</v>
      </c>
      <c r="E95" s="60">
        <v>-85</v>
      </c>
      <c r="F95" s="60">
        <v>-80</v>
      </c>
      <c r="G95" s="60">
        <v>-65</v>
      </c>
      <c r="H95" s="60">
        <v>-48</v>
      </c>
      <c r="I95" s="60">
        <v>-34</v>
      </c>
      <c r="J95" s="60">
        <v>-15.2</v>
      </c>
      <c r="K95" s="60">
        <v>14</v>
      </c>
      <c r="L95" s="60">
        <v>22</v>
      </c>
      <c r="M95" s="60">
        <v>21.5</v>
      </c>
      <c r="N95" s="60">
        <v>33.299999999999997</v>
      </c>
      <c r="O95" s="60">
        <v>10.5</v>
      </c>
      <c r="P95" s="60">
        <v>8.9</v>
      </c>
      <c r="Q95" s="60">
        <v>-1.4</v>
      </c>
      <c r="R95" s="60">
        <v>17.100000000000001</v>
      </c>
      <c r="S95" s="60">
        <v>14</v>
      </c>
      <c r="T95" s="60">
        <v>1.2</v>
      </c>
      <c r="U95" s="60">
        <v>12</v>
      </c>
      <c r="V95" s="60">
        <v>12</v>
      </c>
      <c r="W95" s="60">
        <f>26+22</f>
        <v>48</v>
      </c>
      <c r="X95" s="60">
        <v>95</v>
      </c>
      <c r="Y95" s="60">
        <f>50.5+49</f>
        <v>99.5</v>
      </c>
      <c r="Z95" s="60">
        <f>43+44</f>
        <v>87</v>
      </c>
      <c r="AA95" s="60">
        <f>39.5+35.7</f>
        <v>75.2</v>
      </c>
      <c r="AB95" s="60">
        <f>39+34.3</f>
        <v>73.3</v>
      </c>
      <c r="AC95" s="60">
        <f>21.2+16.1</f>
        <v>37.299999999999997</v>
      </c>
      <c r="AD95" s="73">
        <f>8.6+4.5</f>
        <v>13.1</v>
      </c>
      <c r="AE95" s="73">
        <f>-1.4-4.2</f>
        <v>-5.6</v>
      </c>
      <c r="AF95" s="73">
        <f>-18.6-20.5</f>
        <v>-39.1</v>
      </c>
      <c r="AG95" s="115">
        <v>240</v>
      </c>
      <c r="AH95" s="54">
        <f t="shared" si="24"/>
        <v>99.5</v>
      </c>
      <c r="AI95" s="116">
        <f t="shared" si="25"/>
        <v>0.77083333333333337</v>
      </c>
    </row>
    <row r="96" spans="1:88" x14ac:dyDescent="0.25">
      <c r="A96" s="117" t="s">
        <v>100</v>
      </c>
      <c r="B96" s="176">
        <v>18.5</v>
      </c>
      <c r="C96" s="60">
        <v>17.600000000000001</v>
      </c>
      <c r="D96" s="60">
        <v>17.600000000000001</v>
      </c>
      <c r="E96" s="60">
        <v>16.3</v>
      </c>
      <c r="F96" s="60">
        <v>15.9</v>
      </c>
      <c r="G96" s="60">
        <v>14.9</v>
      </c>
      <c r="H96" s="60">
        <v>14.4</v>
      </c>
      <c r="I96" s="60">
        <v>14.2</v>
      </c>
      <c r="J96" s="60">
        <v>13.5</v>
      </c>
      <c r="K96" s="60">
        <v>47.1</v>
      </c>
      <c r="L96" s="60">
        <v>62.5</v>
      </c>
      <c r="M96" s="60">
        <v>57.5</v>
      </c>
      <c r="N96" s="60">
        <v>48.4</v>
      </c>
      <c r="O96" s="60">
        <v>55.8</v>
      </c>
      <c r="P96" s="60">
        <v>57</v>
      </c>
      <c r="Q96" s="60">
        <v>40.799999999999997</v>
      </c>
      <c r="R96" s="60">
        <v>21.4</v>
      </c>
      <c r="S96" s="60">
        <v>25.2</v>
      </c>
      <c r="T96" s="60">
        <v>27</v>
      </c>
      <c r="U96" s="60">
        <v>32</v>
      </c>
      <c r="V96" s="60">
        <v>58.2</v>
      </c>
      <c r="W96" s="60">
        <v>64.8</v>
      </c>
      <c r="X96" s="60">
        <v>67.8</v>
      </c>
      <c r="Y96" s="60">
        <v>67.900000000000006</v>
      </c>
      <c r="Z96" s="60">
        <v>23</v>
      </c>
      <c r="AA96" s="60">
        <v>23</v>
      </c>
      <c r="AB96" s="60">
        <v>23</v>
      </c>
      <c r="AC96" s="60">
        <v>63.1</v>
      </c>
      <c r="AD96" s="73">
        <v>35.799999999999997</v>
      </c>
      <c r="AE96" s="73">
        <v>13.4</v>
      </c>
      <c r="AF96" s="73">
        <v>-0.9</v>
      </c>
      <c r="AG96" s="115">
        <v>60</v>
      </c>
      <c r="AH96" s="54">
        <f t="shared" si="24"/>
        <v>67.900000000000006</v>
      </c>
      <c r="AI96" s="116">
        <f t="shared" si="25"/>
        <v>0.77083333333333337</v>
      </c>
    </row>
    <row r="97" spans="1:37" x14ac:dyDescent="0.25">
      <c r="A97" s="118" t="s">
        <v>101</v>
      </c>
      <c r="B97" s="177">
        <v>12</v>
      </c>
      <c r="C97" s="63">
        <v>11.2</v>
      </c>
      <c r="D97" s="63">
        <v>11.2</v>
      </c>
      <c r="E97" s="63">
        <v>13.3</v>
      </c>
      <c r="F97" s="63">
        <v>30.1</v>
      </c>
      <c r="G97" s="63">
        <v>42.1</v>
      </c>
      <c r="H97" s="63">
        <v>51</v>
      </c>
      <c r="I97" s="63">
        <v>66.7</v>
      </c>
      <c r="J97" s="63">
        <v>98.3</v>
      </c>
      <c r="K97" s="63">
        <v>94.4</v>
      </c>
      <c r="L97" s="63">
        <v>107.5</v>
      </c>
      <c r="M97" s="63">
        <v>113.6</v>
      </c>
      <c r="N97" s="63">
        <v>94.6</v>
      </c>
      <c r="O97" s="63">
        <v>100.3</v>
      </c>
      <c r="P97" s="63">
        <v>94.1</v>
      </c>
      <c r="Q97" s="63">
        <v>105.5</v>
      </c>
      <c r="R97" s="63">
        <v>94.1</v>
      </c>
      <c r="S97" s="63">
        <v>103.3</v>
      </c>
      <c r="T97" s="63">
        <v>95</v>
      </c>
      <c r="U97" s="63">
        <v>99</v>
      </c>
      <c r="V97" s="63">
        <v>97</v>
      </c>
      <c r="W97" s="63">
        <v>77.599999999999994</v>
      </c>
      <c r="X97" s="63">
        <v>101</v>
      </c>
      <c r="Y97" s="63">
        <v>104.8</v>
      </c>
      <c r="Z97" s="63">
        <v>100.8</v>
      </c>
      <c r="AA97" s="63">
        <v>84.3</v>
      </c>
      <c r="AB97" s="63">
        <v>77.099999999999994</v>
      </c>
      <c r="AC97" s="63">
        <v>92.1</v>
      </c>
      <c r="AD97" s="119">
        <v>91.9</v>
      </c>
      <c r="AE97" s="119">
        <v>75.2</v>
      </c>
      <c r="AF97" s="119">
        <v>58.4</v>
      </c>
      <c r="AG97" s="120">
        <v>120</v>
      </c>
      <c r="AH97" s="54">
        <f t="shared" si="24"/>
        <v>113.6</v>
      </c>
      <c r="AI97" s="116">
        <f t="shared" si="25"/>
        <v>0.33333333333333331</v>
      </c>
    </row>
    <row r="98" spans="1:37" x14ac:dyDescent="0.25">
      <c r="A98" s="118" t="s">
        <v>102</v>
      </c>
      <c r="B98" s="177">
        <v>24.9</v>
      </c>
      <c r="C98" s="63">
        <v>23.5</v>
      </c>
      <c r="D98" s="63">
        <v>23.5</v>
      </c>
      <c r="E98" s="63">
        <v>25.2</v>
      </c>
      <c r="F98" s="63">
        <v>35.6</v>
      </c>
      <c r="G98" s="63">
        <v>45.5</v>
      </c>
      <c r="H98" s="63">
        <v>51.5</v>
      </c>
      <c r="I98" s="63">
        <v>65.8</v>
      </c>
      <c r="J98" s="63">
        <v>88.7</v>
      </c>
      <c r="K98" s="63">
        <v>91.1</v>
      </c>
      <c r="L98" s="63">
        <v>106</v>
      </c>
      <c r="M98" s="63">
        <v>100</v>
      </c>
      <c r="N98" s="63">
        <v>99.7</v>
      </c>
      <c r="O98" s="63">
        <v>98.4</v>
      </c>
      <c r="P98" s="63">
        <v>97.1</v>
      </c>
      <c r="Q98" s="63">
        <v>104</v>
      </c>
      <c r="R98" s="63">
        <v>87.3</v>
      </c>
      <c r="S98" s="63">
        <v>102</v>
      </c>
      <c r="T98" s="63">
        <v>94</v>
      </c>
      <c r="U98" s="63">
        <v>94</v>
      </c>
      <c r="V98" s="63">
        <v>90</v>
      </c>
      <c r="W98" s="63">
        <v>103</v>
      </c>
      <c r="X98" s="63">
        <v>102</v>
      </c>
      <c r="Y98" s="63">
        <v>107</v>
      </c>
      <c r="Z98" s="63">
        <v>83.1</v>
      </c>
      <c r="AA98" s="63">
        <v>77.2</v>
      </c>
      <c r="AB98" s="63">
        <v>79.2</v>
      </c>
      <c r="AC98" s="63">
        <v>77.8</v>
      </c>
      <c r="AD98" s="119">
        <v>84.5</v>
      </c>
      <c r="AE98" s="119">
        <v>71</v>
      </c>
      <c r="AF98" s="119">
        <v>60.9</v>
      </c>
      <c r="AG98" s="120"/>
      <c r="AH98" s="54">
        <f t="shared" si="24"/>
        <v>107</v>
      </c>
      <c r="AI98" s="116">
        <f t="shared" si="25"/>
        <v>0.77083333333333337</v>
      </c>
    </row>
    <row r="99" spans="1:37" ht="15.75" thickBot="1" x14ac:dyDescent="0.3">
      <c r="A99" s="118" t="s">
        <v>217</v>
      </c>
      <c r="B99" s="177">
        <v>29.3</v>
      </c>
      <c r="C99" s="63">
        <v>34.4</v>
      </c>
      <c r="D99" s="63">
        <v>34.4</v>
      </c>
      <c r="E99" s="63">
        <v>39.299999999999997</v>
      </c>
      <c r="F99" s="63">
        <v>42</v>
      </c>
      <c r="G99" s="63">
        <v>50.5</v>
      </c>
      <c r="H99" s="63">
        <v>44.6</v>
      </c>
      <c r="I99" s="63">
        <v>41.7</v>
      </c>
      <c r="J99" s="63">
        <v>43.9</v>
      </c>
      <c r="K99" s="63">
        <v>39.700000000000003</v>
      </c>
      <c r="L99" s="63">
        <v>45.7</v>
      </c>
      <c r="M99" s="63">
        <v>12.8</v>
      </c>
      <c r="N99" s="63">
        <v>50.5</v>
      </c>
      <c r="O99" s="63">
        <v>41</v>
      </c>
      <c r="P99" s="63">
        <v>40.799999999999997</v>
      </c>
      <c r="Q99" s="63">
        <v>53</v>
      </c>
      <c r="R99" s="63">
        <v>9.5</v>
      </c>
      <c r="S99" s="63">
        <v>16.399999999999999</v>
      </c>
      <c r="T99" s="63">
        <v>23</v>
      </c>
      <c r="U99" s="63">
        <v>26</v>
      </c>
      <c r="V99" s="63">
        <v>14</v>
      </c>
      <c r="W99" s="63">
        <v>17</v>
      </c>
      <c r="X99" s="63">
        <v>36.4</v>
      </c>
      <c r="Y99" s="63">
        <v>36.4</v>
      </c>
      <c r="Z99" s="63">
        <v>29.4</v>
      </c>
      <c r="AA99" s="63">
        <v>26.8</v>
      </c>
      <c r="AB99" s="63">
        <v>38.5</v>
      </c>
      <c r="AC99" s="63">
        <v>21.9</v>
      </c>
      <c r="AD99" s="119">
        <v>36.200000000000003</v>
      </c>
      <c r="AE99" s="119">
        <v>31.4</v>
      </c>
      <c r="AF99" s="119">
        <v>49</v>
      </c>
      <c r="AG99" s="121"/>
      <c r="AH99" s="54">
        <f t="shared" si="24"/>
        <v>53</v>
      </c>
      <c r="AI99" s="116">
        <f t="shared" si="25"/>
        <v>0.5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1577.24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2078/09/18)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890.94</v>
      </c>
      <c r="U213" s="167">
        <f t="shared" si="62"/>
        <v>836.44</v>
      </c>
      <c r="V213" s="167">
        <f t="shared" si="62"/>
        <v>846.84</v>
      </c>
      <c r="W213" s="167">
        <f t="shared" si="62"/>
        <v>828.74</v>
      </c>
      <c r="X213" s="167">
        <f t="shared" si="62"/>
        <v>833.14</v>
      </c>
      <c r="Y213" s="167">
        <f t="shared" si="62"/>
        <v>891.14</v>
      </c>
      <c r="Z213" s="167">
        <f t="shared" si="62"/>
        <v>944.54</v>
      </c>
      <c r="AA213" s="167">
        <f t="shared" si="62"/>
        <v>1047.6400000000001</v>
      </c>
      <c r="AB213" s="167">
        <f t="shared" si="62"/>
        <v>1174.44</v>
      </c>
      <c r="AC213" s="167">
        <f t="shared" si="62"/>
        <v>1319.7399999999998</v>
      </c>
      <c r="AD213" s="167">
        <f t="shared" si="62"/>
        <v>1456.54</v>
      </c>
      <c r="AE213" s="167">
        <f t="shared" si="62"/>
        <v>1577.24</v>
      </c>
      <c r="AF213" s="167">
        <f t="shared" si="62"/>
        <v>1437.3400000000001</v>
      </c>
      <c r="AG213" s="167">
        <f t="shared" si="62"/>
        <v>1403.74</v>
      </c>
      <c r="AH213" s="167">
        <f t="shared" si="62"/>
        <v>1371.54</v>
      </c>
      <c r="AI213" s="167">
        <f t="shared" si="62"/>
        <v>1312.3400000000001</v>
      </c>
      <c r="AJ213" s="167">
        <f t="shared" si="62"/>
        <v>1194.24</v>
      </c>
      <c r="AK213" s="167">
        <f t="shared" si="62"/>
        <v>1227.6399999999999</v>
      </c>
      <c r="AL213" s="167">
        <f t="shared" si="62"/>
        <v>1234.3399999999999</v>
      </c>
      <c r="AM213" s="167">
        <f t="shared" si="62"/>
        <v>1266.94</v>
      </c>
      <c r="AN213" s="167">
        <f t="shared" si="62"/>
        <v>1335.84</v>
      </c>
      <c r="AO213" s="167">
        <f t="shared" si="62"/>
        <v>1455.7400000000002</v>
      </c>
      <c r="AP213" s="167">
        <f t="shared" si="62"/>
        <v>1620.64</v>
      </c>
      <c r="AQ213" s="167">
        <f t="shared" si="62"/>
        <v>1611.4400000000003</v>
      </c>
      <c r="AR213" s="167">
        <f t="shared" si="62"/>
        <v>1526.8400000000001</v>
      </c>
      <c r="AS213" s="167">
        <f t="shared" si="62"/>
        <v>1503.04</v>
      </c>
      <c r="AT213" s="167">
        <f t="shared" si="62"/>
        <v>1377.6399999999999</v>
      </c>
      <c r="AU213" s="167">
        <f t="shared" si="62"/>
        <v>1367.34</v>
      </c>
      <c r="AV213" s="167">
        <f t="shared" si="62"/>
        <v>1229.9399999999998</v>
      </c>
      <c r="AW213" s="167">
        <f t="shared" si="62"/>
        <v>1053.3399999999999</v>
      </c>
      <c r="AX213" s="167">
        <f t="shared" si="62"/>
        <v>966.6400000000001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P39:R39 N39:O42 P40:Q42 R42 R40:T41 M58:W59 AB81:AF81 B81:R81 C56:AF56 B82:AF83 D193:AF199 B193:B199 C68:AF72 B84:B91 B73:AF80 B9:AF10 B191:AF191 B53:B72 AG73 B94:B99 U212:AF212 C57:L61 M60:M61 C63:M67 N12:P12 N16:O27 N36:O36 N13:O14 N60:R67 N29:O32 S39:S42 S61:S67 N37:W37 N45:W48 U40:AA42 X85:AC91 M53:AF55 AD84:AF91 M11:AF11 X18:AF30 X36:AF36 Z40:AF43 AD94:AF99">
    <cfRule type="expression" dxfId="4448" priority="399">
      <formula>B$9&gt;=20/24</formula>
    </cfRule>
    <cfRule type="expression" dxfId="4447" priority="400">
      <formula>AND(B$9&gt;=14/24,B$9&lt;20/24)</formula>
    </cfRule>
    <cfRule type="expression" dxfId="4446" priority="401">
      <formula>AND(B$9&gt;=8/24,B$9&lt;14/24)</formula>
    </cfRule>
    <cfRule type="expression" dxfId="4445" priority="402">
      <formula>B$9&lt;8/24</formula>
    </cfRule>
  </conditionalFormatting>
  <conditionalFormatting sqref="AL4:AL6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444" priority="394">
      <formula>M$9&gt;=20/24</formula>
    </cfRule>
    <cfRule type="expression" dxfId="4443" priority="395">
      <formula>AND(M$9&gt;=14/24,M$9&lt;20/24)</formula>
    </cfRule>
    <cfRule type="expression" dxfId="4442" priority="396">
      <formula>AND(M$9&gt;=8/24,M$9&lt;14/24)</formula>
    </cfRule>
    <cfRule type="expression" dxfId="4441" priority="397">
      <formula>M$9&lt;8/24</formula>
    </cfRule>
  </conditionalFormatting>
  <conditionalFormatting sqref="N43:S43">
    <cfRule type="expression" dxfId="4440" priority="390">
      <formula>N$9&gt;=20/24</formula>
    </cfRule>
    <cfRule type="expression" dxfId="4439" priority="391">
      <formula>AND(N$9&gt;=14/24,N$9&lt;20/24)</formula>
    </cfRule>
    <cfRule type="expression" dxfId="4438" priority="392">
      <formula>AND(N$9&gt;=8/24,N$9&lt;14/24)</formula>
    </cfRule>
    <cfRule type="expression" dxfId="4437" priority="393">
      <formula>N$9&lt;8/24</formula>
    </cfRule>
  </conditionalFormatting>
  <conditionalFormatting sqref="S39:AF39">
    <cfRule type="expression" dxfId="4436" priority="382">
      <formula>S$9&gt;=20/24</formula>
    </cfRule>
    <cfRule type="expression" dxfId="4435" priority="383">
      <formula>AND(S$9&gt;=14/24,S$9&lt;20/24)</formula>
    </cfRule>
    <cfRule type="expression" dxfId="4434" priority="384">
      <formula>AND(S$9&gt;=8/24,S$9&lt;14/24)</formula>
    </cfRule>
    <cfRule type="expression" dxfId="4433" priority="385">
      <formula>S$9&lt;8/24</formula>
    </cfRule>
  </conditionalFormatting>
  <conditionalFormatting sqref="S57:AF57">
    <cfRule type="expression" dxfId="4432" priority="378">
      <formula>S$9&gt;=20/24</formula>
    </cfRule>
    <cfRule type="expression" dxfId="4431" priority="379">
      <formula>AND(S$9&gt;=14/24,S$9&lt;20/24)</formula>
    </cfRule>
    <cfRule type="expression" dxfId="4430" priority="380">
      <formula>AND(S$9&gt;=8/24,S$9&lt;14/24)</formula>
    </cfRule>
    <cfRule type="expression" dxfId="4429" priority="381">
      <formula>S$9&lt;8/24</formula>
    </cfRule>
  </conditionalFormatting>
  <conditionalFormatting sqref="S81:AA81">
    <cfRule type="expression" dxfId="4428" priority="374">
      <formula>S$9&gt;=20/24</formula>
    </cfRule>
    <cfRule type="expression" dxfId="4427" priority="375">
      <formula>AND(S$9&gt;=14/24,S$9&lt;20/24)</formula>
    </cfRule>
    <cfRule type="expression" dxfId="4426" priority="376">
      <formula>AND(S$9&gt;=8/24,S$9&lt;14/24)</formula>
    </cfRule>
    <cfRule type="expression" dxfId="4425" priority="377">
      <formula>S$9&lt;8/24</formula>
    </cfRule>
  </conditionalFormatting>
  <conditionalFormatting sqref="U84:AC84">
    <cfRule type="expression" dxfId="4424" priority="370">
      <formula>U$9&gt;=20/24</formula>
    </cfRule>
    <cfRule type="expression" dxfId="4423" priority="371">
      <formula>AND(U$9&gt;=14/24,U$9&lt;20/24)</formula>
    </cfRule>
    <cfRule type="expression" dxfId="4422" priority="372">
      <formula>AND(U$9&gt;=8/24,U$9&lt;14/24)</formula>
    </cfRule>
    <cfRule type="expression" dxfId="4421" priority="373">
      <formula>U$9&lt;8/24</formula>
    </cfRule>
  </conditionalFormatting>
  <conditionalFormatting sqref="N35:O35">
    <cfRule type="expression" dxfId="4420" priority="366">
      <formula>N$9&gt;=20/24</formula>
    </cfRule>
    <cfRule type="expression" dxfId="4419" priority="367">
      <formula>AND(N$9&gt;=14/24,N$9&lt;20/24)</formula>
    </cfRule>
    <cfRule type="expression" dxfId="4418" priority="368">
      <formula>AND(N$9&gt;=8/24,N$9&lt;14/24)</formula>
    </cfRule>
    <cfRule type="expression" dxfId="4417" priority="369">
      <formula>N$9&lt;8/24</formula>
    </cfRule>
  </conditionalFormatting>
  <conditionalFormatting sqref="N49:W49">
    <cfRule type="expression" dxfId="4416" priority="362">
      <formula>N$9&gt;=20/24</formula>
    </cfRule>
    <cfRule type="expression" dxfId="4415" priority="363">
      <formula>AND(N$9&gt;=14/24,N$9&lt;20/24)</formula>
    </cfRule>
    <cfRule type="expression" dxfId="4414" priority="364">
      <formula>AND(N$9&gt;=8/24,N$9&lt;14/24)</formula>
    </cfRule>
    <cfRule type="expression" dxfId="4413" priority="365">
      <formula>N$9&lt;8/24</formula>
    </cfRule>
  </conditionalFormatting>
  <conditionalFormatting sqref="N50:W50">
    <cfRule type="expression" dxfId="4412" priority="358">
      <formula>N$9&gt;=20/24</formula>
    </cfRule>
    <cfRule type="expression" dxfId="4411" priority="359">
      <formula>AND(N$9&gt;=14/24,N$9&lt;20/24)</formula>
    </cfRule>
    <cfRule type="expression" dxfId="4410" priority="360">
      <formula>AND(N$9&gt;=8/24,N$9&lt;14/24)</formula>
    </cfRule>
    <cfRule type="expression" dxfId="4409" priority="361">
      <formula>N$9&lt;8/24</formula>
    </cfRule>
  </conditionalFormatting>
  <conditionalFormatting sqref="N45:W48">
    <cfRule type="expression" dxfId="4408" priority="354">
      <formula>N$9&gt;=20/24</formula>
    </cfRule>
    <cfRule type="expression" dxfId="4407" priority="355">
      <formula>AND(N$9&gt;=14/24,N$9&lt;20/24)</formula>
    </cfRule>
    <cfRule type="expression" dxfId="4406" priority="356">
      <formula>AND(N$9&gt;=8/24,N$9&lt;14/24)</formula>
    </cfRule>
    <cfRule type="expression" dxfId="4405" priority="357">
      <formula>N$9&lt;8/24</formula>
    </cfRule>
  </conditionalFormatting>
  <conditionalFormatting sqref="X37:AF37">
    <cfRule type="expression" dxfId="4404" priority="350">
      <formula>X$9&gt;=20/24</formula>
    </cfRule>
    <cfRule type="expression" dxfId="4403" priority="351">
      <formula>AND(X$9&gt;=14/24,X$9&lt;20/24)</formula>
    </cfRule>
    <cfRule type="expression" dxfId="4402" priority="352">
      <formula>AND(X$9&gt;=8/24,X$9&lt;14/24)</formula>
    </cfRule>
    <cfRule type="expression" dxfId="4401" priority="353">
      <formula>X$9&lt;8/24</formula>
    </cfRule>
  </conditionalFormatting>
  <conditionalFormatting sqref="X31:AF32 X35:AF35">
    <cfRule type="expression" dxfId="4400" priority="346">
      <formula>X$9&gt;=20/24</formula>
    </cfRule>
    <cfRule type="expression" dxfId="4399" priority="347">
      <formula>AND(X$9&gt;=14/24,X$9&lt;20/24)</formula>
    </cfRule>
    <cfRule type="expression" dxfId="4398" priority="348">
      <formula>AND(X$9&gt;=8/24,X$9&lt;14/24)</formula>
    </cfRule>
    <cfRule type="expression" dxfId="4397" priority="349">
      <formula>X$9&lt;8/24</formula>
    </cfRule>
  </conditionalFormatting>
  <conditionalFormatting sqref="S42:W43 U43:AF43 S45:AF48">
    <cfRule type="expression" dxfId="4396" priority="342">
      <formula>S$9&gt;=20/24</formula>
    </cfRule>
    <cfRule type="expression" dxfId="4395" priority="343">
      <formula>AND(S$9&gt;=14/24,S$9&lt;20/24)</formula>
    </cfRule>
    <cfRule type="expression" dxfId="4394" priority="344">
      <formula>AND(S$9&gt;=8/24,S$9&lt;14/24)</formula>
    </cfRule>
    <cfRule type="expression" dxfId="4393" priority="345">
      <formula>S$9&lt;8/24</formula>
    </cfRule>
  </conditionalFormatting>
  <conditionalFormatting sqref="S49:AF49">
    <cfRule type="expression" dxfId="4392" priority="338">
      <formula>S$9&gt;=20/24</formula>
    </cfRule>
    <cfRule type="expression" dxfId="4391" priority="339">
      <formula>AND(S$9&gt;=14/24,S$9&lt;20/24)</formula>
    </cfRule>
    <cfRule type="expression" dxfId="4390" priority="340">
      <formula>AND(S$9&gt;=8/24,S$9&lt;14/24)</formula>
    </cfRule>
    <cfRule type="expression" dxfId="4389" priority="341">
      <formula>S$9&lt;8/24</formula>
    </cfRule>
  </conditionalFormatting>
  <conditionalFormatting sqref="S50:AF50">
    <cfRule type="expression" dxfId="4388" priority="334">
      <formula>S$9&gt;=20/24</formula>
    </cfRule>
    <cfRule type="expression" dxfId="4387" priority="335">
      <formula>AND(S$9&gt;=14/24,S$9&lt;20/24)</formula>
    </cfRule>
    <cfRule type="expression" dxfId="4386" priority="336">
      <formula>AND(S$9&gt;=8/24,S$9&lt;14/24)</formula>
    </cfRule>
    <cfRule type="expression" dxfId="4385" priority="337">
      <formula>S$9&lt;8/24</formula>
    </cfRule>
  </conditionalFormatting>
  <conditionalFormatting sqref="S60:T60 T61:T67 U64:W67 X60:AF67">
    <cfRule type="expression" dxfId="4384" priority="330">
      <formula>S$9&gt;=20/24</formula>
    </cfRule>
    <cfRule type="expression" dxfId="4383" priority="331">
      <formula>AND(S$9&gt;=14/24,S$9&lt;20/24)</formula>
    </cfRule>
    <cfRule type="expression" dxfId="4382" priority="332">
      <formula>AND(S$9&gt;=8/24,S$9&lt;14/24)</formula>
    </cfRule>
    <cfRule type="expression" dxfId="4381" priority="333">
      <formula>S$9&lt;8/24</formula>
    </cfRule>
  </conditionalFormatting>
  <conditionalFormatting sqref="C62:M62">
    <cfRule type="expression" dxfId="4380" priority="326">
      <formula>C$9&gt;=20/24</formula>
    </cfRule>
    <cfRule type="expression" dxfId="4379" priority="327">
      <formula>AND(C$9&gt;=14/24,C$9&lt;20/24)</formula>
    </cfRule>
    <cfRule type="expression" dxfId="4378" priority="328">
      <formula>AND(C$9&gt;=8/24,C$9&lt;14/24)</formula>
    </cfRule>
    <cfRule type="expression" dxfId="4377" priority="329">
      <formula>C$9&lt;8/24</formula>
    </cfRule>
  </conditionalFormatting>
  <conditionalFormatting sqref="U94:AC97">
    <cfRule type="expression" dxfId="4376" priority="322">
      <formula>U$9&gt;=20/24</formula>
    </cfRule>
    <cfRule type="expression" dxfId="4375" priority="323">
      <formula>AND(U$9&gt;=14/24,U$9&lt;20/24)</formula>
    </cfRule>
    <cfRule type="expression" dxfId="4374" priority="324">
      <formula>AND(U$9&gt;=8/24,U$9&lt;14/24)</formula>
    </cfRule>
    <cfRule type="expression" dxfId="4373" priority="325">
      <formula>U$9&lt;8/24</formula>
    </cfRule>
  </conditionalFormatting>
  <conditionalFormatting sqref="C51:AC51 B38:AF38 B37:L37 C39:L43 N12:P12 N16:O27 N34:O36 N13:O14 N29:O32 N37:W37 N39:AC50 AE51:AG51 AD39:AD51 B52:AF56 C11:AF11 X18:AF32 X34:AF37 AE39:AF50">
    <cfRule type="expression" dxfId="4372" priority="321">
      <formula>B11&gt;$AG11</formula>
    </cfRule>
  </conditionalFormatting>
  <conditionalFormatting sqref="A100:A156 A84:A97 A11:A14 A16:A32 A45:A72 A80:A82 A74:A78 A35:A43 A169:A199">
    <cfRule type="expression" dxfId="4371" priority="320">
      <formula>$AH11=0</formula>
    </cfRule>
  </conditionalFormatting>
  <conditionalFormatting sqref="U98:AC98">
    <cfRule type="expression" dxfId="4370" priority="316">
      <formula>U$9&gt;=20/24</formula>
    </cfRule>
    <cfRule type="expression" dxfId="4369" priority="317">
      <formula>AND(U$9&gt;=14/24,U$9&lt;20/24)</formula>
    </cfRule>
    <cfRule type="expression" dxfId="4368" priority="318">
      <formula>AND(U$9&gt;=8/24,U$9&lt;14/24)</formula>
    </cfRule>
    <cfRule type="expression" dxfId="4367" priority="319">
      <formula>U$9&lt;8/24</formula>
    </cfRule>
  </conditionalFormatting>
  <conditionalFormatting sqref="A98">
    <cfRule type="expression" dxfId="4366" priority="315">
      <formula>$AH98=0</formula>
    </cfRule>
  </conditionalFormatting>
  <conditionalFormatting sqref="AL32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N34:O34">
    <cfRule type="expression" dxfId="4365" priority="294">
      <formula>N$9&gt;=20/24</formula>
    </cfRule>
    <cfRule type="expression" dxfId="4364" priority="295">
      <formula>AND(N$9&gt;=14/24,N$9&lt;20/24)</formula>
    </cfRule>
    <cfRule type="expression" dxfId="4363" priority="296">
      <formula>AND(N$9&gt;=8/24,N$9&lt;14/24)</formula>
    </cfRule>
    <cfRule type="expression" dxfId="4362" priority="297">
      <formula>N$9&lt;8/24</formula>
    </cfRule>
  </conditionalFormatting>
  <conditionalFormatting sqref="X34:AF34">
    <cfRule type="expression" dxfId="4361" priority="290">
      <formula>X$9&gt;=20/24</formula>
    </cfRule>
    <cfRule type="expression" dxfId="4360" priority="291">
      <formula>AND(X$9&gt;=14/24,X$9&lt;20/24)</formula>
    </cfRule>
    <cfRule type="expression" dxfId="4359" priority="292">
      <formula>AND(X$9&gt;=8/24,X$9&lt;14/24)</formula>
    </cfRule>
    <cfRule type="expression" dxfId="4358" priority="293">
      <formula>X$9&lt;8/24</formula>
    </cfRule>
  </conditionalFormatting>
  <conditionalFormatting sqref="A34">
    <cfRule type="expression" dxfId="4357" priority="289">
      <formula>$AH34=0</formula>
    </cfRule>
  </conditionalFormatting>
  <conditionalFormatting sqref="A83">
    <cfRule type="expression" dxfId="4356" priority="288">
      <formula>$AH83=0</formula>
    </cfRule>
  </conditionalFormatting>
  <conditionalFormatting sqref="N15:O15">
    <cfRule type="expression" dxfId="4355" priority="280">
      <formula>N$9&gt;=20/24</formula>
    </cfRule>
    <cfRule type="expression" dxfId="4354" priority="281">
      <formula>AND(N$9&gt;=14/24,N$9&lt;20/24)</formula>
    </cfRule>
    <cfRule type="expression" dxfId="4353" priority="282">
      <formula>AND(N$9&gt;=8/24,N$9&lt;14/24)</formula>
    </cfRule>
    <cfRule type="expression" dxfId="4352" priority="283">
      <formula>N$9&lt;8/24</formula>
    </cfRule>
  </conditionalFormatting>
  <conditionalFormatting sqref="N15:O15">
    <cfRule type="expression" dxfId="4351" priority="279">
      <formula>N15&gt;$AG15</formula>
    </cfRule>
  </conditionalFormatting>
  <conditionalFormatting sqref="A15">
    <cfRule type="expression" dxfId="4350" priority="278">
      <formula>$AH15=0</formula>
    </cfRule>
  </conditionalFormatting>
  <conditionalFormatting sqref="A163:A168">
    <cfRule type="expression" dxfId="4349" priority="277">
      <formula>$AH163=0</formula>
    </cfRule>
  </conditionalFormatting>
  <conditionalFormatting sqref="A157:A162">
    <cfRule type="expression" dxfId="4348" priority="276">
      <formula>$AH157=0</formula>
    </cfRule>
  </conditionalFormatting>
  <conditionalFormatting sqref="Z44:AF44">
    <cfRule type="expression" dxfId="4347" priority="272">
      <formula>Z$9&gt;=20/24</formula>
    </cfRule>
    <cfRule type="expression" dxfId="4346" priority="273">
      <formula>AND(Z$9&gt;=14/24,Z$9&lt;20/24)</formula>
    </cfRule>
    <cfRule type="expression" dxfId="4345" priority="274">
      <formula>AND(Z$9&gt;=8/24,Z$9&lt;14/24)</formula>
    </cfRule>
    <cfRule type="expression" dxfId="4344" priority="275">
      <formula>Z$9&lt;8/24</formula>
    </cfRule>
  </conditionalFormatting>
  <conditionalFormatting sqref="N44:W44">
    <cfRule type="expression" dxfId="4343" priority="268">
      <formula>N$9&gt;=20/24</formula>
    </cfRule>
    <cfRule type="expression" dxfId="4342" priority="269">
      <formula>AND(N$9&gt;=14/24,N$9&lt;20/24)</formula>
    </cfRule>
    <cfRule type="expression" dxfId="4341" priority="270">
      <formula>AND(N$9&gt;=8/24,N$9&lt;14/24)</formula>
    </cfRule>
    <cfRule type="expression" dxfId="4340" priority="271">
      <formula>N$9&lt;8/24</formula>
    </cfRule>
  </conditionalFormatting>
  <conditionalFormatting sqref="S44:AF44">
    <cfRule type="expression" dxfId="4339" priority="264">
      <formula>S$9&gt;=20/24</formula>
    </cfRule>
    <cfRule type="expression" dxfId="4338" priority="265">
      <formula>AND(S$9&gt;=14/24,S$9&lt;20/24)</formula>
    </cfRule>
    <cfRule type="expression" dxfId="4337" priority="266">
      <formula>AND(S$9&gt;=8/24,S$9&lt;14/24)</formula>
    </cfRule>
    <cfRule type="expression" dxfId="4336" priority="267">
      <formula>S$9&lt;8/24</formula>
    </cfRule>
  </conditionalFormatting>
  <conditionalFormatting sqref="A44">
    <cfRule type="expression" dxfId="4335" priority="263">
      <formula>$AH44=0</formula>
    </cfRule>
  </conditionalFormatting>
  <conditionalFormatting sqref="A79">
    <cfRule type="expression" dxfId="4334" priority="262">
      <formula>$AH79=0</formula>
    </cfRule>
  </conditionalFormatting>
  <conditionalFormatting sqref="A73">
    <cfRule type="expression" dxfId="4333" priority="261">
      <formula>$AH73=0</formula>
    </cfRule>
  </conditionalFormatting>
  <conditionalFormatting sqref="AL34:AL35 AL7:AL31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U60:W63">
    <cfRule type="expression" dxfId="4332" priority="257">
      <formula>U$9&gt;=20/24</formula>
    </cfRule>
    <cfRule type="expression" dxfId="4331" priority="258">
      <formula>AND(U$9&gt;=14/24,U$9&lt;20/24)</formula>
    </cfRule>
    <cfRule type="expression" dxfId="4330" priority="259">
      <formula>AND(U$9&gt;=8/24,U$9&lt;14/24)</formula>
    </cfRule>
    <cfRule type="expression" dxfId="4329" priority="260">
      <formula>U$9&lt;8/24</formula>
    </cfRule>
  </conditionalFormatting>
  <conditionalFormatting sqref="U85:W91">
    <cfRule type="expression" dxfId="4328" priority="253">
      <formula>U$9&gt;=20/24</formula>
    </cfRule>
    <cfRule type="expression" dxfId="4327" priority="254">
      <formula>AND(U$9&gt;=14/24,U$9&lt;20/24)</formula>
    </cfRule>
    <cfRule type="expression" dxfId="4326" priority="255">
      <formula>AND(U$9&gt;=8/24,U$9&lt;14/24)</formula>
    </cfRule>
    <cfRule type="expression" dxfId="4325" priority="256">
      <formula>U$9&lt;8/24</formula>
    </cfRule>
  </conditionalFormatting>
  <conditionalFormatting sqref="S85:T91 C84:R91">
    <cfRule type="expression" dxfId="4324" priority="249">
      <formula>C$9&gt;=20/24</formula>
    </cfRule>
    <cfRule type="expression" dxfId="4323" priority="250">
      <formula>AND(C$9&gt;=14/24,C$9&lt;20/24)</formula>
    </cfRule>
    <cfRule type="expression" dxfId="4322" priority="251">
      <formula>AND(C$9&gt;=8/24,C$9&lt;14/24)</formula>
    </cfRule>
    <cfRule type="expression" dxfId="4321" priority="252">
      <formula>C$9&lt;8/24</formula>
    </cfRule>
  </conditionalFormatting>
  <conditionalFormatting sqref="S84:T84">
    <cfRule type="expression" dxfId="4320" priority="245">
      <formula>S$9&gt;=20/24</formula>
    </cfRule>
    <cfRule type="expression" dxfId="4319" priority="246">
      <formula>AND(S$9&gt;=14/24,S$9&lt;20/24)</formula>
    </cfRule>
    <cfRule type="expression" dxfId="4318" priority="247">
      <formula>AND(S$9&gt;=8/24,S$9&lt;14/24)</formula>
    </cfRule>
    <cfRule type="expression" dxfId="4317" priority="248">
      <formula>S$9&lt;8/24</formula>
    </cfRule>
  </conditionalFormatting>
  <conditionalFormatting sqref="E94:F94 E95:M97 C94:D97">
    <cfRule type="expression" dxfId="4316" priority="241">
      <formula>C$9&gt;=20/24</formula>
    </cfRule>
    <cfRule type="expression" dxfId="4315" priority="242">
      <formula>AND(C$9&gt;=14/24,C$9&lt;20/24)</formula>
    </cfRule>
    <cfRule type="expression" dxfId="4314" priority="243">
      <formula>AND(C$9&gt;=8/24,C$9&lt;14/24)</formula>
    </cfRule>
    <cfRule type="expression" dxfId="4313" priority="244">
      <formula>C$9&lt;8/24</formula>
    </cfRule>
  </conditionalFormatting>
  <conditionalFormatting sqref="N95:Q97 O94:Q94 R94:R97">
    <cfRule type="expression" dxfId="4312" priority="237">
      <formula>N$9&gt;=20/24</formula>
    </cfRule>
    <cfRule type="expression" dxfId="4311" priority="238">
      <formula>AND(N$9&gt;=14/24,N$9&lt;20/24)</formula>
    </cfRule>
    <cfRule type="expression" dxfId="4310" priority="239">
      <formula>AND(N$9&gt;=8/24,N$9&lt;14/24)</formula>
    </cfRule>
    <cfRule type="expression" dxfId="4309" priority="240">
      <formula>N$9&lt;8/24</formula>
    </cfRule>
  </conditionalFormatting>
  <conditionalFormatting sqref="S94:T97">
    <cfRule type="expression" dxfId="4308" priority="233">
      <formula>S$9&gt;=20/24</formula>
    </cfRule>
    <cfRule type="expression" dxfId="4307" priority="234">
      <formula>AND(S$9&gt;=14/24,S$9&lt;20/24)</formula>
    </cfRule>
    <cfRule type="expression" dxfId="4306" priority="235">
      <formula>AND(S$9&gt;=8/24,S$9&lt;14/24)</formula>
    </cfRule>
    <cfRule type="expression" dxfId="4305" priority="236">
      <formula>S$9&lt;8/24</formula>
    </cfRule>
  </conditionalFormatting>
  <conditionalFormatting sqref="C98:M98">
    <cfRule type="expression" dxfId="4304" priority="229">
      <formula>C$9&gt;=20/24</formula>
    </cfRule>
    <cfRule type="expression" dxfId="4303" priority="230">
      <formula>AND(C$9&gt;=14/24,C$9&lt;20/24)</formula>
    </cfRule>
    <cfRule type="expression" dxfId="4302" priority="231">
      <formula>AND(C$9&gt;=8/24,C$9&lt;14/24)</formula>
    </cfRule>
    <cfRule type="expression" dxfId="4301" priority="232">
      <formula>C$9&lt;8/24</formula>
    </cfRule>
  </conditionalFormatting>
  <conditionalFormatting sqref="N98:R98">
    <cfRule type="expression" dxfId="4300" priority="225">
      <formula>N$9&gt;=20/24</formula>
    </cfRule>
    <cfRule type="expression" dxfId="4299" priority="226">
      <formula>AND(N$9&gt;=14/24,N$9&lt;20/24)</formula>
    </cfRule>
    <cfRule type="expression" dxfId="4298" priority="227">
      <formula>AND(N$9&gt;=8/24,N$9&lt;14/24)</formula>
    </cfRule>
    <cfRule type="expression" dxfId="4297" priority="228">
      <formula>N$9&lt;8/24</formula>
    </cfRule>
  </conditionalFormatting>
  <conditionalFormatting sqref="S98:T98">
    <cfRule type="expression" dxfId="4296" priority="221">
      <formula>S$9&gt;=20/24</formula>
    </cfRule>
    <cfRule type="expression" dxfId="4295" priority="222">
      <formula>AND(S$9&gt;=14/24,S$9&lt;20/24)</formula>
    </cfRule>
    <cfRule type="expression" dxfId="4294" priority="223">
      <formula>AND(S$9&gt;=8/24,S$9&lt;14/24)</formula>
    </cfRule>
    <cfRule type="expression" dxfId="4293" priority="224">
      <formula>S$9&lt;8/24</formula>
    </cfRule>
  </conditionalFormatting>
  <conditionalFormatting sqref="M94:N94">
    <cfRule type="expression" dxfId="4292" priority="217">
      <formula>M$9&gt;=20/24</formula>
    </cfRule>
    <cfRule type="expression" dxfId="4291" priority="218">
      <formula>AND(M$9&gt;=14/24,M$9&lt;20/24)</formula>
    </cfRule>
    <cfRule type="expression" dxfId="4290" priority="219">
      <formula>AND(M$9&gt;=8/24,M$9&lt;14/24)</formula>
    </cfRule>
    <cfRule type="expression" dxfId="4289" priority="220">
      <formula>M$9&lt;8/24</formula>
    </cfRule>
  </conditionalFormatting>
  <conditionalFormatting sqref="G94:L94">
    <cfRule type="expression" dxfId="4288" priority="213">
      <formula>G$9&gt;=20/24</formula>
    </cfRule>
    <cfRule type="expression" dxfId="4287" priority="214">
      <formula>AND(G$9&gt;=14/24,G$9&lt;20/24)</formula>
    </cfRule>
    <cfRule type="expression" dxfId="4286" priority="215">
      <formula>AND(G$9&gt;=8/24,G$9&lt;14/24)</formula>
    </cfRule>
    <cfRule type="expression" dxfId="4285" priority="216">
      <formula>G$9&lt;8/24</formula>
    </cfRule>
  </conditionalFormatting>
  <conditionalFormatting sqref="U94:W94">
    <cfRule type="expression" dxfId="4284" priority="209">
      <formula>U$9&gt;=20/24</formula>
    </cfRule>
    <cfRule type="expression" dxfId="4283" priority="210">
      <formula>AND(U$9&gt;=14/24,U$9&lt;20/24)</formula>
    </cfRule>
    <cfRule type="expression" dxfId="4282" priority="211">
      <formula>AND(U$9&gt;=8/24,U$9&lt;14/24)</formula>
    </cfRule>
    <cfRule type="expression" dxfId="4281" priority="212">
      <formula>U$9&lt;8/24</formula>
    </cfRule>
  </conditionalFormatting>
  <conditionalFormatting sqref="N94:T94">
    <cfRule type="expression" dxfId="4280" priority="205">
      <formula>N$9&gt;=20/24</formula>
    </cfRule>
    <cfRule type="expression" dxfId="4279" priority="206">
      <formula>AND(N$9&gt;=14/24,N$9&lt;20/24)</formula>
    </cfRule>
    <cfRule type="expression" dxfId="4278" priority="207">
      <formula>AND(N$9&gt;=8/24,N$9&lt;14/24)</formula>
    </cfRule>
    <cfRule type="expression" dxfId="4277" priority="208">
      <formula>N$9&lt;8/24</formula>
    </cfRule>
  </conditionalFormatting>
  <conditionalFormatting sqref="U99:AC99">
    <cfRule type="expression" dxfId="4276" priority="201">
      <formula>U$9&gt;=20/24</formula>
    </cfRule>
    <cfRule type="expression" dxfId="4275" priority="202">
      <formula>AND(U$9&gt;=14/24,U$9&lt;20/24)</formula>
    </cfRule>
    <cfRule type="expression" dxfId="4274" priority="203">
      <formula>AND(U$9&gt;=8/24,U$9&lt;14/24)</formula>
    </cfRule>
    <cfRule type="expression" dxfId="4273" priority="204">
      <formula>U$9&lt;8/24</formula>
    </cfRule>
  </conditionalFormatting>
  <conditionalFormatting sqref="C99:M99">
    <cfRule type="expression" dxfId="4272" priority="197">
      <formula>C$9&gt;=20/24</formula>
    </cfRule>
    <cfRule type="expression" dxfId="4271" priority="198">
      <formula>AND(C$9&gt;=14/24,C$9&lt;20/24)</formula>
    </cfRule>
    <cfRule type="expression" dxfId="4270" priority="199">
      <formula>AND(C$9&gt;=8/24,C$9&lt;14/24)</formula>
    </cfRule>
    <cfRule type="expression" dxfId="4269" priority="200">
      <formula>C$9&lt;8/24</formula>
    </cfRule>
  </conditionalFormatting>
  <conditionalFormatting sqref="N99:R99">
    <cfRule type="expression" dxfId="4268" priority="193">
      <formula>N$9&gt;=20/24</formula>
    </cfRule>
    <cfRule type="expression" dxfId="4267" priority="194">
      <formula>AND(N$9&gt;=14/24,N$9&lt;20/24)</formula>
    </cfRule>
    <cfRule type="expression" dxfId="4266" priority="195">
      <formula>AND(N$9&gt;=8/24,N$9&lt;14/24)</formula>
    </cfRule>
    <cfRule type="expression" dxfId="4265" priority="196">
      <formula>N$9&lt;8/24</formula>
    </cfRule>
  </conditionalFormatting>
  <conditionalFormatting sqref="S99:T99">
    <cfRule type="expression" dxfId="4264" priority="189">
      <formula>S$9&gt;=20/24</formula>
    </cfRule>
    <cfRule type="expression" dxfId="4263" priority="190">
      <formula>AND(S$9&gt;=14/24,S$9&lt;20/24)</formula>
    </cfRule>
    <cfRule type="expression" dxfId="4262" priority="191">
      <formula>AND(S$9&gt;=8/24,S$9&lt;14/24)</formula>
    </cfRule>
    <cfRule type="expression" dxfId="4261" priority="192">
      <formula>S$9&lt;8/24</formula>
    </cfRule>
  </conditionalFormatting>
  <conditionalFormatting sqref="X12:AF16">
    <cfRule type="expression" dxfId="4260" priority="185">
      <formula>X$9&gt;=20/24</formula>
    </cfRule>
    <cfRule type="expression" dxfId="4259" priority="186">
      <formula>AND(X$9&gt;=14/24,X$9&lt;20/24)</formula>
    </cfRule>
    <cfRule type="expression" dxfId="4258" priority="187">
      <formula>AND(X$9&gt;=8/24,X$9&lt;14/24)</formula>
    </cfRule>
    <cfRule type="expression" dxfId="4257" priority="188">
      <formula>X$9&lt;8/24</formula>
    </cfRule>
  </conditionalFormatting>
  <conditionalFormatting sqref="X17:AF17">
    <cfRule type="expression" dxfId="4256" priority="181">
      <formula>X$9&gt;=20/24</formula>
    </cfRule>
    <cfRule type="expression" dxfId="4255" priority="182">
      <formula>AND(X$9&gt;=14/24,X$9&lt;20/24)</formula>
    </cfRule>
    <cfRule type="expression" dxfId="4254" priority="183">
      <formula>AND(X$9&gt;=8/24,X$9&lt;14/24)</formula>
    </cfRule>
    <cfRule type="expression" dxfId="4253" priority="184">
      <formula>X$9&lt;8/24</formula>
    </cfRule>
  </conditionalFormatting>
  <conditionalFormatting sqref="X12:AF13">
    <cfRule type="expression" dxfId="4252" priority="177">
      <formula>X$9&gt;=20/24</formula>
    </cfRule>
    <cfRule type="expression" dxfId="4251" priority="178">
      <formula>AND(X$9&gt;=14/24,X$9&lt;20/24)</formula>
    </cfRule>
    <cfRule type="expression" dxfId="4250" priority="179">
      <formula>AND(X$9&gt;=8/24,X$9&lt;14/24)</formula>
    </cfRule>
    <cfRule type="expression" dxfId="4249" priority="180">
      <formula>X$9&lt;8/24</formula>
    </cfRule>
  </conditionalFormatting>
  <conditionalFormatting sqref="AL3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48" priority="406">
      <formula>C$9&gt;=20/24</formula>
    </cfRule>
    <cfRule type="expression" dxfId="4247" priority="407">
      <formula>AND(C$9&gt;=14/24,C$9&lt;20/24)</formula>
    </cfRule>
    <cfRule type="expression" dxfId="4246" priority="408">
      <formula>AND(C$9&gt;=8/24,C$9&lt;14/24)</formula>
    </cfRule>
    <cfRule type="expression" dxfId="4245" priority="409">
      <formula>C$9&lt;8/24</formula>
    </cfRule>
  </conditionalFormatting>
  <conditionalFormatting sqref="A200">
    <cfRule type="expression" dxfId="4244" priority="410">
      <formula>$AH200=0</formula>
    </cfRule>
  </conditionalFormatting>
  <conditionalFormatting sqref="AG212">
    <cfRule type="expression" dxfId="4243" priority="411">
      <formula>B$9&gt;=20/24</formula>
    </cfRule>
    <cfRule type="expression" dxfId="4242" priority="412">
      <formula>AND(B$9&gt;=14/24,B$9&lt;20/24)</formula>
    </cfRule>
    <cfRule type="expression" dxfId="4241" priority="413">
      <formula>AND(B$9&gt;=8/24,B$9&lt;14/24)</formula>
    </cfRule>
    <cfRule type="expression" dxfId="4240" priority="414">
      <formula>B$9&lt;8/24</formula>
    </cfRule>
  </conditionalFormatting>
  <conditionalFormatting sqref="S8">
    <cfRule type="expression" dxfId="4239" priority="167">
      <formula>U$9&gt;=20/24</formula>
    </cfRule>
    <cfRule type="expression" dxfId="4238" priority="168">
      <formula>AND(U$9&gt;=14/24,U$9&lt;20/24)</formula>
    </cfRule>
    <cfRule type="expression" dxfId="4237" priority="169">
      <formula>AND(U$9&gt;=8/24,U$9&lt;14/24)</formula>
    </cfRule>
    <cfRule type="expression" dxfId="4236" priority="170">
      <formula>U$9&lt;8/24</formula>
    </cfRule>
  </conditionalFormatting>
  <conditionalFormatting sqref="AB8">
    <cfRule type="expression" dxfId="4235" priority="163">
      <formula>AD$9&gt;=20/24</formula>
    </cfRule>
    <cfRule type="expression" dxfId="4234" priority="164">
      <formula>AND(AD$9&gt;=14/24,AD$9&lt;20/24)</formula>
    </cfRule>
    <cfRule type="expression" dxfId="4233" priority="165">
      <formula>AND(AD$9&gt;=8/24,AD$9&lt;14/24)</formula>
    </cfRule>
    <cfRule type="expression" dxfId="4232" priority="166">
      <formula>AD$9&lt;8/24</formula>
    </cfRule>
  </conditionalFormatting>
  <conditionalFormatting sqref="AH212:AX212">
    <cfRule type="expression" dxfId="4231" priority="415">
      <formula>AG$9&gt;=20/24</formula>
    </cfRule>
    <cfRule type="expression" dxfId="4230" priority="416">
      <formula>AND(AG$9&gt;=14/24,AG$9&lt;20/24)</formula>
    </cfRule>
    <cfRule type="expression" dxfId="4229" priority="417">
      <formula>AND(AG$9&gt;=8/24,AG$9&lt;14/24)</formula>
    </cfRule>
    <cfRule type="expression" dxfId="4228" priority="418">
      <formula>AG$9&lt;8/24</formula>
    </cfRule>
  </conditionalFormatting>
  <conditionalFormatting sqref="T212">
    <cfRule type="expression" dxfId="4227" priority="419">
      <formula>AX$9&gt;=20/24</formula>
    </cfRule>
    <cfRule type="expression" dxfId="4226" priority="420">
      <formula>AND(AX$9&gt;=14/24,AX$9&lt;20/24)</formula>
    </cfRule>
    <cfRule type="expression" dxfId="4225" priority="421">
      <formula>AND(AX$9&gt;=8/24,AX$9&lt;14/24)</formula>
    </cfRule>
    <cfRule type="expression" dxfId="4224" priority="422">
      <formula>AX$9&lt;8/24</formula>
    </cfRule>
  </conditionalFormatting>
  <conditionalFormatting sqref="A99">
    <cfRule type="expression" dxfId="4223" priority="162">
      <formula>$AH99=0</formula>
    </cfRule>
  </conditionalFormatting>
  <conditionalFormatting sqref="N33:O33">
    <cfRule type="expression" dxfId="4222" priority="158">
      <formula>N$9&gt;=20/24</formula>
    </cfRule>
    <cfRule type="expression" dxfId="4221" priority="159">
      <formula>AND(N$9&gt;=14/24,N$9&lt;20/24)</formula>
    </cfRule>
    <cfRule type="expression" dxfId="4220" priority="160">
      <formula>AND(N$9&gt;=8/24,N$9&lt;14/24)</formula>
    </cfRule>
    <cfRule type="expression" dxfId="4219" priority="161">
      <formula>N$9&lt;8/24</formula>
    </cfRule>
  </conditionalFormatting>
  <conditionalFormatting sqref="X33:AF33">
    <cfRule type="expression" dxfId="4218" priority="150">
      <formula>X$9&gt;=20/24</formula>
    </cfRule>
    <cfRule type="expression" dxfId="4217" priority="151">
      <formula>AND(X$9&gt;=14/24,X$9&lt;20/24)</formula>
    </cfRule>
    <cfRule type="expression" dxfId="4216" priority="152">
      <formula>AND(X$9&gt;=8/24,X$9&lt;14/24)</formula>
    </cfRule>
    <cfRule type="expression" dxfId="4215" priority="153">
      <formula>X$9&lt;8/24</formula>
    </cfRule>
  </conditionalFormatting>
  <conditionalFormatting sqref="N33:O33 X33:AF33">
    <cfRule type="expression" dxfId="4214" priority="149">
      <formula>N33&gt;$AG33</formula>
    </cfRule>
  </conditionalFormatting>
  <conditionalFormatting sqref="B36:L36 B18:M27 B29:M30 B28:W28">
    <cfRule type="expression" dxfId="4213" priority="145">
      <formula>B$9&gt;=20/24</formula>
    </cfRule>
    <cfRule type="expression" dxfId="4212" priority="146">
      <formula>AND(B$9&gt;=14/24,B$9&lt;20/24)</formula>
    </cfRule>
    <cfRule type="expression" dxfId="4211" priority="147">
      <formula>AND(B$9&gt;=8/24,B$9&lt;14/24)</formula>
    </cfRule>
    <cfRule type="expression" dxfId="4210" priority="148">
      <formula>B$9&lt;8/24</formula>
    </cfRule>
  </conditionalFormatting>
  <conditionalFormatting sqref="B31:M32 B35:M35">
    <cfRule type="expression" dxfId="4209" priority="141">
      <formula>B$9&gt;=20/24</formula>
    </cfRule>
    <cfRule type="expression" dxfId="4208" priority="142">
      <formula>AND(B$9&gt;=14/24,B$9&lt;20/24)</formula>
    </cfRule>
    <cfRule type="expression" dxfId="4207" priority="143">
      <formula>AND(B$9&gt;=8/24,B$9&lt;14/24)</formula>
    </cfRule>
    <cfRule type="expression" dxfId="4206" priority="144">
      <formula>B$9&lt;8/24</formula>
    </cfRule>
  </conditionalFormatting>
  <conditionalFormatting sqref="B11 B34:M35 B18:M27 B36:L36 B29:M32 B28:W28">
    <cfRule type="expression" dxfId="4205" priority="140">
      <formula>B11&gt;$AG11</formula>
    </cfRule>
  </conditionalFormatting>
  <conditionalFormatting sqref="B34:M34">
    <cfRule type="expression" dxfId="4204" priority="136">
      <formula>B$9&gt;=20/24</formula>
    </cfRule>
    <cfRule type="expression" dxfId="4203" priority="137">
      <formula>AND(B$9&gt;=14/24,B$9&lt;20/24)</formula>
    </cfRule>
    <cfRule type="expression" dxfId="4202" priority="138">
      <formula>AND(B$9&gt;=8/24,B$9&lt;14/24)</formula>
    </cfRule>
    <cfRule type="expression" dxfId="4201" priority="139">
      <formula>B$9&lt;8/24</formula>
    </cfRule>
  </conditionalFormatting>
  <conditionalFormatting sqref="B12:M16">
    <cfRule type="expression" dxfId="4200" priority="132">
      <formula>B$9&gt;=20/24</formula>
    </cfRule>
    <cfRule type="expression" dxfId="4199" priority="133">
      <formula>AND(B$9&gt;=14/24,B$9&lt;20/24)</formula>
    </cfRule>
    <cfRule type="expression" dxfId="4198" priority="134">
      <formula>AND(B$9&gt;=8/24,B$9&lt;14/24)</formula>
    </cfRule>
    <cfRule type="expression" dxfId="4197" priority="135">
      <formula>B$9&lt;8/24</formula>
    </cfRule>
  </conditionalFormatting>
  <conditionalFormatting sqref="B17:M17">
    <cfRule type="expression" dxfId="4196" priority="128">
      <formula>B$9&gt;=20/24</formula>
    </cfRule>
    <cfRule type="expression" dxfId="4195" priority="129">
      <formula>AND(B$9&gt;=14/24,B$9&lt;20/24)</formula>
    </cfRule>
    <cfRule type="expression" dxfId="4194" priority="130">
      <formula>AND(B$9&gt;=8/24,B$9&lt;14/24)</formula>
    </cfRule>
    <cfRule type="expression" dxfId="4193" priority="131">
      <formula>B$9&lt;8/24</formula>
    </cfRule>
  </conditionalFormatting>
  <conditionalFormatting sqref="B12:M13">
    <cfRule type="expression" dxfId="4192" priority="124">
      <formula>B$9&gt;=20/24</formula>
    </cfRule>
    <cfRule type="expression" dxfId="4191" priority="125">
      <formula>AND(B$9&gt;=14/24,B$9&lt;20/24)</formula>
    </cfRule>
    <cfRule type="expression" dxfId="4190" priority="126">
      <formula>AND(B$9&gt;=8/24,B$9&lt;14/24)</formula>
    </cfRule>
    <cfRule type="expression" dxfId="4189" priority="127">
      <formula>B$9&lt;8/24</formula>
    </cfRule>
  </conditionalFormatting>
  <conditionalFormatting sqref="B33:M33">
    <cfRule type="expression" dxfId="4188" priority="120">
      <formula>B$9&gt;=20/24</formula>
    </cfRule>
    <cfRule type="expression" dxfId="4187" priority="121">
      <formula>AND(B$9&gt;=14/24,B$9&lt;20/24)</formula>
    </cfRule>
    <cfRule type="expression" dxfId="4186" priority="122">
      <formula>AND(B$9&gt;=8/24,B$9&lt;14/24)</formula>
    </cfRule>
    <cfRule type="expression" dxfId="4185" priority="123">
      <formula>B$9&lt;8/24</formula>
    </cfRule>
  </conditionalFormatting>
  <conditionalFormatting sqref="B33:M33">
    <cfRule type="expression" dxfId="4184" priority="119">
      <formula>B33&gt;$AG33</formula>
    </cfRule>
  </conditionalFormatting>
  <conditionalFormatting sqref="B43 B45:L48">
    <cfRule type="expression" dxfId="4183" priority="115">
      <formula>B$9&gt;=20/24</formula>
    </cfRule>
    <cfRule type="expression" dxfId="4182" priority="116">
      <formula>AND(B$9&gt;=14/24,B$9&lt;20/24)</formula>
    </cfRule>
    <cfRule type="expression" dxfId="4181" priority="117">
      <formula>AND(B$9&gt;=8/24,B$9&lt;14/24)</formula>
    </cfRule>
    <cfRule type="expression" dxfId="4180" priority="118">
      <formula>B$9&lt;8/24</formula>
    </cfRule>
  </conditionalFormatting>
  <conditionalFormatting sqref="B45:L48">
    <cfRule type="expression" dxfId="4179" priority="111">
      <formula>B$9&gt;=20/24</formula>
    </cfRule>
    <cfRule type="expression" dxfId="4178" priority="112">
      <formula>AND(B$9&gt;=14/24,B$9&lt;20/24)</formula>
    </cfRule>
    <cfRule type="expression" dxfId="4177" priority="113">
      <formula>AND(B$9&gt;=8/24,B$9&lt;14/24)</formula>
    </cfRule>
    <cfRule type="expression" dxfId="4176" priority="114">
      <formula>B$9&lt;8/24</formula>
    </cfRule>
  </conditionalFormatting>
  <conditionalFormatting sqref="B49:L49">
    <cfRule type="expression" dxfId="4175" priority="107">
      <formula>B$9&gt;=20/24</formula>
    </cfRule>
    <cfRule type="expression" dxfId="4174" priority="108">
      <formula>AND(B$9&gt;=14/24,B$9&lt;20/24)</formula>
    </cfRule>
    <cfRule type="expression" dxfId="4173" priority="109">
      <formula>AND(B$9&gt;=8/24,B$9&lt;14/24)</formula>
    </cfRule>
    <cfRule type="expression" dxfId="4172" priority="110">
      <formula>B$9&lt;8/24</formula>
    </cfRule>
  </conditionalFormatting>
  <conditionalFormatting sqref="B50:L50">
    <cfRule type="expression" dxfId="4171" priority="103">
      <formula>B$9&gt;=20/24</formula>
    </cfRule>
    <cfRule type="expression" dxfId="4170" priority="104">
      <formula>AND(B$9&gt;=14/24,B$9&lt;20/24)</formula>
    </cfRule>
    <cfRule type="expression" dxfId="4169" priority="105">
      <formula>AND(B$9&gt;=8/24,B$9&lt;14/24)</formula>
    </cfRule>
    <cfRule type="expression" dxfId="4168" priority="106">
      <formula>B$9&lt;8/24</formula>
    </cfRule>
  </conditionalFormatting>
  <conditionalFormatting sqref="B39:B51 C44:L50">
    <cfRule type="expression" dxfId="4167" priority="102">
      <formula>B39&gt;$AG39</formula>
    </cfRule>
  </conditionalFormatting>
  <conditionalFormatting sqref="B44:L44">
    <cfRule type="expression" dxfId="4166" priority="98">
      <formula>B$9&gt;=20/24</formula>
    </cfRule>
    <cfRule type="expression" dxfId="4165" priority="99">
      <formula>AND(B$9&gt;=14/24,B$9&lt;20/24)</formula>
    </cfRule>
    <cfRule type="expression" dxfId="4164" priority="100">
      <formula>AND(B$9&gt;=8/24,B$9&lt;14/24)</formula>
    </cfRule>
    <cfRule type="expression" dxfId="4163" priority="101">
      <formula>B$9&lt;8/24</formula>
    </cfRule>
  </conditionalFormatting>
  <conditionalFormatting sqref="B44:L44">
    <cfRule type="expression" dxfId="4162" priority="94">
      <formula>B$9&gt;=20/24</formula>
    </cfRule>
    <cfRule type="expression" dxfId="4161" priority="95">
      <formula>AND(B$9&gt;=14/24,B$9&lt;20/24)</formula>
    </cfRule>
    <cfRule type="expression" dxfId="4160" priority="96">
      <formula>AND(B$9&gt;=8/24,B$9&lt;14/24)</formula>
    </cfRule>
    <cfRule type="expression" dxfId="4159" priority="97">
      <formula>B$9&lt;8/24</formula>
    </cfRule>
  </conditionalFormatting>
  <conditionalFormatting sqref="B49:L49">
    <cfRule type="expression" dxfId="4158" priority="90">
      <formula>B$9&gt;=20/24</formula>
    </cfRule>
    <cfRule type="expression" dxfId="4157" priority="91">
      <formula>AND(B$9&gt;=14/24,B$9&lt;20/24)</formula>
    </cfRule>
    <cfRule type="expression" dxfId="4156" priority="92">
      <formula>AND(B$9&gt;=8/24,B$9&lt;14/24)</formula>
    </cfRule>
    <cfRule type="expression" dxfId="4155" priority="93">
      <formula>B$9&lt;8/24</formula>
    </cfRule>
  </conditionalFormatting>
  <conditionalFormatting sqref="B50:L50">
    <cfRule type="expression" dxfId="4154" priority="86">
      <formula>B$9&gt;=20/24</formula>
    </cfRule>
    <cfRule type="expression" dxfId="4153" priority="87">
      <formula>AND(B$9&gt;=14/24,B$9&lt;20/24)</formula>
    </cfRule>
    <cfRule type="expression" dxfId="4152" priority="88">
      <formula>AND(B$9&gt;=8/24,B$9&lt;14/24)</formula>
    </cfRule>
    <cfRule type="expression" dxfId="4151" priority="89">
      <formula>B$9&lt;8/24</formula>
    </cfRule>
  </conditionalFormatting>
  <conditionalFormatting sqref="B45:L48">
    <cfRule type="expression" dxfId="4150" priority="82">
      <formula>B$9&gt;=20/24</formula>
    </cfRule>
    <cfRule type="expression" dxfId="4149" priority="83">
      <formula>AND(B$9&gt;=14/24,B$9&lt;20/24)</formula>
    </cfRule>
    <cfRule type="expression" dxfId="4148" priority="84">
      <formula>AND(B$9&gt;=8/24,B$9&lt;14/24)</formula>
    </cfRule>
    <cfRule type="expression" dxfId="4147" priority="85">
      <formula>B$9&lt;8/24</formula>
    </cfRule>
  </conditionalFormatting>
  <conditionalFormatting sqref="M36:M37">
    <cfRule type="expression" dxfId="4146" priority="78">
      <formula>M$9&gt;=20/24</formula>
    </cfRule>
    <cfRule type="expression" dxfId="4145" priority="79">
      <formula>AND(M$9&gt;=14/24,M$9&lt;20/24)</formula>
    </cfRule>
    <cfRule type="expression" dxfId="4144" priority="80">
      <formula>AND(M$9&gt;=8/24,M$9&lt;14/24)</formula>
    </cfRule>
    <cfRule type="expression" dxfId="4143" priority="81">
      <formula>M$9&lt;8/24</formula>
    </cfRule>
  </conditionalFormatting>
  <conditionalFormatting sqref="M36:M37">
    <cfRule type="expression" dxfId="4142" priority="77">
      <formula>M36&gt;$AG36</formula>
    </cfRule>
  </conditionalFormatting>
  <conditionalFormatting sqref="M39:M42 M45:M48">
    <cfRule type="expression" dxfId="4141" priority="73">
      <formula>M$9&gt;=20/24</formula>
    </cfRule>
    <cfRule type="expression" dxfId="4140" priority="74">
      <formula>AND(M$9&gt;=14/24,M$9&lt;20/24)</formula>
    </cfRule>
    <cfRule type="expression" dxfId="4139" priority="75">
      <formula>AND(M$9&gt;=8/24,M$9&lt;14/24)</formula>
    </cfRule>
    <cfRule type="expression" dxfId="4138" priority="76">
      <formula>M$9&lt;8/24</formula>
    </cfRule>
  </conditionalFormatting>
  <conditionalFormatting sqref="M43">
    <cfRule type="expression" dxfId="4137" priority="69">
      <formula>M$9&gt;=20/24</formula>
    </cfRule>
    <cfRule type="expression" dxfId="4136" priority="70">
      <formula>AND(M$9&gt;=14/24,M$9&lt;20/24)</formula>
    </cfRule>
    <cfRule type="expression" dxfId="4135" priority="71">
      <formula>AND(M$9&gt;=8/24,M$9&lt;14/24)</formula>
    </cfRule>
    <cfRule type="expression" dxfId="4134" priority="72">
      <formula>M$9&lt;8/24</formula>
    </cfRule>
  </conditionalFormatting>
  <conditionalFormatting sqref="M49">
    <cfRule type="expression" dxfId="4133" priority="65">
      <formula>M$9&gt;=20/24</formula>
    </cfRule>
    <cfRule type="expression" dxfId="4132" priority="66">
      <formula>AND(M$9&gt;=14/24,M$9&lt;20/24)</formula>
    </cfRule>
    <cfRule type="expression" dxfId="4131" priority="67">
      <formula>AND(M$9&gt;=8/24,M$9&lt;14/24)</formula>
    </cfRule>
    <cfRule type="expression" dxfId="4130" priority="68">
      <formula>M$9&lt;8/24</formula>
    </cfRule>
  </conditionalFormatting>
  <conditionalFormatting sqref="M50">
    <cfRule type="expression" dxfId="4129" priority="61">
      <formula>M$9&gt;=20/24</formula>
    </cfRule>
    <cfRule type="expression" dxfId="4128" priority="62">
      <formula>AND(M$9&gt;=14/24,M$9&lt;20/24)</formula>
    </cfRule>
    <cfRule type="expression" dxfId="4127" priority="63">
      <formula>AND(M$9&gt;=8/24,M$9&lt;14/24)</formula>
    </cfRule>
    <cfRule type="expression" dxfId="4126" priority="64">
      <formula>M$9&lt;8/24</formula>
    </cfRule>
  </conditionalFormatting>
  <conditionalFormatting sqref="M45:M48">
    <cfRule type="expression" dxfId="4125" priority="57">
      <formula>M$9&gt;=20/24</formula>
    </cfRule>
    <cfRule type="expression" dxfId="4124" priority="58">
      <formula>AND(M$9&gt;=14/24,M$9&lt;20/24)</formula>
    </cfRule>
    <cfRule type="expression" dxfId="4123" priority="59">
      <formula>AND(M$9&gt;=8/24,M$9&lt;14/24)</formula>
    </cfRule>
    <cfRule type="expression" dxfId="4122" priority="60">
      <formula>M$9&lt;8/24</formula>
    </cfRule>
  </conditionalFormatting>
  <conditionalFormatting sqref="M39:M50">
    <cfRule type="expression" dxfId="4121" priority="56">
      <formula>M39&gt;$AG39</formula>
    </cfRule>
  </conditionalFormatting>
  <conditionalFormatting sqref="M44">
    <cfRule type="expression" dxfId="4120" priority="52">
      <formula>M$9&gt;=20/24</formula>
    </cfRule>
    <cfRule type="expression" dxfId="4119" priority="53">
      <formula>AND(M$9&gt;=14/24,M$9&lt;20/24)</formula>
    </cfRule>
    <cfRule type="expression" dxfId="4118" priority="54">
      <formula>AND(M$9&gt;=8/24,M$9&lt;14/24)</formula>
    </cfRule>
    <cfRule type="expression" dxfId="4117" priority="55">
      <formula>M$9&lt;8/24</formula>
    </cfRule>
  </conditionalFormatting>
  <conditionalFormatting sqref="P16:P27 P36 P13:P14 P29:P32">
    <cfRule type="expression" dxfId="4116" priority="48">
      <formula>P$9&gt;=20/24</formula>
    </cfRule>
    <cfRule type="expression" dxfId="4115" priority="49">
      <formula>AND(P$9&gt;=14/24,P$9&lt;20/24)</formula>
    </cfRule>
    <cfRule type="expression" dxfId="4114" priority="50">
      <formula>AND(P$9&gt;=8/24,P$9&lt;14/24)</formula>
    </cfRule>
    <cfRule type="expression" dxfId="4113" priority="51">
      <formula>P$9&lt;8/24</formula>
    </cfRule>
  </conditionalFormatting>
  <conditionalFormatting sqref="P35">
    <cfRule type="expression" dxfId="4112" priority="44">
      <formula>P$9&gt;=20/24</formula>
    </cfRule>
    <cfRule type="expression" dxfId="4111" priority="45">
      <formula>AND(P$9&gt;=14/24,P$9&lt;20/24)</formula>
    </cfRule>
    <cfRule type="expression" dxfId="4110" priority="46">
      <formula>AND(P$9&gt;=8/24,P$9&lt;14/24)</formula>
    </cfRule>
    <cfRule type="expression" dxfId="4109" priority="47">
      <formula>P$9&lt;8/24</formula>
    </cfRule>
  </conditionalFormatting>
  <conditionalFormatting sqref="P16:P27 P34:P36 P13:P14 P29:P32">
    <cfRule type="expression" dxfId="4108" priority="43">
      <formula>P13&gt;$AG13</formula>
    </cfRule>
  </conditionalFormatting>
  <conditionalFormatting sqref="P34">
    <cfRule type="expression" dxfId="4107" priority="39">
      <formula>P$9&gt;=20/24</formula>
    </cfRule>
    <cfRule type="expression" dxfId="4106" priority="40">
      <formula>AND(P$9&gt;=14/24,P$9&lt;20/24)</formula>
    </cfRule>
    <cfRule type="expression" dxfId="4105" priority="41">
      <formula>AND(P$9&gt;=8/24,P$9&lt;14/24)</formula>
    </cfRule>
    <cfRule type="expression" dxfId="4104" priority="42">
      <formula>P$9&lt;8/24</formula>
    </cfRule>
  </conditionalFormatting>
  <conditionalFormatting sqref="P15">
    <cfRule type="expression" dxfId="4103" priority="35">
      <formula>P$9&gt;=20/24</formula>
    </cfRule>
    <cfRule type="expression" dxfId="4102" priority="36">
      <formula>AND(P$9&gt;=14/24,P$9&lt;20/24)</formula>
    </cfRule>
    <cfRule type="expression" dxfId="4101" priority="37">
      <formula>AND(P$9&gt;=8/24,P$9&lt;14/24)</formula>
    </cfRule>
    <cfRule type="expression" dxfId="4100" priority="38">
      <formula>P$9&lt;8/24</formula>
    </cfRule>
  </conditionalFormatting>
  <conditionalFormatting sqref="P15">
    <cfRule type="expression" dxfId="4099" priority="34">
      <formula>P15&gt;$AG15</formula>
    </cfRule>
  </conditionalFormatting>
  <conditionalFormatting sqref="P33">
    <cfRule type="expression" dxfId="4098" priority="30">
      <formula>P$9&gt;=20/24</formula>
    </cfRule>
    <cfRule type="expression" dxfId="4097" priority="31">
      <formula>AND(P$9&gt;=14/24,P$9&lt;20/24)</formula>
    </cfRule>
    <cfRule type="expression" dxfId="4096" priority="32">
      <formula>AND(P$9&gt;=8/24,P$9&lt;14/24)</formula>
    </cfRule>
    <cfRule type="expression" dxfId="4095" priority="33">
      <formula>P$9&lt;8/24</formula>
    </cfRule>
  </conditionalFormatting>
  <conditionalFormatting sqref="P33">
    <cfRule type="expression" dxfId="4094" priority="29">
      <formula>P33&gt;$AG33</formula>
    </cfRule>
  </conditionalFormatting>
  <conditionalFormatting sqref="Q12:W12">
    <cfRule type="expression" dxfId="4093" priority="25">
      <formula>Q$9&gt;=20/24</formula>
    </cfRule>
    <cfRule type="expression" dxfId="4092" priority="26">
      <formula>AND(Q$9&gt;=14/24,Q$9&lt;20/24)</formula>
    </cfRule>
    <cfRule type="expression" dxfId="4091" priority="27">
      <formula>AND(Q$9&gt;=8/24,Q$9&lt;14/24)</formula>
    </cfRule>
    <cfRule type="expression" dxfId="4090" priority="28">
      <formula>Q$9&lt;8/24</formula>
    </cfRule>
  </conditionalFormatting>
  <conditionalFormatting sqref="Q12:W12">
    <cfRule type="expression" dxfId="4089" priority="24">
      <formula>Q12&gt;$AG12</formula>
    </cfRule>
  </conditionalFormatting>
  <conditionalFormatting sqref="Q16:W27 Q36:W36 Q13:W14 Q29:W32">
    <cfRule type="expression" dxfId="4088" priority="20">
      <formula>Q$9&gt;=20/24</formula>
    </cfRule>
    <cfRule type="expression" dxfId="4087" priority="21">
      <formula>AND(Q$9&gt;=14/24,Q$9&lt;20/24)</formula>
    </cfRule>
    <cfRule type="expression" dxfId="4086" priority="22">
      <formula>AND(Q$9&gt;=8/24,Q$9&lt;14/24)</formula>
    </cfRule>
    <cfRule type="expression" dxfId="4085" priority="23">
      <formula>Q$9&lt;8/24</formula>
    </cfRule>
  </conditionalFormatting>
  <conditionalFormatting sqref="Q35:W35">
    <cfRule type="expression" dxfId="4084" priority="16">
      <formula>Q$9&gt;=20/24</formula>
    </cfRule>
    <cfRule type="expression" dxfId="4083" priority="17">
      <formula>AND(Q$9&gt;=14/24,Q$9&lt;20/24)</formula>
    </cfRule>
    <cfRule type="expression" dxfId="4082" priority="18">
      <formula>AND(Q$9&gt;=8/24,Q$9&lt;14/24)</formula>
    </cfRule>
    <cfRule type="expression" dxfId="4081" priority="19">
      <formula>Q$9&lt;8/24</formula>
    </cfRule>
  </conditionalFormatting>
  <conditionalFormatting sqref="Q16:W27 Q34:W36 Q13:W14 Q29:W32">
    <cfRule type="expression" dxfId="4080" priority="15">
      <formula>Q13&gt;$AG13</formula>
    </cfRule>
  </conditionalFormatting>
  <conditionalFormatting sqref="Q34:W34">
    <cfRule type="expression" dxfId="4079" priority="11">
      <formula>Q$9&gt;=20/24</formula>
    </cfRule>
    <cfRule type="expression" dxfId="4078" priority="12">
      <formula>AND(Q$9&gt;=14/24,Q$9&lt;20/24)</formula>
    </cfRule>
    <cfRule type="expression" dxfId="4077" priority="13">
      <formula>AND(Q$9&gt;=8/24,Q$9&lt;14/24)</formula>
    </cfRule>
    <cfRule type="expression" dxfId="4076" priority="14">
      <formula>Q$9&lt;8/24</formula>
    </cfRule>
  </conditionalFormatting>
  <conditionalFormatting sqref="Q15:W15">
    <cfRule type="expression" dxfId="4075" priority="7">
      <formula>Q$9&gt;=20/24</formula>
    </cfRule>
    <cfRule type="expression" dxfId="4074" priority="8">
      <formula>AND(Q$9&gt;=14/24,Q$9&lt;20/24)</formula>
    </cfRule>
    <cfRule type="expression" dxfId="4073" priority="9">
      <formula>AND(Q$9&gt;=8/24,Q$9&lt;14/24)</formula>
    </cfRule>
    <cfRule type="expression" dxfId="4072" priority="10">
      <formula>Q$9&lt;8/24</formula>
    </cfRule>
  </conditionalFormatting>
  <conditionalFormatting sqref="Q15:W15">
    <cfRule type="expression" dxfId="4071" priority="6">
      <formula>Q15&gt;$AG15</formula>
    </cfRule>
  </conditionalFormatting>
  <conditionalFormatting sqref="Q33:W33">
    <cfRule type="expression" dxfId="4070" priority="2">
      <formula>Q$9&gt;=20/24</formula>
    </cfRule>
    <cfRule type="expression" dxfId="4069" priority="3">
      <formula>AND(Q$9&gt;=14/24,Q$9&lt;20/24)</formula>
    </cfRule>
    <cfRule type="expression" dxfId="4068" priority="4">
      <formula>AND(Q$9&gt;=8/24,Q$9&lt;14/24)</formula>
    </cfRule>
    <cfRule type="expression" dxfId="4067" priority="5">
      <formula>Q$9&lt;8/24</formula>
    </cfRule>
  </conditionalFormatting>
  <conditionalFormatting sqref="Q33:W33">
    <cfRule type="expression" dxfId="4066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2" id="{00596346-6170-4532-A3F7-B5F116B5509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N63" sqref="N6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2078/09/19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151</v>
      </c>
      <c r="C5" s="32">
        <f t="shared" si="0"/>
        <v>145</v>
      </c>
      <c r="D5" s="32">
        <f t="shared" si="0"/>
        <v>149</v>
      </c>
      <c r="E5" s="32">
        <f t="shared" si="0"/>
        <v>169.1</v>
      </c>
      <c r="F5" s="32">
        <f t="shared" si="0"/>
        <v>206.7</v>
      </c>
      <c r="G5" s="32">
        <f t="shared" si="0"/>
        <v>206</v>
      </c>
      <c r="H5" s="32">
        <f t="shared" si="0"/>
        <v>222</v>
      </c>
      <c r="I5" s="32">
        <f t="shared" si="0"/>
        <v>228.1</v>
      </c>
      <c r="J5" s="32">
        <f t="shared" si="0"/>
        <v>155</v>
      </c>
      <c r="K5" s="32">
        <f t="shared" si="0"/>
        <v>129.6</v>
      </c>
      <c r="L5" s="32">
        <f t="shared" si="0"/>
        <v>179</v>
      </c>
      <c r="M5" s="32">
        <f t="shared" si="0"/>
        <v>93</v>
      </c>
      <c r="N5" s="32">
        <f t="shared" si="0"/>
        <v>64</v>
      </c>
      <c r="O5" s="32">
        <f t="shared" si="0"/>
        <v>392.59999999999997</v>
      </c>
      <c r="P5" s="32">
        <f t="shared" si="0"/>
        <v>398</v>
      </c>
      <c r="Q5" s="32">
        <f t="shared" si="0"/>
        <v>399</v>
      </c>
      <c r="R5" s="32">
        <f t="shared" si="0"/>
        <v>411</v>
      </c>
      <c r="S5" s="32">
        <f t="shared" si="0"/>
        <v>458.4</v>
      </c>
      <c r="T5" s="32">
        <f t="shared" si="0"/>
        <v>440.6</v>
      </c>
      <c r="U5" s="32">
        <f t="shared" si="0"/>
        <v>156.6</v>
      </c>
      <c r="V5" s="32">
        <f t="shared" si="0"/>
        <v>141.1</v>
      </c>
      <c r="W5" s="32">
        <f t="shared" si="0"/>
        <v>278.2</v>
      </c>
      <c r="X5" s="32">
        <f t="shared" si="0"/>
        <v>187.7</v>
      </c>
      <c r="Y5" s="32">
        <f t="shared" si="0"/>
        <v>388.2</v>
      </c>
      <c r="Z5" s="32">
        <f t="shared" si="0"/>
        <v>386.3</v>
      </c>
      <c r="AA5" s="32">
        <f t="shared" si="0"/>
        <v>436.8</v>
      </c>
      <c r="AB5" s="32">
        <f t="shared" si="0"/>
        <v>411.90000000000003</v>
      </c>
      <c r="AC5" s="32">
        <f t="shared" si="0"/>
        <v>392.1</v>
      </c>
      <c r="AD5" s="32">
        <f t="shared" si="0"/>
        <v>282.2</v>
      </c>
      <c r="AE5" s="32">
        <f t="shared" si="0"/>
        <v>253.9</v>
      </c>
      <c r="AF5" s="32">
        <f>B68</f>
        <v>185.8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1505MW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Load=851</v>
      </c>
      <c r="B7" s="37">
        <f>B75</f>
        <v>893.83999999999992</v>
      </c>
      <c r="C7" s="37">
        <f t="shared" ref="C7:AF7" si="1">C75</f>
        <v>873.33999999999992</v>
      </c>
      <c r="D7" s="37">
        <f t="shared" si="1"/>
        <v>865.54</v>
      </c>
      <c r="E7" s="37">
        <f t="shared" si="1"/>
        <v>850.54</v>
      </c>
      <c r="F7" s="37">
        <f t="shared" si="1"/>
        <v>874.64</v>
      </c>
      <c r="G7" s="37">
        <f t="shared" si="1"/>
        <v>929.84</v>
      </c>
      <c r="H7" s="37">
        <f t="shared" si="1"/>
        <v>988.74</v>
      </c>
      <c r="I7" s="37">
        <f t="shared" si="1"/>
        <v>1092.1399999999999</v>
      </c>
      <c r="J7" s="37">
        <f t="shared" si="1"/>
        <v>1209.1399999999999</v>
      </c>
      <c r="K7" s="37">
        <f t="shared" si="1"/>
        <v>1355.1399999999999</v>
      </c>
      <c r="L7" s="37">
        <f t="shared" si="1"/>
        <v>1475.2400000000002</v>
      </c>
      <c r="M7" s="37">
        <f t="shared" si="1"/>
        <v>1504.64</v>
      </c>
      <c r="N7" s="37">
        <f t="shared" si="1"/>
        <v>1469.64</v>
      </c>
      <c r="O7" s="37">
        <f t="shared" si="1"/>
        <v>1399.64</v>
      </c>
      <c r="P7" s="37">
        <f t="shared" si="1"/>
        <v>1301.8399999999999</v>
      </c>
      <c r="Q7" s="37">
        <f t="shared" si="1"/>
        <v>1264.44</v>
      </c>
      <c r="R7" s="37">
        <f t="shared" si="1"/>
        <v>1256.94</v>
      </c>
      <c r="S7" s="37">
        <f t="shared" si="1"/>
        <v>1258.24</v>
      </c>
      <c r="T7" s="37">
        <f t="shared" si="1"/>
        <v>1276.8399999999999</v>
      </c>
      <c r="U7" s="37">
        <f t="shared" si="1"/>
        <v>1315.54</v>
      </c>
      <c r="V7" s="37">
        <f t="shared" si="1"/>
        <v>1382.44</v>
      </c>
      <c r="W7" s="37">
        <f t="shared" si="1"/>
        <v>1480.8400000000001</v>
      </c>
      <c r="X7" s="37">
        <f t="shared" si="1"/>
        <v>1610.2399999999998</v>
      </c>
      <c r="Y7" s="37">
        <f t="shared" si="1"/>
        <v>1603.14</v>
      </c>
      <c r="Z7" s="37">
        <f t="shared" si="1"/>
        <v>1577.04</v>
      </c>
      <c r="AA7" s="37">
        <f t="shared" si="1"/>
        <v>1555.1399999999999</v>
      </c>
      <c r="AB7" s="37">
        <f t="shared" si="1"/>
        <v>1484.04</v>
      </c>
      <c r="AC7" s="37">
        <f t="shared" si="1"/>
        <v>1414.94</v>
      </c>
      <c r="AD7" s="37">
        <f t="shared" si="1"/>
        <v>1300.1399999999999</v>
      </c>
      <c r="AE7" s="37">
        <f t="shared" si="1"/>
        <v>1116.1399999999999</v>
      </c>
      <c r="AF7" s="37">
        <f t="shared" si="1"/>
        <v>993.14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50</v>
      </c>
      <c r="D11" s="49">
        <v>50</v>
      </c>
      <c r="E11" s="49">
        <v>75</v>
      </c>
      <c r="F11" s="49">
        <v>90</v>
      </c>
      <c r="G11" s="49">
        <v>70</v>
      </c>
      <c r="H11" s="49">
        <v>85</v>
      </c>
      <c r="I11" s="49">
        <v>115</v>
      </c>
      <c r="J11" s="49">
        <v>150</v>
      </c>
      <c r="K11" s="49">
        <v>300</v>
      </c>
      <c r="L11" s="49">
        <v>370</v>
      </c>
      <c r="M11" s="50">
        <v>350</v>
      </c>
      <c r="N11" s="50">
        <v>410</v>
      </c>
      <c r="O11" s="50">
        <v>390</v>
      </c>
      <c r="P11" s="50">
        <v>30</v>
      </c>
      <c r="Q11" s="50">
        <v>30</v>
      </c>
      <c r="R11" s="50">
        <v>30</v>
      </c>
      <c r="S11" s="50">
        <v>35</v>
      </c>
      <c r="T11" s="50">
        <v>51</v>
      </c>
      <c r="U11" s="50">
        <v>80</v>
      </c>
      <c r="V11" s="50">
        <v>305</v>
      </c>
      <c r="W11" s="50">
        <v>420</v>
      </c>
      <c r="X11" s="50">
        <v>370</v>
      </c>
      <c r="Y11" s="50">
        <v>440</v>
      </c>
      <c r="Z11" s="52">
        <v>220</v>
      </c>
      <c r="AA11" s="52">
        <v>200</v>
      </c>
      <c r="AB11" s="50">
        <v>80</v>
      </c>
      <c r="AC11" s="50">
        <v>60</v>
      </c>
      <c r="AD11" s="50">
        <v>60</v>
      </c>
      <c r="AE11" s="50">
        <v>80</v>
      </c>
      <c r="AF11" s="49">
        <v>40</v>
      </c>
      <c r="AG11" s="53">
        <v>456</v>
      </c>
      <c r="AH11" s="54">
        <f>MAX(B11:AF11)</f>
        <v>440</v>
      </c>
      <c r="AI11" s="55">
        <f>MIN(B11:AF11)</f>
        <v>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44</v>
      </c>
      <c r="C12" s="49">
        <v>44</v>
      </c>
      <c r="D12" s="49">
        <v>44</v>
      </c>
      <c r="E12" s="49">
        <v>44</v>
      </c>
      <c r="F12" s="49">
        <v>44</v>
      </c>
      <c r="G12" s="49">
        <v>44</v>
      </c>
      <c r="H12" s="49">
        <v>44</v>
      </c>
      <c r="I12" s="49">
        <v>44</v>
      </c>
      <c r="J12" s="49">
        <v>44</v>
      </c>
      <c r="K12" s="49">
        <v>44</v>
      </c>
      <c r="L12" s="49">
        <v>44</v>
      </c>
      <c r="M12" s="49">
        <v>44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49">
        <v>44</v>
      </c>
      <c r="Y12" s="49">
        <v>44</v>
      </c>
      <c r="Z12" s="49">
        <v>44</v>
      </c>
      <c r="AA12" s="49">
        <v>44</v>
      </c>
      <c r="AB12" s="50">
        <v>44</v>
      </c>
      <c r="AC12" s="50">
        <v>44</v>
      </c>
      <c r="AD12" s="50">
        <v>44</v>
      </c>
      <c r="AE12" s="50">
        <v>44</v>
      </c>
      <c r="AF12" s="49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26.4</v>
      </c>
      <c r="C13" s="49">
        <v>25.7</v>
      </c>
      <c r="D13" s="49">
        <v>25.7</v>
      </c>
      <c r="E13" s="49">
        <v>25.7</v>
      </c>
      <c r="F13" s="49">
        <v>25.3</v>
      </c>
      <c r="G13" s="49">
        <v>25.3</v>
      </c>
      <c r="H13" s="49">
        <v>25.3</v>
      </c>
      <c r="I13" s="49">
        <v>25.3</v>
      </c>
      <c r="J13" s="49">
        <v>25.3</v>
      </c>
      <c r="K13" s="49">
        <v>25.3</v>
      </c>
      <c r="L13" s="49">
        <v>25.3</v>
      </c>
      <c r="M13" s="49">
        <v>25.3</v>
      </c>
      <c r="N13" s="49">
        <v>25.3</v>
      </c>
      <c r="O13" s="49">
        <v>25.3</v>
      </c>
      <c r="P13" s="49">
        <v>25.5</v>
      </c>
      <c r="Q13" s="49">
        <v>25.5</v>
      </c>
      <c r="R13" s="49">
        <v>25.5</v>
      </c>
      <c r="S13" s="49">
        <v>25.5</v>
      </c>
      <c r="T13" s="49">
        <v>25.5</v>
      </c>
      <c r="U13" s="49">
        <v>25.5</v>
      </c>
      <c r="V13" s="49">
        <v>25.5</v>
      </c>
      <c r="W13" s="49">
        <v>0</v>
      </c>
      <c r="X13" s="49">
        <v>24.5</v>
      </c>
      <c r="Y13" s="49">
        <v>24.5</v>
      </c>
      <c r="Z13" s="49">
        <v>24.5</v>
      </c>
      <c r="AA13" s="49">
        <v>24.5</v>
      </c>
      <c r="AB13" s="50">
        <v>26.7</v>
      </c>
      <c r="AC13" s="50">
        <v>26.7</v>
      </c>
      <c r="AD13" s="50">
        <v>26.7</v>
      </c>
      <c r="AE13" s="50">
        <v>25.3</v>
      </c>
      <c r="AF13" s="49">
        <v>25.4</v>
      </c>
      <c r="AG13" s="59">
        <v>52.4</v>
      </c>
      <c r="AH13" s="54">
        <f t="shared" si="2"/>
        <v>26.7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47.8</v>
      </c>
      <c r="C14" s="49">
        <v>47.8</v>
      </c>
      <c r="D14" s="49">
        <v>47.8</v>
      </c>
      <c r="E14" s="49">
        <v>47.8</v>
      </c>
      <c r="F14" s="49">
        <v>47.8</v>
      </c>
      <c r="G14" s="49">
        <v>47.8</v>
      </c>
      <c r="H14" s="49">
        <v>47.8</v>
      </c>
      <c r="I14" s="49">
        <v>47.8</v>
      </c>
      <c r="J14" s="49">
        <v>47.8</v>
      </c>
      <c r="K14" s="49">
        <v>47.8</v>
      </c>
      <c r="L14" s="49">
        <v>47.8</v>
      </c>
      <c r="M14" s="50">
        <v>47.8</v>
      </c>
      <c r="N14" s="50">
        <v>47.8</v>
      </c>
      <c r="O14" s="50">
        <v>47.8</v>
      </c>
      <c r="P14" s="50">
        <v>47.4</v>
      </c>
      <c r="Q14" s="50">
        <v>47.4</v>
      </c>
      <c r="R14" s="50">
        <v>47.4</v>
      </c>
      <c r="S14" s="50">
        <v>47.4</v>
      </c>
      <c r="T14" s="50">
        <v>47.4</v>
      </c>
      <c r="U14" s="50">
        <v>47.4</v>
      </c>
      <c r="V14" s="50">
        <v>47.4</v>
      </c>
      <c r="W14" s="50">
        <v>47.4</v>
      </c>
      <c r="X14" s="50">
        <v>47.4</v>
      </c>
      <c r="Y14" s="50">
        <v>47.4</v>
      </c>
      <c r="Z14" s="50">
        <v>47.4</v>
      </c>
      <c r="AA14" s="50">
        <v>47.4</v>
      </c>
      <c r="AB14" s="50">
        <v>47.3</v>
      </c>
      <c r="AC14" s="50">
        <v>47</v>
      </c>
      <c r="AD14" s="50">
        <v>47</v>
      </c>
      <c r="AE14" s="50">
        <v>47.2</v>
      </c>
      <c r="AF14" s="49">
        <v>47.2</v>
      </c>
      <c r="AG14" s="59">
        <v>50</v>
      </c>
      <c r="AH14" s="54">
        <f t="shared" si="2"/>
        <v>47.8</v>
      </c>
      <c r="AI14" s="55">
        <f t="shared" si="3"/>
        <v>47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23.9</v>
      </c>
      <c r="C15" s="61">
        <v>23.9</v>
      </c>
      <c r="D15" s="61">
        <v>23.9</v>
      </c>
      <c r="E15" s="61">
        <v>23.9</v>
      </c>
      <c r="F15" s="61">
        <v>23.9</v>
      </c>
      <c r="G15" s="61">
        <v>23.9</v>
      </c>
      <c r="H15" s="61">
        <v>23.9</v>
      </c>
      <c r="I15" s="61">
        <v>23.9</v>
      </c>
      <c r="J15" s="61">
        <v>23.9</v>
      </c>
      <c r="K15" s="61">
        <v>23.9</v>
      </c>
      <c r="L15" s="61">
        <v>23.9</v>
      </c>
      <c r="M15" s="50">
        <v>23.9</v>
      </c>
      <c r="N15" s="50">
        <v>23.9</v>
      </c>
      <c r="O15" s="50">
        <v>23.9</v>
      </c>
      <c r="P15" s="50">
        <v>23.9</v>
      </c>
      <c r="Q15" s="50">
        <v>23.9</v>
      </c>
      <c r="R15" s="50">
        <v>23.9</v>
      </c>
      <c r="S15" s="50">
        <v>23.9</v>
      </c>
      <c r="T15" s="50">
        <v>23.9</v>
      </c>
      <c r="U15" s="50">
        <v>23.9</v>
      </c>
      <c r="V15" s="50">
        <v>23.9</v>
      </c>
      <c r="W15" s="50">
        <v>23.9</v>
      </c>
      <c r="X15" s="50">
        <v>23.2</v>
      </c>
      <c r="Y15" s="50">
        <v>23.2</v>
      </c>
      <c r="Z15" s="50">
        <v>23.2</v>
      </c>
      <c r="AA15" s="50">
        <v>23.2</v>
      </c>
      <c r="AB15" s="50">
        <v>23.9</v>
      </c>
      <c r="AC15" s="50">
        <v>23.5</v>
      </c>
      <c r="AD15" s="50">
        <v>23.5</v>
      </c>
      <c r="AE15" s="50">
        <v>23.3</v>
      </c>
      <c r="AF15" s="61">
        <v>24</v>
      </c>
      <c r="AG15" s="62">
        <v>45</v>
      </c>
      <c r="AH15" s="54">
        <f t="shared" si="2"/>
        <v>24</v>
      </c>
      <c r="AI15" s="55">
        <f t="shared" si="3"/>
        <v>23.2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50">
        <v>12</v>
      </c>
      <c r="Y16" s="50">
        <v>12</v>
      </c>
      <c r="Z16" s="50">
        <v>12</v>
      </c>
      <c r="AA16" s="50">
        <v>12</v>
      </c>
      <c r="AB16" s="50">
        <v>12</v>
      </c>
      <c r="AC16" s="50">
        <v>12</v>
      </c>
      <c r="AD16" s="50">
        <v>12</v>
      </c>
      <c r="AE16" s="50">
        <v>12</v>
      </c>
      <c r="AF16" s="50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50">
        <v>11</v>
      </c>
      <c r="Y17" s="50">
        <v>11</v>
      </c>
      <c r="Z17" s="50">
        <v>11</v>
      </c>
      <c r="AA17" s="50">
        <v>11</v>
      </c>
      <c r="AB17" s="50">
        <v>11</v>
      </c>
      <c r="AC17" s="50">
        <v>11</v>
      </c>
      <c r="AD17" s="50">
        <v>11</v>
      </c>
      <c r="AE17" s="50">
        <v>11</v>
      </c>
      <c r="AF17" s="5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12.2</v>
      </c>
      <c r="C19" s="49">
        <v>12.2</v>
      </c>
      <c r="D19" s="49">
        <v>11.9</v>
      </c>
      <c r="E19" s="49">
        <v>11.9</v>
      </c>
      <c r="F19" s="49">
        <v>11.9</v>
      </c>
      <c r="G19" s="49">
        <v>11.9</v>
      </c>
      <c r="H19" s="49">
        <v>11.9</v>
      </c>
      <c r="I19" s="49">
        <v>11.9</v>
      </c>
      <c r="J19" s="49">
        <v>11.9</v>
      </c>
      <c r="K19" s="49">
        <v>11.9</v>
      </c>
      <c r="L19" s="49">
        <v>11.9</v>
      </c>
      <c r="M19" s="50">
        <v>11.9</v>
      </c>
      <c r="N19" s="50">
        <v>11.9</v>
      </c>
      <c r="O19" s="50">
        <v>11.9</v>
      </c>
      <c r="P19" s="50">
        <v>11.9</v>
      </c>
      <c r="Q19" s="50">
        <v>11.9</v>
      </c>
      <c r="R19" s="50">
        <v>11.9</v>
      </c>
      <c r="S19" s="50">
        <v>11.9</v>
      </c>
      <c r="T19" s="50">
        <v>11.9</v>
      </c>
      <c r="U19" s="50">
        <v>11.9</v>
      </c>
      <c r="V19" s="50">
        <v>11.9</v>
      </c>
      <c r="W19" s="50">
        <v>11.9</v>
      </c>
      <c r="X19" s="50">
        <v>11.9</v>
      </c>
      <c r="Y19" s="50">
        <v>11.9</v>
      </c>
      <c r="Z19" s="50">
        <v>11.9</v>
      </c>
      <c r="AA19" s="50">
        <v>11.9</v>
      </c>
      <c r="AB19" s="50">
        <v>11.9</v>
      </c>
      <c r="AC19" s="50">
        <v>11.9</v>
      </c>
      <c r="AD19" s="50">
        <v>11.9</v>
      </c>
      <c r="AE19" s="50">
        <v>11.9</v>
      </c>
      <c r="AF19" s="50">
        <v>11.9</v>
      </c>
      <c r="AG19" s="59">
        <v>30</v>
      </c>
      <c r="AH19" s="54">
        <f t="shared" si="2"/>
        <v>12.2</v>
      </c>
      <c r="AI19" s="55">
        <f t="shared" si="3"/>
        <v>11.9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12.9</v>
      </c>
      <c r="C22" s="49">
        <v>13.1</v>
      </c>
      <c r="D22" s="49">
        <v>13.1</v>
      </c>
      <c r="E22" s="49">
        <v>13.1</v>
      </c>
      <c r="F22" s="49">
        <v>13.1</v>
      </c>
      <c r="G22" s="49">
        <v>13.1</v>
      </c>
      <c r="H22" s="49">
        <v>13.1</v>
      </c>
      <c r="I22" s="49">
        <v>13.1</v>
      </c>
      <c r="J22" s="49">
        <v>18</v>
      </c>
      <c r="K22" s="49">
        <v>18</v>
      </c>
      <c r="L22" s="49">
        <v>17.600000000000001</v>
      </c>
      <c r="M22" s="50">
        <v>17.600000000000001</v>
      </c>
      <c r="N22" s="50">
        <v>17.600000000000001</v>
      </c>
      <c r="O22" s="50">
        <v>17.600000000000001</v>
      </c>
      <c r="P22" s="50">
        <v>17.600000000000001</v>
      </c>
      <c r="Q22" s="50">
        <v>17.600000000000001</v>
      </c>
      <c r="R22" s="50">
        <v>17.600000000000001</v>
      </c>
      <c r="S22" s="50">
        <v>17.600000000000001</v>
      </c>
      <c r="T22" s="50">
        <v>17.600000000000001</v>
      </c>
      <c r="U22" s="50">
        <v>17.600000000000001</v>
      </c>
      <c r="V22" s="50">
        <v>17.600000000000001</v>
      </c>
      <c r="W22" s="50">
        <v>17.600000000000001</v>
      </c>
      <c r="X22" s="50">
        <v>20.3</v>
      </c>
      <c r="Y22" s="50">
        <v>20.3</v>
      </c>
      <c r="Z22" s="50">
        <v>20.3</v>
      </c>
      <c r="AA22" s="50">
        <v>20.3</v>
      </c>
      <c r="AB22" s="50">
        <v>13.7</v>
      </c>
      <c r="AC22" s="50">
        <v>13.7</v>
      </c>
      <c r="AD22" s="50">
        <v>13.7</v>
      </c>
      <c r="AE22" s="50">
        <v>13.7</v>
      </c>
      <c r="AF22" s="50">
        <v>13.7</v>
      </c>
      <c r="AG22" s="59">
        <v>25</v>
      </c>
      <c r="AH22" s="54">
        <f t="shared" si="2"/>
        <v>20.3</v>
      </c>
      <c r="AI22" s="55">
        <f t="shared" si="3"/>
        <v>12.9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16.899999999999999</v>
      </c>
      <c r="C24" s="49">
        <v>16.899999999999999</v>
      </c>
      <c r="D24" s="49">
        <v>13</v>
      </c>
      <c r="E24" s="49">
        <v>13</v>
      </c>
      <c r="F24" s="49">
        <v>13</v>
      </c>
      <c r="G24" s="49">
        <v>13</v>
      </c>
      <c r="H24" s="49">
        <v>13</v>
      </c>
      <c r="I24" s="49">
        <v>13</v>
      </c>
      <c r="J24" s="49">
        <v>13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17.100000000000001</v>
      </c>
      <c r="AC24" s="50">
        <v>17.100000000000001</v>
      </c>
      <c r="AD24" s="50">
        <v>17.100000000000001</v>
      </c>
      <c r="AE24" s="50">
        <v>17.100000000000001</v>
      </c>
      <c r="AF24" s="50">
        <v>17.100000000000001</v>
      </c>
      <c r="AG24" s="59">
        <v>25</v>
      </c>
      <c r="AH24" s="54">
        <f t="shared" si="2"/>
        <v>17.100000000000001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9.6999999999999993</v>
      </c>
      <c r="C26" s="49">
        <v>9.6999999999999993</v>
      </c>
      <c r="D26" s="49">
        <v>9.6999999999999993</v>
      </c>
      <c r="E26" s="49">
        <v>9.6999999999999993</v>
      </c>
      <c r="F26" s="49">
        <v>9.6999999999999993</v>
      </c>
      <c r="G26" s="49">
        <v>9.6999999999999993</v>
      </c>
      <c r="H26" s="49">
        <v>9.6999999999999993</v>
      </c>
      <c r="I26" s="49">
        <v>9.6999999999999993</v>
      </c>
      <c r="J26" s="49">
        <v>9.6999999999999993</v>
      </c>
      <c r="K26" s="49">
        <v>9.6999999999999993</v>
      </c>
      <c r="L26" s="49">
        <v>9.6999999999999993</v>
      </c>
      <c r="M26" s="50">
        <v>9.6999999999999993</v>
      </c>
      <c r="N26" s="50">
        <v>9.6999999999999993</v>
      </c>
      <c r="O26" s="50">
        <v>9.6999999999999993</v>
      </c>
      <c r="P26" s="50">
        <v>9.6999999999999993</v>
      </c>
      <c r="Q26" s="50">
        <v>9.6999999999999993</v>
      </c>
      <c r="R26" s="50">
        <v>9.6999999999999993</v>
      </c>
      <c r="S26" s="50">
        <v>9.6999999999999993</v>
      </c>
      <c r="T26" s="50">
        <v>9.6999999999999993</v>
      </c>
      <c r="U26" s="50">
        <v>9.6999999999999993</v>
      </c>
      <c r="V26" s="50">
        <v>9.6999999999999993</v>
      </c>
      <c r="W26" s="50">
        <v>9.6999999999999993</v>
      </c>
      <c r="X26" s="50">
        <v>9.6999999999999993</v>
      </c>
      <c r="Y26" s="50">
        <v>9.6999999999999993</v>
      </c>
      <c r="Z26" s="50">
        <v>9.6999999999999993</v>
      </c>
      <c r="AA26" s="50">
        <v>9.6999999999999993</v>
      </c>
      <c r="AB26" s="50">
        <v>9.6999999999999993</v>
      </c>
      <c r="AC26" s="50">
        <v>9.6999999999999993</v>
      </c>
      <c r="AD26" s="50">
        <v>9.6999999999999993</v>
      </c>
      <c r="AE26" s="50">
        <v>9.6999999999999993</v>
      </c>
      <c r="AF26" s="50">
        <v>9.6999999999999993</v>
      </c>
      <c r="AG26" s="59">
        <v>20</v>
      </c>
      <c r="AH26" s="54">
        <f t="shared" si="2"/>
        <v>9.6999999999999993</v>
      </c>
      <c r="AI26" s="55">
        <f t="shared" si="3"/>
        <v>9.6999999999999993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22.9+41.7</f>
        <v>64.599999999999994</v>
      </c>
      <c r="C37" s="61">
        <f>22.9+41.7</f>
        <v>64.599999999999994</v>
      </c>
      <c r="D37" s="61">
        <f t="shared" ref="D37:L37" si="4">22.9+41.7</f>
        <v>64.599999999999994</v>
      </c>
      <c r="E37" s="61">
        <f t="shared" si="4"/>
        <v>64.599999999999994</v>
      </c>
      <c r="F37" s="61">
        <f t="shared" si="4"/>
        <v>64.599999999999994</v>
      </c>
      <c r="G37" s="61">
        <f t="shared" si="4"/>
        <v>64.599999999999994</v>
      </c>
      <c r="H37" s="61">
        <f t="shared" si="4"/>
        <v>64.599999999999994</v>
      </c>
      <c r="I37" s="61">
        <f t="shared" si="4"/>
        <v>64.599999999999994</v>
      </c>
      <c r="J37" s="61">
        <f t="shared" si="4"/>
        <v>64.599999999999994</v>
      </c>
      <c r="K37" s="61">
        <f t="shared" si="4"/>
        <v>64.599999999999994</v>
      </c>
      <c r="L37" s="61">
        <f t="shared" si="4"/>
        <v>64.599999999999994</v>
      </c>
      <c r="M37" s="70">
        <v>64.599999999999994</v>
      </c>
      <c r="N37" s="70">
        <f>22+41</f>
        <v>63</v>
      </c>
      <c r="O37" s="70">
        <f>22+41</f>
        <v>63</v>
      </c>
      <c r="P37" s="70">
        <f t="shared" ref="P37:U37" si="5">39.1+22.1</f>
        <v>61.2</v>
      </c>
      <c r="Q37" s="70">
        <f t="shared" si="5"/>
        <v>61.2</v>
      </c>
      <c r="R37" s="70">
        <f t="shared" si="5"/>
        <v>61.2</v>
      </c>
      <c r="S37" s="70">
        <f t="shared" si="5"/>
        <v>61.2</v>
      </c>
      <c r="T37" s="70">
        <f t="shared" si="5"/>
        <v>61.2</v>
      </c>
      <c r="U37" s="70">
        <f t="shared" si="5"/>
        <v>61.2</v>
      </c>
      <c r="V37" s="70">
        <f>37.4+21.3</f>
        <v>58.7</v>
      </c>
      <c r="W37" s="70">
        <f t="shared" ref="W37" si="6">37.4+21.3</f>
        <v>58.7</v>
      </c>
      <c r="X37" s="70">
        <v>55.599999999999994</v>
      </c>
      <c r="Y37" s="70">
        <v>55.599999999999994</v>
      </c>
      <c r="Z37" s="70">
        <v>55.599999999999994</v>
      </c>
      <c r="AA37" s="70">
        <v>55.599999999999994</v>
      </c>
      <c r="AB37" s="70">
        <f>21.5+39.2</f>
        <v>60.7</v>
      </c>
      <c r="AC37" s="70">
        <f>21.6+39.3</f>
        <v>60.9</v>
      </c>
      <c r="AD37" s="70">
        <f>21.5+39.1</f>
        <v>60.6</v>
      </c>
      <c r="AE37" s="70">
        <f>22.2+39.9</f>
        <v>62.099999999999994</v>
      </c>
      <c r="AF37" s="61">
        <f>23+42.3</f>
        <v>65.3</v>
      </c>
      <c r="AG37" s="67">
        <v>240</v>
      </c>
      <c r="AH37" s="54">
        <f t="shared" si="2"/>
        <v>65.3</v>
      </c>
      <c r="AI37" s="55">
        <f t="shared" si="3"/>
        <v>55.599999999999994</v>
      </c>
      <c r="AK37" s="56"/>
    </row>
    <row r="38" spans="1:88" ht="15.75" thickBot="1" x14ac:dyDescent="0.3">
      <c r="A38" s="71" t="s">
        <v>46</v>
      </c>
      <c r="B38" s="72">
        <f>SUM(B11:B36)</f>
        <v>488.49999999999994</v>
      </c>
      <c r="C38" s="72">
        <f t="shared" ref="C38:AF38" si="7">SUM(C11:C36)</f>
        <v>507.99999999999994</v>
      </c>
      <c r="D38" s="72">
        <f t="shared" si="7"/>
        <v>503.8</v>
      </c>
      <c r="E38" s="72">
        <f t="shared" si="7"/>
        <v>528.79999999999995</v>
      </c>
      <c r="F38" s="72">
        <f t="shared" si="7"/>
        <v>543.4</v>
      </c>
      <c r="G38" s="72">
        <f t="shared" si="7"/>
        <v>523.40000000000009</v>
      </c>
      <c r="H38" s="72">
        <f t="shared" si="7"/>
        <v>538.4</v>
      </c>
      <c r="I38" s="72">
        <f t="shared" si="7"/>
        <v>568.4</v>
      </c>
      <c r="J38" s="72">
        <f t="shared" si="7"/>
        <v>608.29999999999995</v>
      </c>
      <c r="K38" s="72">
        <f t="shared" si="7"/>
        <v>757.3</v>
      </c>
      <c r="L38" s="72">
        <f t="shared" si="7"/>
        <v>826.90000000000009</v>
      </c>
      <c r="M38" s="72">
        <f t="shared" si="7"/>
        <v>806.90000000000009</v>
      </c>
      <c r="N38" s="72">
        <f t="shared" si="7"/>
        <v>866.90000000000009</v>
      </c>
      <c r="O38" s="72">
        <f t="shared" si="7"/>
        <v>846.90000000000009</v>
      </c>
      <c r="P38" s="72">
        <f t="shared" si="7"/>
        <v>486.7</v>
      </c>
      <c r="Q38" s="72">
        <f t="shared" si="7"/>
        <v>486.7</v>
      </c>
      <c r="R38" s="72">
        <f t="shared" si="7"/>
        <v>486.7</v>
      </c>
      <c r="S38" s="72">
        <f t="shared" si="7"/>
        <v>491.7</v>
      </c>
      <c r="T38" s="72">
        <f t="shared" si="7"/>
        <v>507.7</v>
      </c>
      <c r="U38" s="72">
        <f t="shared" si="7"/>
        <v>536.70000000000005</v>
      </c>
      <c r="V38" s="72">
        <f t="shared" si="7"/>
        <v>761.69999999999993</v>
      </c>
      <c r="W38" s="72">
        <f t="shared" si="7"/>
        <v>851.2</v>
      </c>
      <c r="X38" s="72">
        <f t="shared" si="7"/>
        <v>827.69999999999993</v>
      </c>
      <c r="Y38" s="72">
        <f t="shared" si="7"/>
        <v>897.7</v>
      </c>
      <c r="Z38" s="72">
        <f t="shared" si="7"/>
        <v>677.69999999999993</v>
      </c>
      <c r="AA38" s="72">
        <f t="shared" si="7"/>
        <v>657.69999999999993</v>
      </c>
      <c r="AB38" s="72">
        <f t="shared" si="7"/>
        <v>539</v>
      </c>
      <c r="AC38" s="72">
        <f t="shared" si="7"/>
        <v>518.29999999999995</v>
      </c>
      <c r="AD38" s="72">
        <f t="shared" si="7"/>
        <v>518.29999999999995</v>
      </c>
      <c r="AE38" s="72">
        <f t="shared" si="7"/>
        <v>536.9</v>
      </c>
      <c r="AF38" s="72">
        <f t="shared" si="7"/>
        <v>497.7</v>
      </c>
      <c r="AG38" s="67">
        <f>SUM(AG11:AG37)</f>
        <v>1492.8299999999997</v>
      </c>
      <c r="AH38" s="54">
        <f t="shared" si="2"/>
        <v>897.7</v>
      </c>
      <c r="AI38" s="55">
        <f t="shared" si="3"/>
        <v>486.7</v>
      </c>
      <c r="AK38" s="56"/>
    </row>
    <row r="39" spans="1:88" x14ac:dyDescent="0.25">
      <c r="A39" s="57" t="s">
        <v>47</v>
      </c>
      <c r="B39" s="49">
        <v>31</v>
      </c>
      <c r="C39" s="61">
        <v>30</v>
      </c>
      <c r="D39" s="61">
        <v>30</v>
      </c>
      <c r="E39" s="61">
        <v>0</v>
      </c>
      <c r="F39" s="61">
        <v>0</v>
      </c>
      <c r="G39" s="61">
        <v>36</v>
      </c>
      <c r="H39" s="61">
        <v>45.6</v>
      </c>
      <c r="I39" s="61">
        <v>80</v>
      </c>
      <c r="J39" s="61">
        <v>134</v>
      </c>
      <c r="K39" s="61">
        <v>145.9</v>
      </c>
      <c r="L39" s="61">
        <v>146</v>
      </c>
      <c r="M39" s="50">
        <v>146</v>
      </c>
      <c r="N39" s="50">
        <v>146</v>
      </c>
      <c r="O39" s="50">
        <v>146</v>
      </c>
      <c r="P39" s="50">
        <v>133.5</v>
      </c>
      <c r="Q39" s="50">
        <v>121.5</v>
      </c>
      <c r="R39" s="50">
        <v>122</v>
      </c>
      <c r="S39" s="50">
        <v>122</v>
      </c>
      <c r="T39" s="50">
        <v>100</v>
      </c>
      <c r="U39" s="50">
        <v>104</v>
      </c>
      <c r="V39" s="50">
        <v>146</v>
      </c>
      <c r="W39" s="50">
        <v>145.6</v>
      </c>
      <c r="X39" s="50">
        <v>145.5</v>
      </c>
      <c r="Y39" s="50">
        <v>145.5</v>
      </c>
      <c r="Z39" s="50">
        <v>145.30000000000001</v>
      </c>
      <c r="AA39" s="50">
        <v>145.30000000000001</v>
      </c>
      <c r="AB39" s="50">
        <v>144.6</v>
      </c>
      <c r="AC39" s="50">
        <v>141.4</v>
      </c>
      <c r="AD39" s="50">
        <v>86.5</v>
      </c>
      <c r="AE39" s="50">
        <v>48.8</v>
      </c>
      <c r="AF39" s="49">
        <v>31.2</v>
      </c>
      <c r="AG39" s="62">
        <v>144</v>
      </c>
      <c r="AH39" s="54">
        <f t="shared" si="2"/>
        <v>146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29.9</v>
      </c>
      <c r="C40" s="61">
        <v>23.2</v>
      </c>
      <c r="D40" s="61">
        <v>24</v>
      </c>
      <c r="E40" s="61">
        <v>0</v>
      </c>
      <c r="F40" s="61">
        <v>0</v>
      </c>
      <c r="G40" s="61">
        <v>0</v>
      </c>
      <c r="H40" s="61">
        <v>35</v>
      </c>
      <c r="I40" s="61">
        <v>45</v>
      </c>
      <c r="J40" s="61">
        <v>54</v>
      </c>
      <c r="K40" s="61">
        <v>70.2</v>
      </c>
      <c r="L40" s="61">
        <v>71.3</v>
      </c>
      <c r="M40" s="73">
        <v>71.3</v>
      </c>
      <c r="N40" s="73">
        <v>71.3</v>
      </c>
      <c r="O40" s="73">
        <v>71.3</v>
      </c>
      <c r="P40" s="73">
        <v>46.3</v>
      </c>
      <c r="Q40" s="73">
        <v>46.3</v>
      </c>
      <c r="R40" s="73">
        <v>55</v>
      </c>
      <c r="S40" s="73">
        <v>45</v>
      </c>
      <c r="T40" s="73">
        <v>41</v>
      </c>
      <c r="U40" s="73">
        <v>43.9</v>
      </c>
      <c r="V40" s="73">
        <v>59.1</v>
      </c>
      <c r="W40" s="73">
        <v>59.9</v>
      </c>
      <c r="X40" s="73">
        <v>61.4</v>
      </c>
      <c r="Y40" s="73">
        <v>71</v>
      </c>
      <c r="Z40" s="73">
        <v>68.7</v>
      </c>
      <c r="AA40" s="73">
        <v>68.7</v>
      </c>
      <c r="AB40" s="73">
        <v>69.5</v>
      </c>
      <c r="AC40" s="73">
        <v>69.8</v>
      </c>
      <c r="AD40" s="73">
        <v>59.5</v>
      </c>
      <c r="AE40" s="73">
        <v>34.5</v>
      </c>
      <c r="AF40" s="61">
        <v>25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42.5</v>
      </c>
      <c r="C41" s="61">
        <v>45</v>
      </c>
      <c r="D41" s="61">
        <v>46.6</v>
      </c>
      <c r="E41" s="61">
        <v>46.6</v>
      </c>
      <c r="F41" s="61">
        <v>36</v>
      </c>
      <c r="G41" s="61">
        <v>33</v>
      </c>
      <c r="H41" s="61">
        <v>33</v>
      </c>
      <c r="I41" s="61">
        <v>46</v>
      </c>
      <c r="J41" s="61">
        <v>44</v>
      </c>
      <c r="K41" s="61">
        <v>68</v>
      </c>
      <c r="L41" s="61">
        <v>67.7</v>
      </c>
      <c r="M41" s="73">
        <v>67.7</v>
      </c>
      <c r="N41" s="73">
        <v>67.7</v>
      </c>
      <c r="O41" s="73">
        <v>67.7</v>
      </c>
      <c r="P41" s="73">
        <v>66</v>
      </c>
      <c r="Q41" s="73">
        <v>56</v>
      </c>
      <c r="R41" s="73">
        <v>56</v>
      </c>
      <c r="S41" s="73">
        <v>56</v>
      </c>
      <c r="T41" s="73">
        <v>31</v>
      </c>
      <c r="U41" s="73">
        <v>40.6</v>
      </c>
      <c r="V41" s="73">
        <v>62.6</v>
      </c>
      <c r="W41" s="73">
        <v>65.900000000000006</v>
      </c>
      <c r="X41" s="73">
        <v>68</v>
      </c>
      <c r="Y41" s="73">
        <v>67.5</v>
      </c>
      <c r="Z41" s="73">
        <v>67.7</v>
      </c>
      <c r="AA41" s="73">
        <v>67.7</v>
      </c>
      <c r="AB41" s="73">
        <v>67</v>
      </c>
      <c r="AC41" s="73">
        <v>66.8</v>
      </c>
      <c r="AD41" s="73">
        <v>55.3</v>
      </c>
      <c r="AE41" s="73">
        <v>62.3</v>
      </c>
      <c r="AF41" s="61">
        <v>44</v>
      </c>
      <c r="AG41" s="67">
        <v>69</v>
      </c>
      <c r="AH41" s="54">
        <f t="shared" si="2"/>
        <v>68</v>
      </c>
      <c r="AI41" s="55">
        <f t="shared" si="3"/>
        <v>31</v>
      </c>
      <c r="AK41" s="56"/>
    </row>
    <row r="42" spans="1:88" x14ac:dyDescent="0.25">
      <c r="A42" s="66" t="s">
        <v>50</v>
      </c>
      <c r="B42" s="61">
        <v>60.4</v>
      </c>
      <c r="C42" s="61">
        <v>60.4</v>
      </c>
      <c r="D42" s="61">
        <v>60.4</v>
      </c>
      <c r="E42" s="61">
        <v>60.4</v>
      </c>
      <c r="F42" s="61">
        <v>60.4</v>
      </c>
      <c r="G42" s="61">
        <v>60</v>
      </c>
      <c r="H42" s="61">
        <v>60</v>
      </c>
      <c r="I42" s="61">
        <v>60</v>
      </c>
      <c r="J42" s="61">
        <v>60</v>
      </c>
      <c r="K42" s="61">
        <v>60</v>
      </c>
      <c r="L42" s="61">
        <v>60</v>
      </c>
      <c r="M42" s="73">
        <v>60</v>
      </c>
      <c r="N42" s="73">
        <v>60</v>
      </c>
      <c r="O42" s="73">
        <v>60</v>
      </c>
      <c r="P42" s="73">
        <v>60</v>
      </c>
      <c r="Q42" s="73">
        <v>60</v>
      </c>
      <c r="R42" s="73">
        <v>60</v>
      </c>
      <c r="S42" s="73">
        <v>60</v>
      </c>
      <c r="T42" s="73">
        <v>60</v>
      </c>
      <c r="U42" s="73">
        <v>60.2</v>
      </c>
      <c r="V42" s="73">
        <v>60.2</v>
      </c>
      <c r="W42" s="73">
        <v>60.2</v>
      </c>
      <c r="X42" s="73">
        <v>60.2</v>
      </c>
      <c r="Y42" s="73">
        <v>60.2</v>
      </c>
      <c r="Z42" s="73">
        <v>60.2</v>
      </c>
      <c r="AA42" s="73">
        <v>60.2</v>
      </c>
      <c r="AB42" s="73">
        <v>60.2</v>
      </c>
      <c r="AC42" s="73">
        <v>60.2</v>
      </c>
      <c r="AD42" s="73">
        <v>60.4</v>
      </c>
      <c r="AE42" s="73">
        <v>60.4</v>
      </c>
      <c r="AF42" s="61">
        <v>60.2</v>
      </c>
      <c r="AG42" s="67">
        <v>60</v>
      </c>
      <c r="AH42" s="54">
        <f t="shared" si="2"/>
        <v>60.4</v>
      </c>
      <c r="AI42" s="55">
        <f t="shared" si="3"/>
        <v>60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10</v>
      </c>
      <c r="G43" s="61">
        <v>15</v>
      </c>
      <c r="H43" s="61">
        <v>15</v>
      </c>
      <c r="I43" s="61">
        <v>15</v>
      </c>
      <c r="J43" s="61">
        <v>25</v>
      </c>
      <c r="K43" s="61">
        <v>23</v>
      </c>
      <c r="L43" s="61">
        <v>26</v>
      </c>
      <c r="M43" s="50">
        <v>26</v>
      </c>
      <c r="N43" s="50">
        <v>26</v>
      </c>
      <c r="O43" s="50">
        <v>23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15</v>
      </c>
      <c r="W43" s="50">
        <v>23.2</v>
      </c>
      <c r="X43" s="50">
        <v>30</v>
      </c>
      <c r="Y43" s="50">
        <v>30</v>
      </c>
      <c r="Z43" s="50">
        <v>30</v>
      </c>
      <c r="AA43" s="50">
        <v>30</v>
      </c>
      <c r="AB43" s="73">
        <v>28.9</v>
      </c>
      <c r="AC43" s="73">
        <v>24.5</v>
      </c>
      <c r="AD43" s="73">
        <v>23.2</v>
      </c>
      <c r="AE43" s="73">
        <v>9.9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7</v>
      </c>
      <c r="C48" s="61">
        <v>7</v>
      </c>
      <c r="D48" s="61">
        <v>7</v>
      </c>
      <c r="E48" s="61">
        <v>7</v>
      </c>
      <c r="F48" s="61">
        <v>7</v>
      </c>
      <c r="G48" s="61">
        <v>7</v>
      </c>
      <c r="H48" s="61">
        <v>7</v>
      </c>
      <c r="I48" s="61">
        <v>7</v>
      </c>
      <c r="J48" s="61">
        <v>7</v>
      </c>
      <c r="K48" s="61">
        <v>7</v>
      </c>
      <c r="L48" s="61">
        <v>7</v>
      </c>
      <c r="M48" s="50">
        <v>7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50">
        <v>7</v>
      </c>
      <c r="AG48" s="67">
        <v>14</v>
      </c>
      <c r="AH48" s="54">
        <f t="shared" si="2"/>
        <v>7</v>
      </c>
      <c r="AI48" s="55">
        <f t="shared" si="3"/>
        <v>7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8">U199</f>
        <v>3.54</v>
      </c>
      <c r="V51" s="77">
        <f t="shared" si="8"/>
        <v>3.54</v>
      </c>
      <c r="W51" s="77">
        <f t="shared" si="8"/>
        <v>3.54</v>
      </c>
      <c r="X51" s="77">
        <v>3.54</v>
      </c>
      <c r="Y51" s="77">
        <f t="shared" si="8"/>
        <v>3.54</v>
      </c>
      <c r="Z51" s="77">
        <v>3.54</v>
      </c>
      <c r="AA51" s="77">
        <f t="shared" si="8"/>
        <v>3.54</v>
      </c>
      <c r="AB51" s="77">
        <f t="shared" si="8"/>
        <v>3.54</v>
      </c>
      <c r="AC51" s="77">
        <f t="shared" si="8"/>
        <v>3.54</v>
      </c>
      <c r="AD51" s="77">
        <f t="shared" si="8"/>
        <v>3.54</v>
      </c>
      <c r="AE51" s="77">
        <f t="shared" si="8"/>
        <v>3.54</v>
      </c>
      <c r="AF51" s="77">
        <f t="shared" si="8"/>
        <v>3.54</v>
      </c>
      <c r="AG51" s="77">
        <f t="shared" si="8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219.54</v>
      </c>
      <c r="C52" s="72">
        <f t="shared" ref="C52:AF52" si="9">SUM(C39:C51)</f>
        <v>214.33999999999997</v>
      </c>
      <c r="D52" s="72">
        <f t="shared" si="9"/>
        <v>216.73999999999998</v>
      </c>
      <c r="E52" s="72">
        <f t="shared" si="9"/>
        <v>172.73999999999998</v>
      </c>
      <c r="F52" s="72">
        <f t="shared" si="9"/>
        <v>162.14000000000001</v>
      </c>
      <c r="G52" s="72">
        <f t="shared" si="9"/>
        <v>199.73999999999998</v>
      </c>
      <c r="H52" s="72">
        <f t="shared" si="9"/>
        <v>244.33999999999997</v>
      </c>
      <c r="I52" s="72">
        <f t="shared" si="9"/>
        <v>301.74</v>
      </c>
      <c r="J52" s="72">
        <f t="shared" si="9"/>
        <v>372.74</v>
      </c>
      <c r="K52" s="72">
        <f t="shared" si="9"/>
        <v>422.84000000000003</v>
      </c>
      <c r="L52" s="72">
        <f t="shared" si="9"/>
        <v>426.74</v>
      </c>
      <c r="M52" s="72">
        <f t="shared" si="9"/>
        <v>426.74</v>
      </c>
      <c r="N52" s="72">
        <f t="shared" si="9"/>
        <v>426.74</v>
      </c>
      <c r="O52" s="72">
        <f t="shared" si="9"/>
        <v>423.74</v>
      </c>
      <c r="P52" s="72">
        <f t="shared" si="9"/>
        <v>371.54</v>
      </c>
      <c r="Q52" s="72">
        <f t="shared" si="9"/>
        <v>349.54</v>
      </c>
      <c r="R52" s="72">
        <f t="shared" si="9"/>
        <v>348.74</v>
      </c>
      <c r="S52" s="72">
        <f t="shared" si="9"/>
        <v>338.74</v>
      </c>
      <c r="T52" s="72">
        <f t="shared" si="9"/>
        <v>287.74</v>
      </c>
      <c r="U52" s="72">
        <f t="shared" si="9"/>
        <v>304.44</v>
      </c>
      <c r="V52" s="72">
        <f t="shared" si="9"/>
        <v>398.64</v>
      </c>
      <c r="W52" s="72">
        <f t="shared" si="9"/>
        <v>410.53999999999996</v>
      </c>
      <c r="X52" s="72">
        <f t="shared" si="9"/>
        <v>420.84</v>
      </c>
      <c r="Y52" s="72">
        <f t="shared" si="9"/>
        <v>429.94</v>
      </c>
      <c r="Z52" s="72">
        <f t="shared" si="9"/>
        <v>427.64</v>
      </c>
      <c r="AA52" s="72">
        <f t="shared" si="9"/>
        <v>427.64</v>
      </c>
      <c r="AB52" s="72">
        <f t="shared" si="9"/>
        <v>425.94</v>
      </c>
      <c r="AC52" s="72">
        <f t="shared" si="9"/>
        <v>418.44</v>
      </c>
      <c r="AD52" s="72">
        <f t="shared" si="9"/>
        <v>340.64</v>
      </c>
      <c r="AE52" s="72">
        <f t="shared" si="9"/>
        <v>271.64000000000004</v>
      </c>
      <c r="AF52" s="72">
        <f t="shared" si="9"/>
        <v>216.14</v>
      </c>
      <c r="AG52" s="78">
        <f>SUM(AG39:AG51)</f>
        <v>489.91</v>
      </c>
      <c r="AH52" s="54">
        <f t="shared" si="2"/>
        <v>429.94</v>
      </c>
      <c r="AI52" s="55">
        <f t="shared" si="3"/>
        <v>162.14000000000001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20</v>
      </c>
      <c r="L53" s="61">
        <v>55</v>
      </c>
      <c r="M53" s="79">
        <v>55</v>
      </c>
      <c r="N53" s="79">
        <v>50</v>
      </c>
      <c r="O53" s="79">
        <v>40</v>
      </c>
      <c r="P53" s="79">
        <v>30.2</v>
      </c>
      <c r="Q53" s="50">
        <v>12.9</v>
      </c>
      <c r="R53" s="50">
        <v>14</v>
      </c>
      <c r="S53" s="50">
        <v>10.8</v>
      </c>
      <c r="T53" s="50">
        <v>14</v>
      </c>
      <c r="U53" s="50">
        <v>20</v>
      </c>
      <c r="V53" s="50">
        <v>45.6</v>
      </c>
      <c r="W53" s="50">
        <v>47.8</v>
      </c>
      <c r="X53" s="50">
        <v>53.2</v>
      </c>
      <c r="Y53" s="50">
        <v>52.8</v>
      </c>
      <c r="Z53" s="50">
        <v>50</v>
      </c>
      <c r="AA53" s="50">
        <v>50</v>
      </c>
      <c r="AB53" s="50">
        <v>50.6</v>
      </c>
      <c r="AC53" s="50">
        <v>39.6</v>
      </c>
      <c r="AD53" s="50">
        <v>29.5</v>
      </c>
      <c r="AE53" s="50">
        <v>15.2</v>
      </c>
      <c r="AF53" s="50">
        <v>15.2</v>
      </c>
      <c r="AG53" s="62">
        <v>60</v>
      </c>
      <c r="AH53" s="54">
        <f t="shared" si="2"/>
        <v>55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27</v>
      </c>
      <c r="M54" s="79">
        <v>27</v>
      </c>
      <c r="N54" s="79">
        <v>23</v>
      </c>
      <c r="O54" s="79">
        <v>17</v>
      </c>
      <c r="P54" s="79">
        <v>15.2</v>
      </c>
      <c r="Q54" s="73">
        <v>12.7</v>
      </c>
      <c r="R54" s="73">
        <v>6</v>
      </c>
      <c r="S54" s="50">
        <v>4.4000000000000004</v>
      </c>
      <c r="T54" s="50">
        <v>6.6</v>
      </c>
      <c r="U54" s="50">
        <v>10.1</v>
      </c>
      <c r="V54" s="73">
        <v>14.6</v>
      </c>
      <c r="W54" s="73">
        <v>22.1</v>
      </c>
      <c r="X54" s="73">
        <v>22.2</v>
      </c>
      <c r="Y54" s="73">
        <v>25.6</v>
      </c>
      <c r="Z54" s="73">
        <v>24.5</v>
      </c>
      <c r="AA54" s="73">
        <v>24.5</v>
      </c>
      <c r="AB54" s="73">
        <v>23.2</v>
      </c>
      <c r="AC54" s="73">
        <v>19.600000000000001</v>
      </c>
      <c r="AD54" s="73">
        <v>14.4</v>
      </c>
      <c r="AE54" s="73">
        <v>7.5</v>
      </c>
      <c r="AF54" s="73">
        <v>7.5</v>
      </c>
      <c r="AG54" s="67">
        <v>32</v>
      </c>
      <c r="AH54" s="54">
        <f t="shared" si="2"/>
        <v>27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10</v>
      </c>
      <c r="M55" s="81">
        <v>10</v>
      </c>
      <c r="N55" s="81">
        <v>10</v>
      </c>
      <c r="O55" s="81">
        <v>8</v>
      </c>
      <c r="P55" s="81">
        <v>5.6</v>
      </c>
      <c r="Q55" s="80">
        <v>4.5999999999999996</v>
      </c>
      <c r="R55" s="80">
        <v>2.5</v>
      </c>
      <c r="S55" s="50">
        <v>1.6</v>
      </c>
      <c r="T55" s="50">
        <v>2.4</v>
      </c>
      <c r="U55" s="50">
        <v>3.7</v>
      </c>
      <c r="V55" s="80">
        <v>5.3</v>
      </c>
      <c r="W55" s="80">
        <v>8.1</v>
      </c>
      <c r="X55" s="80">
        <v>8.1</v>
      </c>
      <c r="Y55" s="80">
        <v>9.4</v>
      </c>
      <c r="Z55" s="80">
        <v>9</v>
      </c>
      <c r="AA55" s="80">
        <v>9</v>
      </c>
      <c r="AB55" s="80">
        <v>8.5</v>
      </c>
      <c r="AC55" s="80">
        <v>7.1</v>
      </c>
      <c r="AD55" s="80">
        <v>5.2</v>
      </c>
      <c r="AE55" s="80">
        <v>2.7</v>
      </c>
      <c r="AF55" s="80">
        <v>2.7</v>
      </c>
      <c r="AG55" s="82">
        <v>14</v>
      </c>
      <c r="AH55" s="54">
        <f t="shared" si="2"/>
        <v>10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10">SUM(D53:D55)</f>
        <v>0</v>
      </c>
      <c r="E56" s="72">
        <f t="shared" si="10"/>
        <v>0</v>
      </c>
      <c r="F56" s="72">
        <f t="shared" si="10"/>
        <v>0</v>
      </c>
      <c r="G56" s="72">
        <f t="shared" si="10"/>
        <v>0</v>
      </c>
      <c r="H56" s="72">
        <f t="shared" si="10"/>
        <v>0</v>
      </c>
      <c r="I56" s="72">
        <f t="shared" si="10"/>
        <v>0</v>
      </c>
      <c r="J56" s="72">
        <f t="shared" si="10"/>
        <v>0</v>
      </c>
      <c r="K56" s="72">
        <f t="shared" si="10"/>
        <v>20</v>
      </c>
      <c r="L56" s="72">
        <f t="shared" si="10"/>
        <v>92</v>
      </c>
      <c r="M56" s="72">
        <f t="shared" si="10"/>
        <v>92</v>
      </c>
      <c r="N56" s="72">
        <f t="shared" si="10"/>
        <v>83</v>
      </c>
      <c r="O56" s="72">
        <f t="shared" si="10"/>
        <v>65</v>
      </c>
      <c r="P56" s="72">
        <f t="shared" si="10"/>
        <v>51</v>
      </c>
      <c r="Q56" s="72">
        <f t="shared" si="10"/>
        <v>30.200000000000003</v>
      </c>
      <c r="R56" s="72">
        <f t="shared" si="10"/>
        <v>22.5</v>
      </c>
      <c r="S56" s="72">
        <f t="shared" si="10"/>
        <v>16.8</v>
      </c>
      <c r="T56" s="72">
        <f t="shared" si="10"/>
        <v>23</v>
      </c>
      <c r="U56" s="72">
        <f t="shared" si="10"/>
        <v>33.800000000000004</v>
      </c>
      <c r="V56" s="72">
        <f t="shared" si="10"/>
        <v>65.5</v>
      </c>
      <c r="W56" s="72">
        <f t="shared" si="10"/>
        <v>78</v>
      </c>
      <c r="X56" s="72">
        <v>83.5</v>
      </c>
      <c r="Y56" s="72">
        <f t="shared" si="10"/>
        <v>87.800000000000011</v>
      </c>
      <c r="Z56" s="72">
        <f t="shared" si="10"/>
        <v>83.5</v>
      </c>
      <c r="AA56" s="72">
        <f t="shared" si="10"/>
        <v>83.5</v>
      </c>
      <c r="AB56" s="72">
        <f t="shared" si="10"/>
        <v>82.3</v>
      </c>
      <c r="AC56" s="72">
        <f t="shared" si="10"/>
        <v>66.3</v>
      </c>
      <c r="AD56" s="72">
        <f t="shared" si="10"/>
        <v>49.1</v>
      </c>
      <c r="AE56" s="72">
        <f t="shared" si="10"/>
        <v>25.4</v>
      </c>
      <c r="AF56" s="72">
        <f t="shared" si="10"/>
        <v>25.4</v>
      </c>
      <c r="AG56" s="78">
        <f>SUM(AG53:AG55)</f>
        <v>106</v>
      </c>
      <c r="AH56" s="54">
        <f t="shared" si="2"/>
        <v>92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65.2</v>
      </c>
      <c r="C57" s="50">
        <v>60.7</v>
      </c>
      <c r="D57" s="50">
        <v>63</v>
      </c>
      <c r="E57" s="50">
        <v>64</v>
      </c>
      <c r="F57" s="50">
        <v>63.1</v>
      </c>
      <c r="G57" s="50">
        <v>66.7</v>
      </c>
      <c r="H57" s="50">
        <v>64</v>
      </c>
      <c r="I57" s="50">
        <v>70</v>
      </c>
      <c r="J57" s="50">
        <v>71.599999999999994</v>
      </c>
      <c r="K57" s="50">
        <v>69</v>
      </c>
      <c r="L57" s="50">
        <v>69.599999999999994</v>
      </c>
      <c r="M57" s="50">
        <v>72</v>
      </c>
      <c r="N57" s="50">
        <v>66</v>
      </c>
      <c r="O57" s="50">
        <v>64</v>
      </c>
      <c r="P57" s="50">
        <v>65.7</v>
      </c>
      <c r="Q57" s="50">
        <v>71</v>
      </c>
      <c r="R57" s="50">
        <v>69</v>
      </c>
      <c r="S57" s="50">
        <v>66</v>
      </c>
      <c r="T57" s="50">
        <v>65.400000000000006</v>
      </c>
      <c r="U57" s="50">
        <v>71.099999999999994</v>
      </c>
      <c r="V57" s="50">
        <v>68.2</v>
      </c>
      <c r="W57" s="50">
        <v>58.1</v>
      </c>
      <c r="X57" s="50">
        <v>72.599999999999994</v>
      </c>
      <c r="Y57" s="50">
        <v>66.2</v>
      </c>
      <c r="Z57" s="50">
        <v>64.7</v>
      </c>
      <c r="AA57" s="50">
        <v>59.8</v>
      </c>
      <c r="AB57" s="50">
        <v>64.599999999999994</v>
      </c>
      <c r="AC57" s="50">
        <v>63.6</v>
      </c>
      <c r="AD57" s="50">
        <v>58.8</v>
      </c>
      <c r="AE57" s="50">
        <v>59.2</v>
      </c>
      <c r="AF57" s="50">
        <v>63.9</v>
      </c>
      <c r="AG57" s="62"/>
      <c r="AH57" s="54">
        <f t="shared" si="2"/>
        <v>72.599999999999994</v>
      </c>
      <c r="AI57" s="55">
        <f t="shared" si="3"/>
        <v>58.1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120.6</v>
      </c>
      <c r="C59" s="73">
        <v>90.3</v>
      </c>
      <c r="D59" s="73">
        <v>82</v>
      </c>
      <c r="E59" s="73">
        <v>85</v>
      </c>
      <c r="F59" s="73">
        <v>106</v>
      </c>
      <c r="G59" s="73">
        <v>140</v>
      </c>
      <c r="H59" s="50">
        <v>142</v>
      </c>
      <c r="I59" s="50">
        <v>152</v>
      </c>
      <c r="J59" s="50">
        <v>156.5</v>
      </c>
      <c r="K59" s="50">
        <v>86</v>
      </c>
      <c r="L59" s="50">
        <v>60</v>
      </c>
      <c r="M59" s="73">
        <v>65</v>
      </c>
      <c r="N59" s="73">
        <v>0</v>
      </c>
      <c r="O59" s="73">
        <v>0</v>
      </c>
      <c r="P59" s="73">
        <v>326.89999999999998</v>
      </c>
      <c r="Q59" s="73">
        <v>327</v>
      </c>
      <c r="R59" s="73">
        <v>330</v>
      </c>
      <c r="S59" s="73">
        <v>345</v>
      </c>
      <c r="T59" s="73">
        <v>348</v>
      </c>
      <c r="U59" s="73">
        <v>324.5</v>
      </c>
      <c r="V59" s="73">
        <v>43.4</v>
      </c>
      <c r="W59" s="73">
        <v>48</v>
      </c>
      <c r="X59" s="84">
        <v>103</v>
      </c>
      <c r="Y59" s="84">
        <v>18</v>
      </c>
      <c r="Z59" s="84">
        <v>196</v>
      </c>
      <c r="AA59" s="84">
        <v>200</v>
      </c>
      <c r="AB59" s="73">
        <v>286.89999999999998</v>
      </c>
      <c r="AC59" s="73">
        <v>274.3</v>
      </c>
      <c r="AD59" s="73">
        <v>258.89999999999998</v>
      </c>
      <c r="AE59" s="73">
        <v>223</v>
      </c>
      <c r="AF59" s="73">
        <v>190</v>
      </c>
      <c r="AG59" s="85"/>
      <c r="AH59" s="54">
        <f t="shared" si="2"/>
        <v>348</v>
      </c>
      <c r="AI59" s="55">
        <f t="shared" si="3"/>
        <v>0</v>
      </c>
      <c r="AK59" s="56"/>
    </row>
    <row r="60" spans="1:37" x14ac:dyDescent="0.25">
      <c r="A60" s="66" t="s">
        <v>68</v>
      </c>
      <c r="B60" s="73">
        <v>0</v>
      </c>
      <c r="C60" s="73">
        <v>0</v>
      </c>
      <c r="D60" s="73">
        <v>0</v>
      </c>
      <c r="E60" s="73">
        <v>0</v>
      </c>
      <c r="F60" s="73">
        <v>0</v>
      </c>
      <c r="G60" s="73">
        <v>0</v>
      </c>
      <c r="H60" s="73">
        <v>0</v>
      </c>
      <c r="I60" s="73">
        <v>0</v>
      </c>
      <c r="J60" s="73">
        <v>0</v>
      </c>
      <c r="K60" s="73">
        <v>0</v>
      </c>
      <c r="L60" s="73">
        <v>0</v>
      </c>
      <c r="M60" s="73">
        <v>42</v>
      </c>
      <c r="N60" s="73">
        <v>27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45</v>
      </c>
      <c r="U60" s="73">
        <v>45</v>
      </c>
      <c r="V60" s="73">
        <v>45</v>
      </c>
      <c r="W60" s="73">
        <v>35</v>
      </c>
      <c r="X60" s="73">
        <v>40</v>
      </c>
      <c r="Y60" s="73">
        <v>35</v>
      </c>
      <c r="Z60" s="73">
        <v>44</v>
      </c>
      <c r="AA60" s="73">
        <v>44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45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62.6</v>
      </c>
      <c r="Y61" s="50">
        <v>68.5</v>
      </c>
      <c r="Z61" s="50">
        <v>83.5</v>
      </c>
      <c r="AA61" s="50">
        <v>82.5</v>
      </c>
      <c r="AB61" s="50">
        <v>85.3</v>
      </c>
      <c r="AC61" s="50">
        <v>74</v>
      </c>
      <c r="AD61" s="50">
        <v>74.400000000000006</v>
      </c>
      <c r="AE61" s="50">
        <v>0</v>
      </c>
      <c r="AF61" s="50">
        <v>0</v>
      </c>
      <c r="AG61" s="85"/>
      <c r="AH61" s="54">
        <f t="shared" si="2"/>
        <v>85.3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185.8</v>
      </c>
      <c r="C68" s="72">
        <f>SUM(C57:C67)</f>
        <v>151</v>
      </c>
      <c r="D68" s="72">
        <f t="shared" ref="D68:AF68" si="11">SUM(D57:D67)</f>
        <v>145</v>
      </c>
      <c r="E68" s="72">
        <f t="shared" si="11"/>
        <v>149</v>
      </c>
      <c r="F68" s="72">
        <f t="shared" si="11"/>
        <v>169.1</v>
      </c>
      <c r="G68" s="72">
        <f t="shared" si="11"/>
        <v>206.7</v>
      </c>
      <c r="H68" s="72">
        <f t="shared" si="11"/>
        <v>206</v>
      </c>
      <c r="I68" s="72">
        <f t="shared" si="11"/>
        <v>222</v>
      </c>
      <c r="J68" s="72">
        <f t="shared" si="11"/>
        <v>228.1</v>
      </c>
      <c r="K68" s="72">
        <f t="shared" si="11"/>
        <v>155</v>
      </c>
      <c r="L68" s="72">
        <f t="shared" si="11"/>
        <v>129.6</v>
      </c>
      <c r="M68" s="72">
        <f t="shared" si="11"/>
        <v>179</v>
      </c>
      <c r="N68" s="72">
        <f t="shared" si="11"/>
        <v>93</v>
      </c>
      <c r="O68" s="72">
        <f t="shared" si="11"/>
        <v>64</v>
      </c>
      <c r="P68" s="72">
        <f t="shared" si="11"/>
        <v>392.59999999999997</v>
      </c>
      <c r="Q68" s="72">
        <f t="shared" si="11"/>
        <v>398</v>
      </c>
      <c r="R68" s="72">
        <f t="shared" si="11"/>
        <v>399</v>
      </c>
      <c r="S68" s="72">
        <f t="shared" si="11"/>
        <v>411</v>
      </c>
      <c r="T68" s="72">
        <f t="shared" si="11"/>
        <v>458.4</v>
      </c>
      <c r="U68" s="72">
        <f t="shared" si="11"/>
        <v>440.6</v>
      </c>
      <c r="V68" s="72">
        <f t="shared" si="11"/>
        <v>156.6</v>
      </c>
      <c r="W68" s="72">
        <f t="shared" si="11"/>
        <v>141.1</v>
      </c>
      <c r="X68" s="72">
        <v>278.2</v>
      </c>
      <c r="Y68" s="72">
        <f t="shared" si="11"/>
        <v>187.7</v>
      </c>
      <c r="Z68" s="72">
        <f t="shared" si="11"/>
        <v>388.2</v>
      </c>
      <c r="AA68" s="72">
        <f t="shared" si="11"/>
        <v>386.3</v>
      </c>
      <c r="AB68" s="72">
        <f t="shared" si="11"/>
        <v>436.8</v>
      </c>
      <c r="AC68" s="72">
        <f t="shared" si="11"/>
        <v>411.90000000000003</v>
      </c>
      <c r="AD68" s="72">
        <f t="shared" si="11"/>
        <v>392.1</v>
      </c>
      <c r="AE68" s="72">
        <f>SUM(AE57:AE67)</f>
        <v>282.2</v>
      </c>
      <c r="AF68" s="72">
        <f t="shared" si="11"/>
        <v>253.9</v>
      </c>
      <c r="AG68" s="78">
        <f>SUM(AG57:AG67)</f>
        <v>0</v>
      </c>
      <c r="AH68" s="54">
        <f t="shared" si="2"/>
        <v>458.4</v>
      </c>
      <c r="AI68" s="55">
        <f t="shared" si="3"/>
        <v>64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2">SUM(D69:D71)</f>
        <v>0</v>
      </c>
      <c r="E72" s="72">
        <f t="shared" si="12"/>
        <v>0</v>
      </c>
      <c r="F72" s="72">
        <f t="shared" si="12"/>
        <v>0</v>
      </c>
      <c r="G72" s="72">
        <f t="shared" si="12"/>
        <v>0</v>
      </c>
      <c r="H72" s="72">
        <f t="shared" si="12"/>
        <v>0</v>
      </c>
      <c r="I72" s="72">
        <f t="shared" si="12"/>
        <v>0</v>
      </c>
      <c r="J72" s="72">
        <f t="shared" si="12"/>
        <v>0</v>
      </c>
      <c r="K72" s="72">
        <f t="shared" si="12"/>
        <v>0</v>
      </c>
      <c r="L72" s="72">
        <f t="shared" si="12"/>
        <v>0</v>
      </c>
      <c r="M72" s="72">
        <f t="shared" si="12"/>
        <v>0</v>
      </c>
      <c r="N72" s="72">
        <f t="shared" si="12"/>
        <v>0</v>
      </c>
      <c r="O72" s="72">
        <f t="shared" si="12"/>
        <v>0</v>
      </c>
      <c r="P72" s="72">
        <f t="shared" si="12"/>
        <v>0</v>
      </c>
      <c r="Q72" s="72">
        <f t="shared" si="12"/>
        <v>0</v>
      </c>
      <c r="R72" s="72">
        <f t="shared" si="12"/>
        <v>0</v>
      </c>
      <c r="S72" s="72">
        <f t="shared" si="12"/>
        <v>0</v>
      </c>
      <c r="T72" s="72">
        <f t="shared" si="12"/>
        <v>0</v>
      </c>
      <c r="U72" s="72">
        <f t="shared" si="12"/>
        <v>0</v>
      </c>
      <c r="V72" s="72">
        <f t="shared" si="12"/>
        <v>0</v>
      </c>
      <c r="W72" s="72">
        <f t="shared" si="12"/>
        <v>0</v>
      </c>
      <c r="X72" s="72">
        <f t="shared" si="12"/>
        <v>0</v>
      </c>
      <c r="Y72" s="72">
        <f t="shared" si="12"/>
        <v>0</v>
      </c>
      <c r="Z72" s="72">
        <f t="shared" si="12"/>
        <v>0</v>
      </c>
      <c r="AA72" s="72">
        <f t="shared" si="12"/>
        <v>0</v>
      </c>
      <c r="AB72" s="72">
        <f t="shared" si="12"/>
        <v>0</v>
      </c>
      <c r="AC72" s="72">
        <f t="shared" si="12"/>
        <v>0</v>
      </c>
      <c r="AD72" s="72">
        <f t="shared" si="12"/>
        <v>0</v>
      </c>
      <c r="AE72" s="72">
        <f t="shared" si="12"/>
        <v>0</v>
      </c>
      <c r="AF72" s="72">
        <f t="shared" si="12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893.83999999999992</v>
      </c>
      <c r="C73" s="89">
        <f>C68+C56+C52+C38+C72</f>
        <v>873.33999999999992</v>
      </c>
      <c r="D73" s="89">
        <f t="shared" ref="D73:AG73" si="13">D68+D56+D52+D38+D72</f>
        <v>865.54</v>
      </c>
      <c r="E73" s="89">
        <f t="shared" si="13"/>
        <v>850.54</v>
      </c>
      <c r="F73" s="89">
        <f t="shared" si="13"/>
        <v>874.64</v>
      </c>
      <c r="G73" s="89">
        <f t="shared" si="13"/>
        <v>929.84</v>
      </c>
      <c r="H73" s="89">
        <f t="shared" si="13"/>
        <v>988.74</v>
      </c>
      <c r="I73" s="89">
        <f t="shared" si="13"/>
        <v>1092.1399999999999</v>
      </c>
      <c r="J73" s="89">
        <f t="shared" si="13"/>
        <v>1209.1399999999999</v>
      </c>
      <c r="K73" s="89">
        <f t="shared" si="13"/>
        <v>1355.1399999999999</v>
      </c>
      <c r="L73" s="89">
        <f t="shared" si="13"/>
        <v>1475.2400000000002</v>
      </c>
      <c r="M73" s="89">
        <f t="shared" si="13"/>
        <v>1504.64</v>
      </c>
      <c r="N73" s="89">
        <f t="shared" si="13"/>
        <v>1469.64</v>
      </c>
      <c r="O73" s="89">
        <f t="shared" si="13"/>
        <v>1399.64</v>
      </c>
      <c r="P73" s="89">
        <f t="shared" si="13"/>
        <v>1301.8399999999999</v>
      </c>
      <c r="Q73" s="89">
        <f t="shared" si="13"/>
        <v>1264.44</v>
      </c>
      <c r="R73" s="89">
        <f t="shared" si="13"/>
        <v>1256.94</v>
      </c>
      <c r="S73" s="89">
        <f t="shared" si="13"/>
        <v>1258.24</v>
      </c>
      <c r="T73" s="89">
        <f t="shared" si="13"/>
        <v>1276.8399999999999</v>
      </c>
      <c r="U73" s="89">
        <f t="shared" si="13"/>
        <v>1315.54</v>
      </c>
      <c r="V73" s="89">
        <f t="shared" si="13"/>
        <v>1382.44</v>
      </c>
      <c r="W73" s="89">
        <f t="shared" si="13"/>
        <v>1480.8400000000001</v>
      </c>
      <c r="X73" s="89">
        <f t="shared" si="13"/>
        <v>1610.2399999999998</v>
      </c>
      <c r="Y73" s="89">
        <f t="shared" si="13"/>
        <v>1603.14</v>
      </c>
      <c r="Z73" s="89">
        <f t="shared" si="13"/>
        <v>1577.04</v>
      </c>
      <c r="AA73" s="89">
        <f t="shared" si="13"/>
        <v>1555.1399999999999</v>
      </c>
      <c r="AB73" s="89">
        <f t="shared" si="13"/>
        <v>1484.04</v>
      </c>
      <c r="AC73" s="89">
        <f t="shared" si="13"/>
        <v>1414.94</v>
      </c>
      <c r="AD73" s="89">
        <f t="shared" si="13"/>
        <v>1300.1399999999999</v>
      </c>
      <c r="AE73" s="89">
        <f t="shared" si="13"/>
        <v>1116.1399999999999</v>
      </c>
      <c r="AF73" s="89">
        <f t="shared" si="13"/>
        <v>993.14</v>
      </c>
      <c r="AG73" s="89">
        <f t="shared" si="13"/>
        <v>2144.14</v>
      </c>
      <c r="AH73" s="54">
        <f t="shared" si="2"/>
        <v>1610.2399999999998</v>
      </c>
      <c r="AI73" s="55">
        <f t="shared" si="3"/>
        <v>850.54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893.83999999999992</v>
      </c>
      <c r="C75" s="89">
        <f>C73+C74</f>
        <v>873.33999999999992</v>
      </c>
      <c r="D75" s="89">
        <f t="shared" ref="D75:AF75" si="14">D72+D68+D56+D52+D38+D74</f>
        <v>865.54</v>
      </c>
      <c r="E75" s="89">
        <f t="shared" si="14"/>
        <v>850.54</v>
      </c>
      <c r="F75" s="89">
        <f t="shared" si="14"/>
        <v>874.64</v>
      </c>
      <c r="G75" s="89">
        <f t="shared" si="14"/>
        <v>929.84</v>
      </c>
      <c r="H75" s="89">
        <f t="shared" si="14"/>
        <v>988.74</v>
      </c>
      <c r="I75" s="89">
        <f t="shared" si="14"/>
        <v>1092.1399999999999</v>
      </c>
      <c r="J75" s="89">
        <f t="shared" si="14"/>
        <v>1209.1399999999999</v>
      </c>
      <c r="K75" s="89">
        <f t="shared" si="14"/>
        <v>1355.1399999999999</v>
      </c>
      <c r="L75" s="89">
        <f t="shared" si="14"/>
        <v>1475.2400000000002</v>
      </c>
      <c r="M75" s="89">
        <f t="shared" si="14"/>
        <v>1504.64</v>
      </c>
      <c r="N75" s="89">
        <f t="shared" si="14"/>
        <v>1469.64</v>
      </c>
      <c r="O75" s="89">
        <f t="shared" si="14"/>
        <v>1399.64</v>
      </c>
      <c r="P75" s="89">
        <f t="shared" si="14"/>
        <v>1301.8399999999999</v>
      </c>
      <c r="Q75" s="89">
        <f t="shared" si="14"/>
        <v>1264.44</v>
      </c>
      <c r="R75" s="89">
        <f t="shared" si="14"/>
        <v>1256.94</v>
      </c>
      <c r="S75" s="89">
        <f t="shared" si="14"/>
        <v>1258.24</v>
      </c>
      <c r="T75" s="89">
        <f t="shared" si="14"/>
        <v>1276.8399999999999</v>
      </c>
      <c r="U75" s="89">
        <f t="shared" si="14"/>
        <v>1315.54</v>
      </c>
      <c r="V75" s="89">
        <f t="shared" si="14"/>
        <v>1382.44</v>
      </c>
      <c r="W75" s="89">
        <f t="shared" si="14"/>
        <v>1480.8400000000001</v>
      </c>
      <c r="X75" s="89">
        <f t="shared" si="14"/>
        <v>1610.2399999999998</v>
      </c>
      <c r="Y75" s="89">
        <f t="shared" si="14"/>
        <v>1603.14</v>
      </c>
      <c r="Z75" s="89">
        <f t="shared" si="14"/>
        <v>1577.04</v>
      </c>
      <c r="AA75" s="89">
        <f t="shared" si="14"/>
        <v>1555.1399999999999</v>
      </c>
      <c r="AB75" s="89">
        <f t="shared" si="14"/>
        <v>1484.04</v>
      </c>
      <c r="AC75" s="89">
        <f t="shared" si="14"/>
        <v>1414.94</v>
      </c>
      <c r="AD75" s="89">
        <f t="shared" si="14"/>
        <v>1300.1399999999999</v>
      </c>
      <c r="AE75" s="89">
        <f t="shared" si="14"/>
        <v>1116.1399999999999</v>
      </c>
      <c r="AF75" s="89">
        <f t="shared" si="14"/>
        <v>993.14</v>
      </c>
      <c r="AG75" s="78">
        <f>AG72+AG68+AG56+AG52+AG38+AG74</f>
        <v>2144.14</v>
      </c>
      <c r="AH75" s="54">
        <f t="shared" si="2"/>
        <v>1610.2399999999998</v>
      </c>
      <c r="AI75" s="55">
        <f t="shared" si="3"/>
        <v>850.54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5">IF(D60&lt;0,D60*-1,0)</f>
        <v>0</v>
      </c>
      <c r="E76" s="58">
        <f t="shared" si="15"/>
        <v>0</v>
      </c>
      <c r="F76" s="58">
        <f t="shared" si="15"/>
        <v>0</v>
      </c>
      <c r="G76" s="58">
        <f t="shared" si="15"/>
        <v>0</v>
      </c>
      <c r="H76" s="58">
        <f t="shared" si="15"/>
        <v>0</v>
      </c>
      <c r="I76" s="58">
        <f t="shared" si="15"/>
        <v>0</v>
      </c>
      <c r="J76" s="58">
        <f t="shared" si="15"/>
        <v>0</v>
      </c>
      <c r="K76" s="58">
        <f t="shared" si="15"/>
        <v>0</v>
      </c>
      <c r="L76" s="58">
        <f t="shared" si="15"/>
        <v>0</v>
      </c>
      <c r="M76" s="58">
        <f t="shared" si="15"/>
        <v>0</v>
      </c>
      <c r="N76" s="58">
        <f t="shared" si="15"/>
        <v>0</v>
      </c>
      <c r="O76" s="58">
        <f t="shared" si="15"/>
        <v>0</v>
      </c>
      <c r="P76" s="58">
        <f t="shared" si="15"/>
        <v>0</v>
      </c>
      <c r="Q76" s="58">
        <f t="shared" si="15"/>
        <v>0</v>
      </c>
      <c r="R76" s="58">
        <f t="shared" si="15"/>
        <v>0</v>
      </c>
      <c r="S76" s="58">
        <f t="shared" si="15"/>
        <v>0</v>
      </c>
      <c r="T76" s="58">
        <f t="shared" si="15"/>
        <v>0</v>
      </c>
      <c r="U76" s="58">
        <f t="shared" si="15"/>
        <v>0</v>
      </c>
      <c r="V76" s="58">
        <f t="shared" si="15"/>
        <v>0</v>
      </c>
      <c r="W76" s="58">
        <f t="shared" si="15"/>
        <v>0</v>
      </c>
      <c r="X76" s="58">
        <f t="shared" si="15"/>
        <v>0</v>
      </c>
      <c r="Y76" s="58">
        <f t="shared" si="15"/>
        <v>0</v>
      </c>
      <c r="Z76" s="58">
        <f t="shared" si="15"/>
        <v>0</v>
      </c>
      <c r="AA76" s="58">
        <f t="shared" si="15"/>
        <v>0</v>
      </c>
      <c r="AB76" s="58">
        <f t="shared" si="15"/>
        <v>0</v>
      </c>
      <c r="AC76" s="58">
        <f t="shared" si="15"/>
        <v>0</v>
      </c>
      <c r="AD76" s="58">
        <f t="shared" si="15"/>
        <v>0</v>
      </c>
      <c r="AE76" s="58">
        <f t="shared" si="15"/>
        <v>0</v>
      </c>
      <c r="AF76" s="58">
        <f t="shared" si="15"/>
        <v>0</v>
      </c>
      <c r="AG76" s="62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8">IF(D58&lt;0,D58*-1,0)</f>
        <v>0</v>
      </c>
      <c r="E77" s="58">
        <f t="shared" si="18"/>
        <v>0</v>
      </c>
      <c r="F77" s="58">
        <f t="shared" si="18"/>
        <v>0</v>
      </c>
      <c r="G77" s="58">
        <f t="shared" si="18"/>
        <v>0</v>
      </c>
      <c r="H77" s="58">
        <f t="shared" si="18"/>
        <v>0</v>
      </c>
      <c r="I77" s="58">
        <f t="shared" si="18"/>
        <v>0</v>
      </c>
      <c r="J77" s="58">
        <f t="shared" si="18"/>
        <v>0</v>
      </c>
      <c r="K77" s="58">
        <f t="shared" si="18"/>
        <v>0</v>
      </c>
      <c r="L77" s="58">
        <f t="shared" si="18"/>
        <v>0</v>
      </c>
      <c r="M77" s="58">
        <f t="shared" si="18"/>
        <v>0</v>
      </c>
      <c r="N77" s="58">
        <f t="shared" si="18"/>
        <v>0</v>
      </c>
      <c r="O77" s="58">
        <f t="shared" si="18"/>
        <v>0</v>
      </c>
      <c r="P77" s="58">
        <f t="shared" si="18"/>
        <v>0</v>
      </c>
      <c r="Q77" s="58">
        <f t="shared" si="18"/>
        <v>0</v>
      </c>
      <c r="R77" s="58">
        <f t="shared" si="18"/>
        <v>0</v>
      </c>
      <c r="S77" s="58">
        <f t="shared" si="18"/>
        <v>0</v>
      </c>
      <c r="T77" s="58">
        <f t="shared" si="18"/>
        <v>0</v>
      </c>
      <c r="U77" s="58">
        <f t="shared" si="18"/>
        <v>0</v>
      </c>
      <c r="V77" s="58">
        <f t="shared" si="18"/>
        <v>0</v>
      </c>
      <c r="W77" s="58">
        <f t="shared" si="18"/>
        <v>0</v>
      </c>
      <c r="X77" s="58">
        <f t="shared" si="18"/>
        <v>0</v>
      </c>
      <c r="Y77" s="58">
        <f t="shared" si="18"/>
        <v>0</v>
      </c>
      <c r="Z77" s="58">
        <f t="shared" si="18"/>
        <v>0</v>
      </c>
      <c r="AA77" s="58">
        <f t="shared" si="18"/>
        <v>0</v>
      </c>
      <c r="AB77" s="58">
        <f t="shared" si="18"/>
        <v>0</v>
      </c>
      <c r="AC77" s="58">
        <f t="shared" si="18"/>
        <v>0</v>
      </c>
      <c r="AD77" s="58">
        <f t="shared" si="18"/>
        <v>0</v>
      </c>
      <c r="AE77" s="58">
        <f t="shared" si="18"/>
        <v>0</v>
      </c>
      <c r="AF77" s="58">
        <f t="shared" si="18"/>
        <v>0</v>
      </c>
      <c r="AG77" s="67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9">IF(D61&lt;0,D61*-1,0)</f>
        <v>0</v>
      </c>
      <c r="E78" s="58">
        <f t="shared" si="19"/>
        <v>0</v>
      </c>
      <c r="F78" s="58">
        <f t="shared" si="19"/>
        <v>0</v>
      </c>
      <c r="G78" s="58">
        <f t="shared" si="19"/>
        <v>0</v>
      </c>
      <c r="H78" s="58">
        <f t="shared" si="19"/>
        <v>0</v>
      </c>
      <c r="I78" s="58">
        <f t="shared" si="19"/>
        <v>0</v>
      </c>
      <c r="J78" s="58">
        <f t="shared" si="19"/>
        <v>0</v>
      </c>
      <c r="K78" s="58">
        <f t="shared" si="19"/>
        <v>0</v>
      </c>
      <c r="L78" s="58">
        <f t="shared" si="19"/>
        <v>0</v>
      </c>
      <c r="M78" s="58">
        <f t="shared" si="19"/>
        <v>0</v>
      </c>
      <c r="N78" s="58">
        <f t="shared" si="19"/>
        <v>0</v>
      </c>
      <c r="O78" s="58">
        <f t="shared" si="19"/>
        <v>0</v>
      </c>
      <c r="P78" s="58">
        <f t="shared" si="19"/>
        <v>0</v>
      </c>
      <c r="Q78" s="58">
        <f t="shared" si="19"/>
        <v>0</v>
      </c>
      <c r="R78" s="58">
        <f t="shared" si="19"/>
        <v>0</v>
      </c>
      <c r="S78" s="58">
        <f t="shared" si="19"/>
        <v>0</v>
      </c>
      <c r="T78" s="58">
        <f t="shared" si="19"/>
        <v>0</v>
      </c>
      <c r="U78" s="58">
        <f t="shared" si="19"/>
        <v>0</v>
      </c>
      <c r="V78" s="58">
        <f t="shared" si="19"/>
        <v>0</v>
      </c>
      <c r="W78" s="58">
        <f t="shared" si="19"/>
        <v>0</v>
      </c>
      <c r="X78" s="58">
        <f t="shared" si="19"/>
        <v>0</v>
      </c>
      <c r="Y78" s="58">
        <f t="shared" si="19"/>
        <v>0</v>
      </c>
      <c r="Z78" s="58">
        <f t="shared" si="19"/>
        <v>0</v>
      </c>
      <c r="AA78" s="58">
        <f t="shared" si="19"/>
        <v>0</v>
      </c>
      <c r="AB78" s="58">
        <f t="shared" si="19"/>
        <v>0</v>
      </c>
      <c r="AC78" s="58">
        <f t="shared" si="19"/>
        <v>0</v>
      </c>
      <c r="AD78" s="58">
        <f t="shared" si="19"/>
        <v>0</v>
      </c>
      <c r="AE78" s="58">
        <f t="shared" si="19"/>
        <v>0</v>
      </c>
      <c r="AF78" s="58">
        <f t="shared" si="19"/>
        <v>0</v>
      </c>
      <c r="AG78" s="92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20">IF(D59&lt;0,D59*-1,0)</f>
        <v>0</v>
      </c>
      <c r="E79" s="58">
        <f t="shared" si="20"/>
        <v>0</v>
      </c>
      <c r="F79" s="58">
        <f t="shared" si="20"/>
        <v>0</v>
      </c>
      <c r="G79" s="58">
        <f t="shared" si="20"/>
        <v>0</v>
      </c>
      <c r="H79" s="58">
        <f t="shared" si="20"/>
        <v>0</v>
      </c>
      <c r="I79" s="58">
        <f t="shared" si="20"/>
        <v>0</v>
      </c>
      <c r="J79" s="58">
        <f t="shared" si="20"/>
        <v>0</v>
      </c>
      <c r="K79" s="58">
        <f t="shared" si="20"/>
        <v>0</v>
      </c>
      <c r="L79" s="58">
        <f t="shared" si="20"/>
        <v>0</v>
      </c>
      <c r="M79" s="58">
        <f t="shared" si="20"/>
        <v>0</v>
      </c>
      <c r="N79" s="58">
        <f t="shared" si="20"/>
        <v>0</v>
      </c>
      <c r="O79" s="58">
        <f t="shared" si="20"/>
        <v>0</v>
      </c>
      <c r="P79" s="58">
        <f t="shared" si="20"/>
        <v>0</v>
      </c>
      <c r="Q79" s="58">
        <f t="shared" si="20"/>
        <v>0</v>
      </c>
      <c r="R79" s="58">
        <f t="shared" si="20"/>
        <v>0</v>
      </c>
      <c r="S79" s="58">
        <f t="shared" si="20"/>
        <v>0</v>
      </c>
      <c r="T79" s="58">
        <f t="shared" si="20"/>
        <v>0</v>
      </c>
      <c r="U79" s="58">
        <f t="shared" si="20"/>
        <v>0</v>
      </c>
      <c r="V79" s="58">
        <f t="shared" si="20"/>
        <v>0</v>
      </c>
      <c r="W79" s="58">
        <f t="shared" si="20"/>
        <v>0</v>
      </c>
      <c r="X79" s="58">
        <f t="shared" si="20"/>
        <v>0</v>
      </c>
      <c r="Y79" s="58">
        <f t="shared" si="20"/>
        <v>0</v>
      </c>
      <c r="Z79" s="58">
        <f t="shared" si="20"/>
        <v>0</v>
      </c>
      <c r="AA79" s="58">
        <f t="shared" si="20"/>
        <v>0</v>
      </c>
      <c r="AB79" s="58">
        <f t="shared" si="20"/>
        <v>0</v>
      </c>
      <c r="AC79" s="58">
        <f t="shared" si="20"/>
        <v>0</v>
      </c>
      <c r="AD79" s="58">
        <f t="shared" si="20"/>
        <v>0</v>
      </c>
      <c r="AE79" s="58">
        <f t="shared" si="20"/>
        <v>0</v>
      </c>
      <c r="AF79" s="58">
        <f t="shared" si="20"/>
        <v>0</v>
      </c>
      <c r="AG79" s="92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1">IF(D57&lt;0,D57*-1,0)</f>
        <v>0</v>
      </c>
      <c r="E80" s="58">
        <f t="shared" si="21"/>
        <v>0</v>
      </c>
      <c r="F80" s="58">
        <f t="shared" si="21"/>
        <v>0</v>
      </c>
      <c r="G80" s="58">
        <f t="shared" si="21"/>
        <v>0</v>
      </c>
      <c r="H80" s="58">
        <f t="shared" si="21"/>
        <v>0</v>
      </c>
      <c r="I80" s="58">
        <f t="shared" si="21"/>
        <v>0</v>
      </c>
      <c r="J80" s="58">
        <f t="shared" si="21"/>
        <v>0</v>
      </c>
      <c r="K80" s="58">
        <f t="shared" si="21"/>
        <v>0</v>
      </c>
      <c r="L80" s="58">
        <f t="shared" si="21"/>
        <v>0</v>
      </c>
      <c r="M80" s="58">
        <f t="shared" si="21"/>
        <v>0</v>
      </c>
      <c r="N80" s="58">
        <f t="shared" si="21"/>
        <v>0</v>
      </c>
      <c r="O80" s="58">
        <f t="shared" si="21"/>
        <v>0</v>
      </c>
      <c r="P80" s="58">
        <f t="shared" si="21"/>
        <v>0</v>
      </c>
      <c r="Q80" s="58">
        <f t="shared" si="21"/>
        <v>0</v>
      </c>
      <c r="R80" s="58">
        <f t="shared" si="21"/>
        <v>0</v>
      </c>
      <c r="S80" s="58">
        <f t="shared" si="21"/>
        <v>0</v>
      </c>
      <c r="T80" s="58">
        <f t="shared" si="21"/>
        <v>0</v>
      </c>
      <c r="U80" s="58">
        <f t="shared" si="21"/>
        <v>0</v>
      </c>
      <c r="V80" s="58">
        <f t="shared" si="21"/>
        <v>0</v>
      </c>
      <c r="W80" s="58">
        <f t="shared" si="21"/>
        <v>0</v>
      </c>
      <c r="X80" s="58">
        <f t="shared" si="21"/>
        <v>0</v>
      </c>
      <c r="Y80" s="58">
        <f t="shared" si="21"/>
        <v>0</v>
      </c>
      <c r="Z80" s="58">
        <f t="shared" si="21"/>
        <v>0</v>
      </c>
      <c r="AA80" s="58">
        <f t="shared" si="21"/>
        <v>0</v>
      </c>
      <c r="AB80" s="58">
        <f t="shared" si="21"/>
        <v>0</v>
      </c>
      <c r="AC80" s="58">
        <f t="shared" si="21"/>
        <v>0</v>
      </c>
      <c r="AD80" s="58">
        <f t="shared" si="21"/>
        <v>0</v>
      </c>
      <c r="AE80" s="58">
        <f t="shared" si="21"/>
        <v>0</v>
      </c>
      <c r="AF80" s="58">
        <f t="shared" si="21"/>
        <v>0</v>
      </c>
      <c r="AG80" s="92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2">SUM(C76:C81)</f>
        <v>0</v>
      </c>
      <c r="D82" s="72">
        <f t="shared" si="22"/>
        <v>0</v>
      </c>
      <c r="E82" s="72">
        <f t="shared" si="22"/>
        <v>0</v>
      </c>
      <c r="F82" s="72">
        <f t="shared" si="22"/>
        <v>0</v>
      </c>
      <c r="G82" s="72">
        <f t="shared" si="22"/>
        <v>0</v>
      </c>
      <c r="H82" s="72">
        <f t="shared" si="22"/>
        <v>0</v>
      </c>
      <c r="I82" s="72">
        <f t="shared" si="22"/>
        <v>0</v>
      </c>
      <c r="J82" s="72">
        <f t="shared" si="22"/>
        <v>0</v>
      </c>
      <c r="K82" s="72">
        <f t="shared" si="22"/>
        <v>0</v>
      </c>
      <c r="L82" s="72">
        <f t="shared" si="22"/>
        <v>0</v>
      </c>
      <c r="M82" s="72">
        <f t="shared" si="22"/>
        <v>0</v>
      </c>
      <c r="N82" s="72">
        <f t="shared" si="22"/>
        <v>0</v>
      </c>
      <c r="O82" s="72">
        <f t="shared" si="22"/>
        <v>0</v>
      </c>
      <c r="P82" s="72">
        <f t="shared" si="22"/>
        <v>0</v>
      </c>
      <c r="Q82" s="72">
        <f t="shared" si="22"/>
        <v>0</v>
      </c>
      <c r="R82" s="72">
        <f t="shared" si="22"/>
        <v>0</v>
      </c>
      <c r="S82" s="72">
        <f t="shared" si="22"/>
        <v>0</v>
      </c>
      <c r="T82" s="72">
        <f t="shared" si="22"/>
        <v>0</v>
      </c>
      <c r="U82" s="72">
        <f t="shared" si="22"/>
        <v>0</v>
      </c>
      <c r="V82" s="72">
        <f t="shared" si="22"/>
        <v>0</v>
      </c>
      <c r="W82" s="72">
        <f t="shared" si="22"/>
        <v>0</v>
      </c>
      <c r="X82" s="72">
        <f t="shared" si="22"/>
        <v>0</v>
      </c>
      <c r="Y82" s="72">
        <f t="shared" si="22"/>
        <v>0</v>
      </c>
      <c r="Z82" s="72">
        <f t="shared" si="22"/>
        <v>0</v>
      </c>
      <c r="AA82" s="72">
        <f t="shared" si="22"/>
        <v>0</v>
      </c>
      <c r="AB82" s="72">
        <f t="shared" si="22"/>
        <v>0</v>
      </c>
      <c r="AC82" s="72">
        <f t="shared" si="22"/>
        <v>0</v>
      </c>
      <c r="AD82" s="72">
        <f t="shared" si="22"/>
        <v>0</v>
      </c>
      <c r="AE82" s="72">
        <f t="shared" si="22"/>
        <v>0</v>
      </c>
      <c r="AF82" s="72">
        <f t="shared" si="22"/>
        <v>0</v>
      </c>
      <c r="AG82" s="78">
        <f t="shared" si="22"/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1787.6799999999998</v>
      </c>
      <c r="C83" s="72">
        <f t="shared" ref="C83:AG83" si="23">SUM(C70:C82)</f>
        <v>1746.6799999999998</v>
      </c>
      <c r="D83" s="72">
        <f t="shared" si="23"/>
        <v>1731.08</v>
      </c>
      <c r="E83" s="72">
        <f t="shared" si="23"/>
        <v>1701.08</v>
      </c>
      <c r="F83" s="72">
        <f t="shared" si="23"/>
        <v>1749.28</v>
      </c>
      <c r="G83" s="72">
        <f t="shared" si="23"/>
        <v>1859.68</v>
      </c>
      <c r="H83" s="72">
        <f t="shared" si="23"/>
        <v>1977.48</v>
      </c>
      <c r="I83" s="72">
        <f t="shared" si="23"/>
        <v>2184.2799999999997</v>
      </c>
      <c r="J83" s="72">
        <f t="shared" si="23"/>
        <v>2418.2799999999997</v>
      </c>
      <c r="K83" s="72">
        <f t="shared" si="23"/>
        <v>2710.2799999999997</v>
      </c>
      <c r="L83" s="72">
        <f t="shared" si="23"/>
        <v>2950.4800000000005</v>
      </c>
      <c r="M83" s="72">
        <f t="shared" si="23"/>
        <v>3009.28</v>
      </c>
      <c r="N83" s="72">
        <f t="shared" si="23"/>
        <v>2939.28</v>
      </c>
      <c r="O83" s="72">
        <f t="shared" si="23"/>
        <v>2799.28</v>
      </c>
      <c r="P83" s="72">
        <f t="shared" si="23"/>
        <v>2603.6799999999998</v>
      </c>
      <c r="Q83" s="72">
        <f t="shared" si="23"/>
        <v>2528.88</v>
      </c>
      <c r="R83" s="72">
        <f t="shared" si="23"/>
        <v>2513.88</v>
      </c>
      <c r="S83" s="72">
        <f t="shared" si="23"/>
        <v>2516.48</v>
      </c>
      <c r="T83" s="72">
        <f t="shared" si="23"/>
        <v>2553.6799999999998</v>
      </c>
      <c r="U83" s="72">
        <f t="shared" si="23"/>
        <v>2631.08</v>
      </c>
      <c r="V83" s="72">
        <f t="shared" si="23"/>
        <v>2764.88</v>
      </c>
      <c r="W83" s="72">
        <f t="shared" si="23"/>
        <v>2961.6800000000003</v>
      </c>
      <c r="X83" s="72">
        <f t="shared" si="23"/>
        <v>3220.4799999999996</v>
      </c>
      <c r="Y83" s="72">
        <f t="shared" si="23"/>
        <v>3206.28</v>
      </c>
      <c r="Z83" s="72">
        <f t="shared" si="23"/>
        <v>3154.08</v>
      </c>
      <c r="AA83" s="72">
        <f t="shared" si="23"/>
        <v>3110.2799999999997</v>
      </c>
      <c r="AB83" s="72">
        <f t="shared" si="23"/>
        <v>2968.08</v>
      </c>
      <c r="AC83" s="72">
        <f t="shared" si="23"/>
        <v>2829.88</v>
      </c>
      <c r="AD83" s="72">
        <f t="shared" si="23"/>
        <v>2600.2799999999997</v>
      </c>
      <c r="AE83" s="72">
        <f t="shared" si="23"/>
        <v>2232.2799999999997</v>
      </c>
      <c r="AF83" s="72">
        <f t="shared" si="23"/>
        <v>1986.28</v>
      </c>
      <c r="AG83" s="78">
        <f t="shared" si="23"/>
        <v>4360.08</v>
      </c>
      <c r="AH83" s="54">
        <f t="shared" si="16"/>
        <v>3220.4799999999996</v>
      </c>
      <c r="AI83" s="55">
        <f t="shared" si="17"/>
        <v>1701.08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50.13</v>
      </c>
      <c r="C84" s="95">
        <v>4.99</v>
      </c>
      <c r="D84" s="95">
        <v>50</v>
      </c>
      <c r="E84" s="95">
        <v>50.011000000000003</v>
      </c>
      <c r="F84" s="95">
        <v>49.927999999999997</v>
      </c>
      <c r="G84" s="95">
        <v>49.963000000000001</v>
      </c>
      <c r="H84" s="95">
        <v>50.03</v>
      </c>
      <c r="I84" s="95">
        <v>50.3</v>
      </c>
      <c r="J84" s="95">
        <v>49.938000000000002</v>
      </c>
      <c r="K84" s="95">
        <v>50</v>
      </c>
      <c r="L84" s="95">
        <v>49.91</v>
      </c>
      <c r="M84" s="95">
        <v>49.91</v>
      </c>
      <c r="N84" s="95">
        <v>49.994999999999997</v>
      </c>
      <c r="O84" s="95">
        <v>50.063000000000002</v>
      </c>
      <c r="P84" s="95">
        <v>50.07</v>
      </c>
      <c r="Q84" s="95">
        <v>50.051000000000002</v>
      </c>
      <c r="R84" s="95">
        <v>49.991</v>
      </c>
      <c r="S84" s="95">
        <v>50.03</v>
      </c>
      <c r="T84" s="95">
        <v>49.942999999999998</v>
      </c>
      <c r="U84" s="95">
        <v>49.954999999999998</v>
      </c>
      <c r="V84" s="95">
        <v>49.985999999999997</v>
      </c>
      <c r="W84" s="95">
        <v>50.064</v>
      </c>
      <c r="X84" s="95">
        <v>49.843000000000004</v>
      </c>
      <c r="Y84" s="95">
        <v>49.899000000000001</v>
      </c>
      <c r="Z84" s="95">
        <v>49.930999999999997</v>
      </c>
      <c r="AA84" s="95">
        <v>49.969000000000001</v>
      </c>
      <c r="AB84" s="95">
        <v>50.076000000000001</v>
      </c>
      <c r="AC84" s="95">
        <v>50.033999999999999</v>
      </c>
      <c r="AD84" s="95">
        <v>49.942999999999998</v>
      </c>
      <c r="AE84" s="95">
        <v>49.96</v>
      </c>
      <c r="AF84" s="95">
        <v>50.024999999999999</v>
      </c>
      <c r="AG84" s="96"/>
      <c r="AH84" s="54">
        <f t="shared" si="16"/>
        <v>50.3</v>
      </c>
      <c r="AI84" s="55">
        <f t="shared" si="17"/>
        <v>4.99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128.19999999999999</v>
      </c>
      <c r="C85" s="172">
        <v>127.6</v>
      </c>
      <c r="D85" s="172">
        <v>127.6</v>
      </c>
      <c r="E85" s="172">
        <v>127.6</v>
      </c>
      <c r="F85" s="172">
        <v>127.6</v>
      </c>
      <c r="G85" s="73">
        <v>128</v>
      </c>
      <c r="H85" s="73">
        <v>128</v>
      </c>
      <c r="I85" s="73">
        <v>124</v>
      </c>
      <c r="J85" s="73">
        <v>123</v>
      </c>
      <c r="K85" s="73">
        <v>124</v>
      </c>
      <c r="L85" s="73">
        <v>124</v>
      </c>
      <c r="M85" s="73">
        <v>124</v>
      </c>
      <c r="N85" s="73">
        <v>123.2</v>
      </c>
      <c r="O85" s="73">
        <v>122.3</v>
      </c>
      <c r="P85" s="73">
        <v>124.2</v>
      </c>
      <c r="Q85" s="73">
        <v>124.2</v>
      </c>
      <c r="R85" s="73">
        <v>124</v>
      </c>
      <c r="S85" s="73">
        <v>123</v>
      </c>
      <c r="T85" s="73">
        <v>122.1</v>
      </c>
      <c r="U85" s="98">
        <v>122.3</v>
      </c>
      <c r="V85" s="98">
        <v>123.7</v>
      </c>
      <c r="W85" s="98">
        <v>121.7</v>
      </c>
      <c r="X85" s="98">
        <v>122.4</v>
      </c>
      <c r="Y85" s="98">
        <v>122.4</v>
      </c>
      <c r="Z85" s="98">
        <v>122.8</v>
      </c>
      <c r="AA85" s="98">
        <v>123.4</v>
      </c>
      <c r="AB85" s="73">
        <v>125.4</v>
      </c>
      <c r="AC85" s="73">
        <v>125.7</v>
      </c>
      <c r="AD85" s="73">
        <v>125.6</v>
      </c>
      <c r="AE85" s="73">
        <v>126.1</v>
      </c>
      <c r="AF85" s="73">
        <v>125.5</v>
      </c>
      <c r="AG85" s="99"/>
      <c r="AH85" s="54">
        <f t="shared" si="16"/>
        <v>128.19999999999999</v>
      </c>
      <c r="AI85" s="55">
        <f t="shared" si="17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131.9</v>
      </c>
      <c r="C86" s="172">
        <v>131.5</v>
      </c>
      <c r="D86" s="172">
        <v>131.5</v>
      </c>
      <c r="E86" s="172">
        <v>131.5</v>
      </c>
      <c r="F86" s="172">
        <v>131.5</v>
      </c>
      <c r="G86" s="73">
        <v>131</v>
      </c>
      <c r="H86" s="73">
        <v>131</v>
      </c>
      <c r="I86" s="73">
        <v>128</v>
      </c>
      <c r="J86" s="73">
        <v>127</v>
      </c>
      <c r="K86" s="73">
        <v>126</v>
      </c>
      <c r="L86" s="73">
        <v>126</v>
      </c>
      <c r="M86" s="73">
        <v>126</v>
      </c>
      <c r="N86" s="73">
        <v>125.4</v>
      </c>
      <c r="O86" s="73">
        <v>124.4</v>
      </c>
      <c r="P86" s="73">
        <v>125.8</v>
      </c>
      <c r="Q86" s="73">
        <v>125.8</v>
      </c>
      <c r="R86" s="73">
        <v>126</v>
      </c>
      <c r="S86" s="73">
        <v>126</v>
      </c>
      <c r="T86" s="73">
        <v>124.8</v>
      </c>
      <c r="U86" s="98">
        <v>124.5</v>
      </c>
      <c r="V86" s="98">
        <v>125.6</v>
      </c>
      <c r="W86" s="98">
        <v>122.7</v>
      </c>
      <c r="X86" s="98">
        <v>123</v>
      </c>
      <c r="Y86" s="98">
        <v>123.2</v>
      </c>
      <c r="Z86" s="98">
        <v>123.7</v>
      </c>
      <c r="AA86" s="98">
        <v>124.3</v>
      </c>
      <c r="AB86" s="73">
        <v>126.2</v>
      </c>
      <c r="AC86" s="73">
        <v>126.7</v>
      </c>
      <c r="AD86" s="73">
        <v>126.5</v>
      </c>
      <c r="AE86" s="73">
        <v>128.80000000000001</v>
      </c>
      <c r="AF86" s="73">
        <v>129.1</v>
      </c>
      <c r="AG86" s="99"/>
      <c r="AH86" s="54">
        <f t="shared" si="16"/>
        <v>131.9</v>
      </c>
      <c r="AI86" s="55">
        <f t="shared" si="17"/>
        <v>122.7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131.1</v>
      </c>
      <c r="C87" s="172">
        <v>128.9</v>
      </c>
      <c r="D87" s="172">
        <v>128.9</v>
      </c>
      <c r="E87" s="172">
        <v>128.9</v>
      </c>
      <c r="F87" s="172">
        <v>132</v>
      </c>
      <c r="G87" s="73">
        <v>131</v>
      </c>
      <c r="H87" s="73">
        <v>131</v>
      </c>
      <c r="I87" s="73">
        <v>129</v>
      </c>
      <c r="J87" s="73">
        <v>128</v>
      </c>
      <c r="K87" s="73">
        <v>128</v>
      </c>
      <c r="L87" s="73">
        <v>128</v>
      </c>
      <c r="M87" s="73">
        <v>128</v>
      </c>
      <c r="N87" s="73">
        <v>127.8</v>
      </c>
      <c r="O87" s="73">
        <v>128.9</v>
      </c>
      <c r="P87" s="73">
        <v>128.19999999999999</v>
      </c>
      <c r="Q87" s="73">
        <v>128.19999999999999</v>
      </c>
      <c r="R87" s="73">
        <v>130.5</v>
      </c>
      <c r="S87" s="73">
        <v>129</v>
      </c>
      <c r="T87" s="73">
        <v>130.1</v>
      </c>
      <c r="U87" s="73">
        <v>130</v>
      </c>
      <c r="V87" s="73">
        <v>128.9</v>
      </c>
      <c r="W87" s="73">
        <v>126.3</v>
      </c>
      <c r="X87" s="98">
        <v>129</v>
      </c>
      <c r="Y87" s="98">
        <v>128.19999999999999</v>
      </c>
      <c r="Z87" s="98">
        <v>130.5</v>
      </c>
      <c r="AA87" s="98">
        <v>131.4</v>
      </c>
      <c r="AB87" s="73">
        <v>129.80000000000001</v>
      </c>
      <c r="AC87" s="73">
        <v>130.5</v>
      </c>
      <c r="AD87" s="73">
        <v>130.69999999999999</v>
      </c>
      <c r="AE87" s="73">
        <v>129.19999999999999</v>
      </c>
      <c r="AF87" s="73">
        <v>128.5</v>
      </c>
      <c r="AG87" s="99"/>
      <c r="AH87" s="54">
        <f t="shared" si="16"/>
        <v>132</v>
      </c>
      <c r="AI87" s="55">
        <f t="shared" si="17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133.9</v>
      </c>
      <c r="C88" s="172">
        <v>132.19999999999999</v>
      </c>
      <c r="D88" s="172">
        <v>132.19999999999999</v>
      </c>
      <c r="E88" s="172">
        <v>132.19999999999999</v>
      </c>
      <c r="F88" s="172">
        <v>132.5</v>
      </c>
      <c r="G88" s="73">
        <v>133</v>
      </c>
      <c r="H88" s="73">
        <v>133</v>
      </c>
      <c r="I88" s="73">
        <v>131</v>
      </c>
      <c r="J88" s="73">
        <v>129.5</v>
      </c>
      <c r="K88" s="73">
        <v>131</v>
      </c>
      <c r="L88" s="73">
        <v>131</v>
      </c>
      <c r="M88" s="73">
        <v>131</v>
      </c>
      <c r="N88" s="73">
        <v>130.1</v>
      </c>
      <c r="O88" s="73">
        <v>131.6</v>
      </c>
      <c r="P88" s="73">
        <v>131.9</v>
      </c>
      <c r="Q88" s="73">
        <v>131.9</v>
      </c>
      <c r="R88" s="73">
        <v>134</v>
      </c>
      <c r="S88" s="73">
        <v>132</v>
      </c>
      <c r="T88" s="73">
        <v>133.5</v>
      </c>
      <c r="U88" s="73">
        <v>133.19999999999999</v>
      </c>
      <c r="V88" s="73">
        <v>132.30000000000001</v>
      </c>
      <c r="W88" s="73">
        <v>130.4</v>
      </c>
      <c r="X88" s="98">
        <v>134</v>
      </c>
      <c r="Y88" s="98">
        <v>131.9</v>
      </c>
      <c r="Z88" s="98">
        <v>134.69999999999999</v>
      </c>
      <c r="AA88" s="98">
        <v>135.69999999999999</v>
      </c>
      <c r="AB88" s="73">
        <v>133.80000000000001</v>
      </c>
      <c r="AC88" s="73">
        <v>135.19999999999999</v>
      </c>
      <c r="AD88" s="73">
        <v>134.19999999999999</v>
      </c>
      <c r="AE88" s="73">
        <v>133.30000000000001</v>
      </c>
      <c r="AF88" s="73">
        <v>132.80000000000001</v>
      </c>
      <c r="AG88" s="99"/>
      <c r="AH88" s="54">
        <f t="shared" si="16"/>
        <v>135.69999999999999</v>
      </c>
      <c r="AI88" s="55">
        <f t="shared" si="17"/>
        <v>129.5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130.9</v>
      </c>
      <c r="C89" s="173">
        <v>130.69999999999999</v>
      </c>
      <c r="D89" s="173">
        <v>130.69999999999999</v>
      </c>
      <c r="E89" s="173">
        <v>130.69999999999999</v>
      </c>
      <c r="F89" s="173">
        <v>129.6</v>
      </c>
      <c r="G89" s="101">
        <v>134</v>
      </c>
      <c r="H89" s="101">
        <v>134</v>
      </c>
      <c r="I89" s="101">
        <v>135</v>
      </c>
      <c r="J89" s="101">
        <v>134.6</v>
      </c>
      <c r="K89" s="101">
        <v>134</v>
      </c>
      <c r="L89" s="101">
        <v>134</v>
      </c>
      <c r="M89" s="101">
        <v>134</v>
      </c>
      <c r="N89" s="101">
        <v>132.6</v>
      </c>
      <c r="O89" s="101">
        <v>133.5</v>
      </c>
      <c r="P89" s="101">
        <v>133.19999999999999</v>
      </c>
      <c r="Q89" s="101">
        <v>132</v>
      </c>
      <c r="R89" s="101">
        <v>132.69999999999999</v>
      </c>
      <c r="S89" s="101">
        <v>134.6</v>
      </c>
      <c r="T89" s="101">
        <v>133.80000000000001</v>
      </c>
      <c r="U89" s="101">
        <v>134.5</v>
      </c>
      <c r="V89" s="101">
        <v>134.80000000000001</v>
      </c>
      <c r="W89" s="101">
        <v>133.30000000000001</v>
      </c>
      <c r="X89" s="98">
        <v>133.1</v>
      </c>
      <c r="Y89" s="98">
        <v>132.9</v>
      </c>
      <c r="Z89" s="98">
        <v>134.9</v>
      </c>
      <c r="AA89" s="98">
        <v>135</v>
      </c>
      <c r="AB89" s="101">
        <v>135.1</v>
      </c>
      <c r="AC89" s="101">
        <v>133.5</v>
      </c>
      <c r="AD89" s="101">
        <v>131.1</v>
      </c>
      <c r="AE89" s="101">
        <v>134</v>
      </c>
      <c r="AF89" s="101">
        <v>130.5</v>
      </c>
      <c r="AG89" s="102"/>
      <c r="AH89" s="54">
        <f t="shared" si="16"/>
        <v>135.1</v>
      </c>
      <c r="AI89" s="55">
        <f t="shared" si="17"/>
        <v>129.6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136.69999999999999</v>
      </c>
      <c r="C90" s="172">
        <v>137</v>
      </c>
      <c r="D90" s="172">
        <v>137</v>
      </c>
      <c r="E90" s="172">
        <v>137</v>
      </c>
      <c r="F90" s="172">
        <v>137</v>
      </c>
      <c r="G90" s="73">
        <v>134</v>
      </c>
      <c r="H90" s="73">
        <v>134</v>
      </c>
      <c r="I90" s="73">
        <v>134</v>
      </c>
      <c r="J90" s="73">
        <v>129</v>
      </c>
      <c r="K90" s="73">
        <v>127</v>
      </c>
      <c r="L90" s="73">
        <v>127</v>
      </c>
      <c r="M90" s="73">
        <v>127</v>
      </c>
      <c r="N90" s="73">
        <v>133</v>
      </c>
      <c r="O90" s="73">
        <v>133.6</v>
      </c>
      <c r="P90" s="73">
        <v>134.9</v>
      </c>
      <c r="Q90" s="73">
        <v>134.9</v>
      </c>
      <c r="R90" s="73">
        <v>137.5</v>
      </c>
      <c r="S90" s="73">
        <v>135</v>
      </c>
      <c r="T90" s="73">
        <v>133.5</v>
      </c>
      <c r="U90" s="73">
        <v>133.30000000000001</v>
      </c>
      <c r="V90" s="73">
        <v>129.69999999999999</v>
      </c>
      <c r="W90" s="73">
        <v>130.80000000000001</v>
      </c>
      <c r="X90" s="98">
        <v>131</v>
      </c>
      <c r="Y90" s="98">
        <v>133.5</v>
      </c>
      <c r="Z90" s="98">
        <v>135.5</v>
      </c>
      <c r="AA90" s="98">
        <v>132</v>
      </c>
      <c r="AB90" s="73">
        <v>132.19999999999999</v>
      </c>
      <c r="AC90" s="73">
        <v>133.30000000000001</v>
      </c>
      <c r="AD90" s="73">
        <v>135.1</v>
      </c>
      <c r="AE90" s="73">
        <v>135.6</v>
      </c>
      <c r="AF90" s="73">
        <v>135.6</v>
      </c>
      <c r="AG90" s="99"/>
      <c r="AH90" s="54">
        <f t="shared" si="16"/>
        <v>137.5</v>
      </c>
      <c r="AI90" s="55">
        <f t="shared" si="17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</v>
      </c>
      <c r="C91" s="174">
        <v>67</v>
      </c>
      <c r="D91" s="174">
        <v>67</v>
      </c>
      <c r="E91" s="174">
        <v>67</v>
      </c>
      <c r="F91" s="174">
        <v>66.8</v>
      </c>
      <c r="G91" s="103">
        <v>66.7</v>
      </c>
      <c r="H91" s="103">
        <v>66</v>
      </c>
      <c r="I91" s="103">
        <v>65</v>
      </c>
      <c r="J91" s="103">
        <v>64</v>
      </c>
      <c r="K91" s="103">
        <v>64</v>
      </c>
      <c r="L91" s="103">
        <v>64</v>
      </c>
      <c r="M91" s="103">
        <v>64</v>
      </c>
      <c r="N91" s="103">
        <v>63.7</v>
      </c>
      <c r="O91" s="103">
        <v>63.1</v>
      </c>
      <c r="P91" s="103">
        <v>63.3</v>
      </c>
      <c r="Q91" s="103">
        <v>63.7</v>
      </c>
      <c r="R91" s="103">
        <v>63.5</v>
      </c>
      <c r="S91" s="103">
        <v>63.6</v>
      </c>
      <c r="T91" s="103">
        <v>62.9</v>
      </c>
      <c r="U91" s="103">
        <v>62.6</v>
      </c>
      <c r="V91" s="103">
        <v>63.1</v>
      </c>
      <c r="W91" s="103">
        <v>61.5</v>
      </c>
      <c r="X91" s="103">
        <v>61.8</v>
      </c>
      <c r="Y91" s="103">
        <v>61.9</v>
      </c>
      <c r="Z91" s="103">
        <v>62.2</v>
      </c>
      <c r="AA91" s="103">
        <v>62.7</v>
      </c>
      <c r="AB91" s="103">
        <v>63.6</v>
      </c>
      <c r="AC91" s="103">
        <v>64</v>
      </c>
      <c r="AD91" s="103">
        <v>63.6</v>
      </c>
      <c r="AE91" s="103">
        <v>64.400000000000006</v>
      </c>
      <c r="AF91" s="103">
        <v>65.099999999999994</v>
      </c>
      <c r="AG91" s="104"/>
      <c r="AH91" s="54">
        <f t="shared" si="16"/>
        <v>67</v>
      </c>
      <c r="AI91" s="55">
        <f t="shared" si="17"/>
        <v>61.5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193.33999999999997</v>
      </c>
      <c r="C93" s="110">
        <f>SUM(C15,C18,C21:C22,C42,C44:C45,C47,C49,C94:C97,C102,C108,C114,C123,C125,C137,C144,C147:C148,C155,C157,C159,C163:C165,C167:C169,C174,C180:C181,C183:C185,C193,C198)</f>
        <v>177.53999999999996</v>
      </c>
      <c r="D93" s="110">
        <f t="shared" ref="D93:AF93" si="24">SUM(D15,D18,D21:D22,D42,D44:D45,D47,D49,D94:D97,D102,D108,D114,D123,D125,D137,D144,D147:D148,D155,D157,D159,D163:D165,D167:D169,D174,D180:D181,D183:D185,D193,D198)</f>
        <v>175.33999999999997</v>
      </c>
      <c r="E93" s="110">
        <f t="shared" si="24"/>
        <v>176.83999999999997</v>
      </c>
      <c r="F93" s="110">
        <f t="shared" si="24"/>
        <v>183.43999999999997</v>
      </c>
      <c r="G93" s="109">
        <f t="shared" si="24"/>
        <v>209.03999999999996</v>
      </c>
      <c r="H93" s="109">
        <f t="shared" si="24"/>
        <v>239.14</v>
      </c>
      <c r="I93" s="109">
        <f t="shared" si="24"/>
        <v>275.34000000000003</v>
      </c>
      <c r="J93" s="109">
        <f t="shared" si="24"/>
        <v>323.84000000000003</v>
      </c>
      <c r="K93" s="109">
        <f t="shared" si="24"/>
        <v>377.84000000000003</v>
      </c>
      <c r="L93" s="109">
        <f t="shared" si="24"/>
        <v>443.24</v>
      </c>
      <c r="M93" s="109">
        <f t="shared" si="24"/>
        <v>444.44000000000005</v>
      </c>
      <c r="N93" s="109">
        <f t="shared" si="24"/>
        <v>428.44000000000005</v>
      </c>
      <c r="O93" s="109">
        <f t="shared" si="24"/>
        <v>418.44000000000005</v>
      </c>
      <c r="P93" s="109">
        <f t="shared" si="24"/>
        <v>398.84000000000003</v>
      </c>
      <c r="Q93" s="109">
        <f t="shared" si="24"/>
        <v>367.84000000000003</v>
      </c>
      <c r="R93" s="109">
        <f t="shared" si="24"/>
        <v>355.94000000000005</v>
      </c>
      <c r="S93" s="109">
        <f t="shared" si="24"/>
        <v>355.47</v>
      </c>
      <c r="T93" s="109">
        <f t="shared" si="24"/>
        <v>370.74</v>
      </c>
      <c r="U93" s="109">
        <f t="shared" si="24"/>
        <v>389.54</v>
      </c>
      <c r="V93" s="109">
        <f t="shared" si="24"/>
        <v>414.34</v>
      </c>
      <c r="W93" s="109">
        <f t="shared" si="24"/>
        <v>456.34000000000003</v>
      </c>
      <c r="X93" s="109">
        <v>519.09708333333333</v>
      </c>
      <c r="Y93" s="109">
        <f t="shared" si="24"/>
        <v>509.04000000000008</v>
      </c>
      <c r="Z93" s="109">
        <f t="shared" si="24"/>
        <v>502.84000000000003</v>
      </c>
      <c r="AA93" s="109">
        <f t="shared" si="24"/>
        <v>497.53999999999996</v>
      </c>
      <c r="AB93" s="109">
        <f t="shared" si="24"/>
        <v>480.44000000000005</v>
      </c>
      <c r="AC93" s="109">
        <f t="shared" si="24"/>
        <v>455.14</v>
      </c>
      <c r="AD93" s="109">
        <f t="shared" si="24"/>
        <v>411.74000000000007</v>
      </c>
      <c r="AE93" s="109">
        <f t="shared" si="24"/>
        <v>320.74</v>
      </c>
      <c r="AF93" s="109">
        <f t="shared" si="24"/>
        <v>242.13999999999996</v>
      </c>
      <c r="AG93" s="111"/>
      <c r="AH93" s="54">
        <f>MAX(C93:AF93)</f>
        <v>519.09708333333333</v>
      </c>
      <c r="AI93" s="55">
        <f>MIN(C93:AF93)</f>
        <v>175.33999999999997</v>
      </c>
    </row>
    <row r="94" spans="1:88" x14ac:dyDescent="0.25">
      <c r="A94" s="112" t="s">
        <v>98</v>
      </c>
      <c r="B94" s="175">
        <v>18.899999999999999</v>
      </c>
      <c r="C94" s="58">
        <v>18.5</v>
      </c>
      <c r="D94" s="58">
        <v>8</v>
      </c>
      <c r="E94" s="58">
        <v>5.0999999999999996</v>
      </c>
      <c r="F94" s="58">
        <v>-2.5</v>
      </c>
      <c r="G94" s="114">
        <v>5.5</v>
      </c>
      <c r="H94" s="114">
        <v>14.4</v>
      </c>
      <c r="I94" s="114">
        <v>34.200000000000003</v>
      </c>
      <c r="J94" s="114">
        <v>53.3</v>
      </c>
      <c r="K94" s="114">
        <v>45</v>
      </c>
      <c r="L94" s="114">
        <v>51.8</v>
      </c>
      <c r="M94" s="113">
        <v>60</v>
      </c>
      <c r="N94" s="114">
        <v>69</v>
      </c>
      <c r="O94" s="114">
        <v>69</v>
      </c>
      <c r="P94" s="114">
        <v>61.5</v>
      </c>
      <c r="Q94" s="114">
        <v>46.7</v>
      </c>
      <c r="R94" s="114">
        <v>48</v>
      </c>
      <c r="S94" s="114">
        <v>50.03</v>
      </c>
      <c r="T94" s="114">
        <v>43.3</v>
      </c>
      <c r="U94" s="113">
        <v>46.3</v>
      </c>
      <c r="V94" s="113">
        <v>81.8</v>
      </c>
      <c r="W94" s="113">
        <v>76.7</v>
      </c>
      <c r="X94" s="114">
        <v>61.8</v>
      </c>
      <c r="Y94" s="114">
        <v>59.9</v>
      </c>
      <c r="Z94" s="114">
        <v>67.599999999999994</v>
      </c>
      <c r="AA94" s="114">
        <v>70.8</v>
      </c>
      <c r="AB94" s="113">
        <v>63.4</v>
      </c>
      <c r="AC94" s="113">
        <v>67</v>
      </c>
      <c r="AD94" s="113">
        <v>45.8</v>
      </c>
      <c r="AE94" s="113">
        <v>27.5</v>
      </c>
      <c r="AF94" s="113">
        <v>13.4</v>
      </c>
      <c r="AG94" s="115">
        <v>75</v>
      </c>
      <c r="AH94" s="54">
        <f t="shared" ref="AH94:AH99" si="25">IF(ABS(MAX(C94:AF94))&gt;ABS(MIN(C94:AF94)),MAX(C94:AF94),MIN(C94:AF94))</f>
        <v>81.8</v>
      </c>
      <c r="AI94" s="116">
        <f t="shared" ref="AI94:AI99" si="26">INDEX($C$9:$AF$9,1,MATCH(AH94,C94:AF94,0))</f>
        <v>0.70833333333333304</v>
      </c>
    </row>
    <row r="95" spans="1:88" x14ac:dyDescent="0.25">
      <c r="A95" s="117" t="s">
        <v>99</v>
      </c>
      <c r="B95" s="176">
        <f>-24.8-27.1</f>
        <v>-51.900000000000006</v>
      </c>
      <c r="C95" s="60">
        <f>-28.6-31.3</f>
        <v>-59.900000000000006</v>
      </c>
      <c r="D95" s="60">
        <v>-55</v>
      </c>
      <c r="E95" s="60">
        <v>-54</v>
      </c>
      <c r="F95" s="60">
        <v>-53.2</v>
      </c>
      <c r="G95" s="60">
        <v>-42</v>
      </c>
      <c r="H95" s="60">
        <v>-34</v>
      </c>
      <c r="I95" s="60">
        <v>-27</v>
      </c>
      <c r="J95" s="60">
        <v>-15</v>
      </c>
      <c r="K95" s="60">
        <v>20</v>
      </c>
      <c r="L95" s="60">
        <v>42</v>
      </c>
      <c r="M95" s="60">
        <v>35</v>
      </c>
      <c r="N95" s="60">
        <v>24</v>
      </c>
      <c r="O95" s="60">
        <v>21</v>
      </c>
      <c r="P95" s="60">
        <v>12</v>
      </c>
      <c r="Q95" s="60">
        <v>7.4</v>
      </c>
      <c r="R95" s="60">
        <v>-1.5</v>
      </c>
      <c r="S95" s="60">
        <v>-5</v>
      </c>
      <c r="T95" s="60">
        <v>7</v>
      </c>
      <c r="U95" s="60">
        <f>6+3.8</f>
        <v>9.8000000000000007</v>
      </c>
      <c r="V95" s="60">
        <v>-3.4</v>
      </c>
      <c r="W95" s="60">
        <f>26+22</f>
        <v>48</v>
      </c>
      <c r="X95" s="60">
        <v>85.4</v>
      </c>
      <c r="Y95" s="60">
        <v>90</v>
      </c>
      <c r="Z95" s="60">
        <f>41+38</f>
        <v>79</v>
      </c>
      <c r="AA95" s="60">
        <f>37+36</f>
        <v>73</v>
      </c>
      <c r="AB95" s="73">
        <v>70.900000000000006</v>
      </c>
      <c r="AC95" s="73">
        <v>60.9</v>
      </c>
      <c r="AD95" s="73">
        <v>64.3</v>
      </c>
      <c r="AE95" s="73">
        <v>-15.2</v>
      </c>
      <c r="AF95" s="73">
        <v>-54.9</v>
      </c>
      <c r="AG95" s="115">
        <v>240</v>
      </c>
      <c r="AH95" s="54">
        <f t="shared" si="25"/>
        <v>90</v>
      </c>
      <c r="AI95" s="116">
        <f t="shared" si="26"/>
        <v>0.77083333333333337</v>
      </c>
    </row>
    <row r="96" spans="1:88" x14ac:dyDescent="0.25">
      <c r="A96" s="117" t="s">
        <v>100</v>
      </c>
      <c r="B96" s="176">
        <v>0</v>
      </c>
      <c r="C96" s="60">
        <v>-6.4</v>
      </c>
      <c r="D96" s="60">
        <v>-5</v>
      </c>
      <c r="E96" s="60">
        <v>-3.6</v>
      </c>
      <c r="F96" s="60">
        <v>-1.1000000000000001</v>
      </c>
      <c r="G96" s="60">
        <v>-2</v>
      </c>
      <c r="H96" s="60">
        <v>2.4</v>
      </c>
      <c r="I96" s="60">
        <v>4.8</v>
      </c>
      <c r="J96" s="60">
        <v>5.2</v>
      </c>
      <c r="K96" s="60">
        <v>20</v>
      </c>
      <c r="L96" s="60">
        <v>49</v>
      </c>
      <c r="M96" s="60">
        <v>47</v>
      </c>
      <c r="N96" s="60">
        <v>46</v>
      </c>
      <c r="O96" s="60">
        <v>51</v>
      </c>
      <c r="P96" s="60">
        <v>40.6</v>
      </c>
      <c r="Q96" s="60">
        <v>24.4</v>
      </c>
      <c r="R96" s="60">
        <v>24</v>
      </c>
      <c r="S96" s="60">
        <v>20</v>
      </c>
      <c r="T96" s="60">
        <v>23.4</v>
      </c>
      <c r="U96" s="60">
        <v>31.6</v>
      </c>
      <c r="V96" s="60">
        <v>57.3</v>
      </c>
      <c r="W96" s="60">
        <v>61.3</v>
      </c>
      <c r="X96" s="60">
        <v>64.5</v>
      </c>
      <c r="Y96" s="60">
        <v>65.900000000000006</v>
      </c>
      <c r="Z96" s="60">
        <v>65.599999999999994</v>
      </c>
      <c r="AA96" s="60">
        <v>65.5</v>
      </c>
      <c r="AB96" s="73">
        <v>65.8</v>
      </c>
      <c r="AC96" s="73">
        <v>55.3</v>
      </c>
      <c r="AD96" s="73">
        <v>45.8</v>
      </c>
      <c r="AE96" s="73">
        <v>31.7</v>
      </c>
      <c r="AF96" s="73">
        <v>30.7</v>
      </c>
      <c r="AG96" s="115">
        <v>60</v>
      </c>
      <c r="AH96" s="54">
        <f t="shared" si="25"/>
        <v>65.900000000000006</v>
      </c>
      <c r="AI96" s="116">
        <f t="shared" si="26"/>
        <v>0.77083333333333337</v>
      </c>
    </row>
    <row r="97" spans="1:37" x14ac:dyDescent="0.25">
      <c r="A97" s="118" t="s">
        <v>101</v>
      </c>
      <c r="B97" s="177">
        <v>38.200000000000003</v>
      </c>
      <c r="C97" s="63">
        <v>37</v>
      </c>
      <c r="D97" s="63">
        <v>39</v>
      </c>
      <c r="E97" s="63">
        <v>41</v>
      </c>
      <c r="F97" s="63">
        <v>51.9</v>
      </c>
      <c r="G97" s="63">
        <v>59.6</v>
      </c>
      <c r="H97" s="63">
        <v>68.400000000000006</v>
      </c>
      <c r="I97" s="63">
        <v>75.400000000000006</v>
      </c>
      <c r="J97" s="63">
        <v>87.5</v>
      </c>
      <c r="K97" s="63">
        <v>100</v>
      </c>
      <c r="L97" s="63">
        <v>108</v>
      </c>
      <c r="M97" s="63">
        <v>110</v>
      </c>
      <c r="N97" s="63">
        <v>97</v>
      </c>
      <c r="O97" s="63">
        <v>85</v>
      </c>
      <c r="P97" s="63">
        <v>92.3</v>
      </c>
      <c r="Q97" s="63">
        <v>96.9</v>
      </c>
      <c r="R97" s="63">
        <v>93</v>
      </c>
      <c r="S97" s="63">
        <v>98</v>
      </c>
      <c r="T97" s="63">
        <v>104.6</v>
      </c>
      <c r="U97" s="63">
        <v>109.2</v>
      </c>
      <c r="V97" s="63">
        <v>86</v>
      </c>
      <c r="W97" s="63">
        <v>77.7</v>
      </c>
      <c r="X97" s="63">
        <v>95.6</v>
      </c>
      <c r="Y97" s="63">
        <v>98.6</v>
      </c>
      <c r="Z97" s="63">
        <v>96</v>
      </c>
      <c r="AA97" s="63">
        <v>93.6</v>
      </c>
      <c r="AB97" s="119">
        <v>91.6</v>
      </c>
      <c r="AC97" s="119">
        <v>83.6</v>
      </c>
      <c r="AD97" s="119">
        <v>67.3</v>
      </c>
      <c r="AE97" s="119">
        <v>88.4</v>
      </c>
      <c r="AF97" s="119">
        <v>64.099999999999994</v>
      </c>
      <c r="AG97" s="120">
        <v>120</v>
      </c>
      <c r="AH97" s="54">
        <f t="shared" si="25"/>
        <v>110</v>
      </c>
      <c r="AI97" s="116">
        <f t="shared" si="26"/>
        <v>0.33333333333333331</v>
      </c>
    </row>
    <row r="98" spans="1:37" x14ac:dyDescent="0.25">
      <c r="A98" s="118" t="s">
        <v>102</v>
      </c>
      <c r="B98" s="177">
        <v>47.7</v>
      </c>
      <c r="C98" s="63">
        <v>47.1</v>
      </c>
      <c r="D98" s="63">
        <v>46</v>
      </c>
      <c r="E98" s="63">
        <v>45.7</v>
      </c>
      <c r="F98" s="63">
        <v>61.2</v>
      </c>
      <c r="G98" s="63">
        <v>62.5</v>
      </c>
      <c r="H98" s="63">
        <v>71</v>
      </c>
      <c r="I98" s="63">
        <v>72</v>
      </c>
      <c r="J98" s="63">
        <v>78.400000000000006</v>
      </c>
      <c r="K98" s="63">
        <v>104</v>
      </c>
      <c r="L98" s="63">
        <v>101</v>
      </c>
      <c r="M98" s="63">
        <v>98</v>
      </c>
      <c r="N98" s="63">
        <v>89</v>
      </c>
      <c r="O98" s="63">
        <v>92</v>
      </c>
      <c r="P98" s="63">
        <v>87.2</v>
      </c>
      <c r="Q98" s="63">
        <v>92</v>
      </c>
      <c r="R98" s="63">
        <v>93</v>
      </c>
      <c r="S98" s="63">
        <v>97</v>
      </c>
      <c r="T98" s="63">
        <v>102</v>
      </c>
      <c r="U98" s="63">
        <v>104.7</v>
      </c>
      <c r="V98" s="63">
        <v>66.099999999999994</v>
      </c>
      <c r="W98" s="63">
        <v>98.8</v>
      </c>
      <c r="X98" s="63">
        <v>96.7</v>
      </c>
      <c r="Y98" s="63">
        <v>98.9</v>
      </c>
      <c r="Z98" s="63">
        <v>90.9</v>
      </c>
      <c r="AA98" s="63">
        <v>85</v>
      </c>
      <c r="AB98" s="119">
        <v>81.8</v>
      </c>
      <c r="AC98" s="119">
        <v>66.7</v>
      </c>
      <c r="AD98" s="119">
        <v>88.7</v>
      </c>
      <c r="AE98" s="119">
        <v>86.6</v>
      </c>
      <c r="AF98" s="119">
        <v>75.2</v>
      </c>
      <c r="AG98" s="120"/>
      <c r="AH98" s="54">
        <f t="shared" si="25"/>
        <v>104.7</v>
      </c>
      <c r="AI98" s="116">
        <f t="shared" si="26"/>
        <v>0.66666666666666696</v>
      </c>
    </row>
    <row r="99" spans="1:37" ht="15.75" thickBot="1" x14ac:dyDescent="0.3">
      <c r="A99" s="118" t="s">
        <v>217</v>
      </c>
      <c r="B99" s="177">
        <v>60.1</v>
      </c>
      <c r="C99" s="63">
        <v>58.6</v>
      </c>
      <c r="D99" s="63">
        <v>47</v>
      </c>
      <c r="E99" s="63">
        <v>63</v>
      </c>
      <c r="F99" s="63">
        <v>62.2</v>
      </c>
      <c r="G99" s="63">
        <v>46.8</v>
      </c>
      <c r="H99" s="63">
        <v>59.6</v>
      </c>
      <c r="I99" s="63">
        <v>44</v>
      </c>
      <c r="J99" s="63">
        <v>23.2</v>
      </c>
      <c r="K99" s="63">
        <v>45</v>
      </c>
      <c r="L99" s="63">
        <v>46.6</v>
      </c>
      <c r="M99" s="63">
        <v>35</v>
      </c>
      <c r="N99" s="63">
        <v>22</v>
      </c>
      <c r="O99" s="63">
        <v>28</v>
      </c>
      <c r="P99" s="63">
        <v>28.1</v>
      </c>
      <c r="Q99" s="63">
        <v>38.9</v>
      </c>
      <c r="R99" s="63">
        <v>41</v>
      </c>
      <c r="S99" s="63">
        <v>33</v>
      </c>
      <c r="T99" s="63">
        <v>18.399999999999999</v>
      </c>
      <c r="U99" s="63">
        <v>22.8</v>
      </c>
      <c r="V99" s="63">
        <v>0</v>
      </c>
      <c r="W99" s="63">
        <v>2.6</v>
      </c>
      <c r="X99" s="63">
        <v>23.6</v>
      </c>
      <c r="Y99" s="63">
        <v>32.1</v>
      </c>
      <c r="Z99" s="63">
        <v>27</v>
      </c>
      <c r="AA99" s="63">
        <v>26.3</v>
      </c>
      <c r="AB99" s="119">
        <v>43</v>
      </c>
      <c r="AC99" s="119">
        <v>40.1</v>
      </c>
      <c r="AD99" s="119">
        <v>54.2</v>
      </c>
      <c r="AE99" s="119">
        <v>59</v>
      </c>
      <c r="AF99" s="119">
        <v>63.7</v>
      </c>
      <c r="AG99" s="121"/>
      <c r="AH99" s="54">
        <f t="shared" si="25"/>
        <v>63.7</v>
      </c>
      <c r="AI99" s="116">
        <f t="shared" si="26"/>
        <v>0.95833333333333304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7">AF101</f>
        <v>9.9</v>
      </c>
      <c r="C101" s="53">
        <v>9.9</v>
      </c>
      <c r="D101" s="127">
        <f t="shared" ref="D101:S106" si="28">C101</f>
        <v>9.9</v>
      </c>
      <c r="E101" s="127">
        <f t="shared" si="28"/>
        <v>9.9</v>
      </c>
      <c r="F101" s="127">
        <f t="shared" si="28"/>
        <v>9.9</v>
      </c>
      <c r="G101" s="127">
        <f t="shared" si="28"/>
        <v>9.9</v>
      </c>
      <c r="H101" s="127">
        <f t="shared" si="28"/>
        <v>9.9</v>
      </c>
      <c r="I101" s="127">
        <f t="shared" si="28"/>
        <v>9.9</v>
      </c>
      <c r="J101" s="127">
        <f t="shared" si="28"/>
        <v>9.9</v>
      </c>
      <c r="K101" s="127">
        <f t="shared" si="28"/>
        <v>9.9</v>
      </c>
      <c r="L101" s="127">
        <f t="shared" si="28"/>
        <v>9.9</v>
      </c>
      <c r="M101" s="127">
        <f t="shared" si="28"/>
        <v>9.9</v>
      </c>
      <c r="N101" s="127">
        <f t="shared" si="28"/>
        <v>9.9</v>
      </c>
      <c r="O101" s="127">
        <f t="shared" si="28"/>
        <v>9.9</v>
      </c>
      <c r="P101" s="127">
        <f t="shared" si="28"/>
        <v>9.9</v>
      </c>
      <c r="Q101" s="127">
        <f t="shared" si="28"/>
        <v>9.9</v>
      </c>
      <c r="R101" s="127">
        <f t="shared" si="28"/>
        <v>9.9</v>
      </c>
      <c r="S101" s="127">
        <f t="shared" si="28"/>
        <v>9.9</v>
      </c>
      <c r="T101" s="127">
        <f t="shared" ref="T101:AF106" si="29">S101</f>
        <v>9.9</v>
      </c>
      <c r="U101" s="127">
        <f t="shared" si="29"/>
        <v>9.9</v>
      </c>
      <c r="V101" s="127">
        <f t="shared" si="29"/>
        <v>9.9</v>
      </c>
      <c r="W101" s="127">
        <f t="shared" si="29"/>
        <v>9.9</v>
      </c>
      <c r="X101" s="127">
        <f t="shared" si="29"/>
        <v>9.9</v>
      </c>
      <c r="Y101" s="127">
        <f t="shared" si="29"/>
        <v>9.9</v>
      </c>
      <c r="Z101" s="127">
        <f t="shared" si="29"/>
        <v>9.9</v>
      </c>
      <c r="AA101" s="127">
        <f t="shared" si="29"/>
        <v>9.9</v>
      </c>
      <c r="AB101" s="127">
        <f t="shared" si="29"/>
        <v>9.9</v>
      </c>
      <c r="AC101" s="127">
        <f t="shared" si="29"/>
        <v>9.9</v>
      </c>
      <c r="AD101" s="127">
        <f t="shared" si="29"/>
        <v>9.9</v>
      </c>
      <c r="AE101" s="127">
        <f t="shared" si="29"/>
        <v>9.9</v>
      </c>
      <c r="AF101" s="127">
        <f t="shared" si="29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7"/>
        <v>9.6</v>
      </c>
      <c r="C102" s="130">
        <v>9.6</v>
      </c>
      <c r="D102" s="129">
        <f t="shared" si="28"/>
        <v>9.6</v>
      </c>
      <c r="E102" s="129">
        <f t="shared" si="28"/>
        <v>9.6</v>
      </c>
      <c r="F102" s="129">
        <f t="shared" si="28"/>
        <v>9.6</v>
      </c>
      <c r="G102" s="129">
        <f t="shared" si="28"/>
        <v>9.6</v>
      </c>
      <c r="H102" s="129">
        <f t="shared" si="28"/>
        <v>9.6</v>
      </c>
      <c r="I102" s="129">
        <f t="shared" si="28"/>
        <v>9.6</v>
      </c>
      <c r="J102" s="129">
        <f t="shared" si="28"/>
        <v>9.6</v>
      </c>
      <c r="K102" s="129">
        <f t="shared" si="28"/>
        <v>9.6</v>
      </c>
      <c r="L102" s="129">
        <f t="shared" si="28"/>
        <v>9.6</v>
      </c>
      <c r="M102" s="129">
        <f t="shared" si="28"/>
        <v>9.6</v>
      </c>
      <c r="N102" s="129">
        <f t="shared" si="28"/>
        <v>9.6</v>
      </c>
      <c r="O102" s="129">
        <f t="shared" si="28"/>
        <v>9.6</v>
      </c>
      <c r="P102" s="129">
        <f t="shared" si="28"/>
        <v>9.6</v>
      </c>
      <c r="Q102" s="129">
        <f t="shared" si="28"/>
        <v>9.6</v>
      </c>
      <c r="R102" s="129">
        <f t="shared" si="28"/>
        <v>9.6</v>
      </c>
      <c r="S102" s="129">
        <f t="shared" si="28"/>
        <v>9.6</v>
      </c>
      <c r="T102" s="129">
        <f t="shared" si="29"/>
        <v>9.6</v>
      </c>
      <c r="U102" s="129">
        <f t="shared" si="29"/>
        <v>9.6</v>
      </c>
      <c r="V102" s="129">
        <f t="shared" si="29"/>
        <v>9.6</v>
      </c>
      <c r="W102" s="129">
        <f t="shared" si="29"/>
        <v>9.6</v>
      </c>
      <c r="X102" s="129">
        <f t="shared" si="29"/>
        <v>9.6</v>
      </c>
      <c r="Y102" s="129">
        <f t="shared" si="29"/>
        <v>9.6</v>
      </c>
      <c r="Z102" s="129">
        <f t="shared" si="29"/>
        <v>9.6</v>
      </c>
      <c r="AA102" s="129">
        <f t="shared" si="29"/>
        <v>9.6</v>
      </c>
      <c r="AB102" s="129">
        <f t="shared" si="29"/>
        <v>9.6</v>
      </c>
      <c r="AC102" s="129">
        <f t="shared" si="29"/>
        <v>9.6</v>
      </c>
      <c r="AD102" s="129">
        <f t="shared" si="29"/>
        <v>9.6</v>
      </c>
      <c r="AE102" s="129">
        <f t="shared" si="29"/>
        <v>9.6</v>
      </c>
      <c r="AF102" s="129">
        <f t="shared" si="29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7"/>
        <v>9.98</v>
      </c>
      <c r="C103" s="130">
        <v>9.98</v>
      </c>
      <c r="D103" s="129">
        <f t="shared" si="28"/>
        <v>9.98</v>
      </c>
      <c r="E103" s="129">
        <f t="shared" si="28"/>
        <v>9.98</v>
      </c>
      <c r="F103" s="129">
        <f t="shared" si="28"/>
        <v>9.98</v>
      </c>
      <c r="G103" s="129">
        <f t="shared" si="28"/>
        <v>9.98</v>
      </c>
      <c r="H103" s="129">
        <f t="shared" si="28"/>
        <v>9.98</v>
      </c>
      <c r="I103" s="129">
        <f t="shared" si="28"/>
        <v>9.98</v>
      </c>
      <c r="J103" s="129">
        <f t="shared" si="28"/>
        <v>9.98</v>
      </c>
      <c r="K103" s="129">
        <f t="shared" si="28"/>
        <v>9.98</v>
      </c>
      <c r="L103" s="129">
        <f t="shared" si="28"/>
        <v>9.98</v>
      </c>
      <c r="M103" s="129">
        <f t="shared" si="28"/>
        <v>9.98</v>
      </c>
      <c r="N103" s="129">
        <f t="shared" si="28"/>
        <v>9.98</v>
      </c>
      <c r="O103" s="129">
        <f t="shared" si="28"/>
        <v>9.98</v>
      </c>
      <c r="P103" s="129">
        <f t="shared" si="28"/>
        <v>9.98</v>
      </c>
      <c r="Q103" s="129">
        <f t="shared" si="28"/>
        <v>9.98</v>
      </c>
      <c r="R103" s="129">
        <f t="shared" si="28"/>
        <v>9.98</v>
      </c>
      <c r="S103" s="129">
        <f t="shared" si="28"/>
        <v>9.98</v>
      </c>
      <c r="T103" s="129">
        <f t="shared" si="29"/>
        <v>9.98</v>
      </c>
      <c r="U103" s="129">
        <f t="shared" si="29"/>
        <v>9.98</v>
      </c>
      <c r="V103" s="129">
        <f t="shared" si="29"/>
        <v>9.98</v>
      </c>
      <c r="W103" s="129">
        <f t="shared" si="29"/>
        <v>9.98</v>
      </c>
      <c r="X103" s="129">
        <f t="shared" si="29"/>
        <v>9.98</v>
      </c>
      <c r="Y103" s="129">
        <f t="shared" si="29"/>
        <v>9.98</v>
      </c>
      <c r="Z103" s="129">
        <f t="shared" si="29"/>
        <v>9.98</v>
      </c>
      <c r="AA103" s="129">
        <f t="shared" si="29"/>
        <v>9.98</v>
      </c>
      <c r="AB103" s="129">
        <f t="shared" si="29"/>
        <v>9.98</v>
      </c>
      <c r="AC103" s="129">
        <f t="shared" si="29"/>
        <v>9.98</v>
      </c>
      <c r="AD103" s="129">
        <f t="shared" si="29"/>
        <v>9.98</v>
      </c>
      <c r="AE103" s="129">
        <f t="shared" si="29"/>
        <v>9.98</v>
      </c>
      <c r="AF103" s="129">
        <f t="shared" si="29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7"/>
        <v>9.1</v>
      </c>
      <c r="C104" s="130">
        <v>9.1</v>
      </c>
      <c r="D104" s="129">
        <f t="shared" si="28"/>
        <v>9.1</v>
      </c>
      <c r="E104" s="129">
        <f t="shared" si="28"/>
        <v>9.1</v>
      </c>
      <c r="F104" s="129">
        <f t="shared" si="28"/>
        <v>9.1</v>
      </c>
      <c r="G104" s="129">
        <f t="shared" si="28"/>
        <v>9.1</v>
      </c>
      <c r="H104" s="129">
        <f t="shared" si="28"/>
        <v>9.1</v>
      </c>
      <c r="I104" s="129">
        <f t="shared" si="28"/>
        <v>9.1</v>
      </c>
      <c r="J104" s="129">
        <f t="shared" si="28"/>
        <v>9.1</v>
      </c>
      <c r="K104" s="129">
        <f t="shared" si="28"/>
        <v>9.1</v>
      </c>
      <c r="L104" s="129">
        <f t="shared" si="28"/>
        <v>9.1</v>
      </c>
      <c r="M104" s="129">
        <f t="shared" si="28"/>
        <v>9.1</v>
      </c>
      <c r="N104" s="129">
        <f t="shared" si="28"/>
        <v>9.1</v>
      </c>
      <c r="O104" s="129">
        <f t="shared" si="28"/>
        <v>9.1</v>
      </c>
      <c r="P104" s="129">
        <f t="shared" si="28"/>
        <v>9.1</v>
      </c>
      <c r="Q104" s="129">
        <f t="shared" si="28"/>
        <v>9.1</v>
      </c>
      <c r="R104" s="129">
        <f t="shared" si="28"/>
        <v>9.1</v>
      </c>
      <c r="S104" s="129">
        <f t="shared" si="28"/>
        <v>9.1</v>
      </c>
      <c r="T104" s="129">
        <f t="shared" si="29"/>
        <v>9.1</v>
      </c>
      <c r="U104" s="129">
        <f t="shared" si="29"/>
        <v>9.1</v>
      </c>
      <c r="V104" s="129">
        <f t="shared" si="29"/>
        <v>9.1</v>
      </c>
      <c r="W104" s="129">
        <f t="shared" si="29"/>
        <v>9.1</v>
      </c>
      <c r="X104" s="129">
        <f t="shared" si="29"/>
        <v>9.1</v>
      </c>
      <c r="Y104" s="129">
        <f t="shared" si="29"/>
        <v>9.1</v>
      </c>
      <c r="Z104" s="129">
        <f t="shared" si="29"/>
        <v>9.1</v>
      </c>
      <c r="AA104" s="129">
        <f t="shared" si="29"/>
        <v>9.1</v>
      </c>
      <c r="AB104" s="129">
        <f t="shared" si="29"/>
        <v>9.1</v>
      </c>
      <c r="AC104" s="129">
        <f t="shared" si="29"/>
        <v>9.1</v>
      </c>
      <c r="AD104" s="129">
        <f t="shared" si="29"/>
        <v>9.1</v>
      </c>
      <c r="AE104" s="129">
        <f t="shared" si="29"/>
        <v>9.1</v>
      </c>
      <c r="AF104" s="129">
        <f t="shared" si="29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7"/>
        <v>9.18</v>
      </c>
      <c r="C105" s="130">
        <v>9.18</v>
      </c>
      <c r="D105" s="129">
        <f t="shared" si="28"/>
        <v>9.18</v>
      </c>
      <c r="E105" s="129">
        <f t="shared" si="28"/>
        <v>9.18</v>
      </c>
      <c r="F105" s="129">
        <f t="shared" si="28"/>
        <v>9.18</v>
      </c>
      <c r="G105" s="129">
        <f t="shared" si="28"/>
        <v>9.18</v>
      </c>
      <c r="H105" s="129">
        <f t="shared" si="28"/>
        <v>9.18</v>
      </c>
      <c r="I105" s="129">
        <f t="shared" si="28"/>
        <v>9.18</v>
      </c>
      <c r="J105" s="129">
        <f t="shared" si="28"/>
        <v>9.18</v>
      </c>
      <c r="K105" s="129">
        <f t="shared" si="28"/>
        <v>9.18</v>
      </c>
      <c r="L105" s="129">
        <f t="shared" si="28"/>
        <v>9.18</v>
      </c>
      <c r="M105" s="129">
        <f t="shared" si="28"/>
        <v>9.18</v>
      </c>
      <c r="N105" s="129">
        <f t="shared" si="28"/>
        <v>9.18</v>
      </c>
      <c r="O105" s="129">
        <f t="shared" si="28"/>
        <v>9.18</v>
      </c>
      <c r="P105" s="129">
        <f t="shared" si="28"/>
        <v>9.18</v>
      </c>
      <c r="Q105" s="129">
        <f t="shared" si="28"/>
        <v>9.18</v>
      </c>
      <c r="R105" s="129">
        <f t="shared" si="28"/>
        <v>9.18</v>
      </c>
      <c r="S105" s="129">
        <f t="shared" si="28"/>
        <v>9.18</v>
      </c>
      <c r="T105" s="129">
        <f t="shared" si="29"/>
        <v>9.18</v>
      </c>
      <c r="U105" s="129">
        <f t="shared" si="29"/>
        <v>9.18</v>
      </c>
      <c r="V105" s="129">
        <f t="shared" si="29"/>
        <v>9.18</v>
      </c>
      <c r="W105" s="129">
        <f t="shared" si="29"/>
        <v>9.18</v>
      </c>
      <c r="X105" s="129">
        <f t="shared" si="29"/>
        <v>9.18</v>
      </c>
      <c r="Y105" s="129">
        <f t="shared" si="29"/>
        <v>9.18</v>
      </c>
      <c r="Z105" s="129">
        <f t="shared" si="29"/>
        <v>9.18</v>
      </c>
      <c r="AA105" s="129">
        <f t="shared" si="29"/>
        <v>9.18</v>
      </c>
      <c r="AB105" s="129">
        <f t="shared" si="29"/>
        <v>9.18</v>
      </c>
      <c r="AC105" s="129">
        <f t="shared" si="29"/>
        <v>9.18</v>
      </c>
      <c r="AD105" s="129">
        <f t="shared" si="29"/>
        <v>9.18</v>
      </c>
      <c r="AE105" s="129">
        <f t="shared" si="29"/>
        <v>9.18</v>
      </c>
      <c r="AF105" s="129">
        <f t="shared" si="29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7"/>
        <v>7</v>
      </c>
      <c r="C106" s="130">
        <v>7</v>
      </c>
      <c r="D106" s="129">
        <f t="shared" si="28"/>
        <v>7</v>
      </c>
      <c r="E106" s="129">
        <f t="shared" si="28"/>
        <v>7</v>
      </c>
      <c r="F106" s="129">
        <f t="shared" si="28"/>
        <v>7</v>
      </c>
      <c r="G106" s="129">
        <f t="shared" si="28"/>
        <v>7</v>
      </c>
      <c r="H106" s="129">
        <f t="shared" si="28"/>
        <v>7</v>
      </c>
      <c r="I106" s="129">
        <f t="shared" si="28"/>
        <v>7</v>
      </c>
      <c r="J106" s="129">
        <f t="shared" si="28"/>
        <v>7</v>
      </c>
      <c r="K106" s="129">
        <f t="shared" si="28"/>
        <v>7</v>
      </c>
      <c r="L106" s="129">
        <f t="shared" si="28"/>
        <v>7</v>
      </c>
      <c r="M106" s="129">
        <f t="shared" si="28"/>
        <v>7</v>
      </c>
      <c r="N106" s="129">
        <f t="shared" si="28"/>
        <v>7</v>
      </c>
      <c r="O106" s="129">
        <f t="shared" si="28"/>
        <v>7</v>
      </c>
      <c r="P106" s="129">
        <f t="shared" si="28"/>
        <v>7</v>
      </c>
      <c r="Q106" s="129">
        <f t="shared" si="28"/>
        <v>7</v>
      </c>
      <c r="R106" s="129">
        <f t="shared" si="28"/>
        <v>7</v>
      </c>
      <c r="S106" s="129">
        <f t="shared" si="28"/>
        <v>7</v>
      </c>
      <c r="T106" s="129">
        <f t="shared" si="29"/>
        <v>7</v>
      </c>
      <c r="U106" s="129">
        <f t="shared" si="29"/>
        <v>7</v>
      </c>
      <c r="V106" s="129">
        <f t="shared" si="29"/>
        <v>7</v>
      </c>
      <c r="W106" s="129">
        <f t="shared" si="29"/>
        <v>7</v>
      </c>
      <c r="X106" s="129">
        <f t="shared" si="29"/>
        <v>7</v>
      </c>
      <c r="Y106" s="129">
        <f t="shared" si="29"/>
        <v>7</v>
      </c>
      <c r="Z106" s="129">
        <f t="shared" si="29"/>
        <v>7</v>
      </c>
      <c r="AA106" s="129">
        <f t="shared" si="29"/>
        <v>7</v>
      </c>
      <c r="AB106" s="129">
        <f t="shared" si="29"/>
        <v>7</v>
      </c>
      <c r="AC106" s="129">
        <f t="shared" si="29"/>
        <v>7</v>
      </c>
      <c r="AD106" s="129">
        <f t="shared" si="29"/>
        <v>7</v>
      </c>
      <c r="AE106" s="129">
        <f t="shared" si="29"/>
        <v>7</v>
      </c>
      <c r="AF106" s="129">
        <f t="shared" si="29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30">C108</f>
        <v>2.25</v>
      </c>
      <c r="E108" s="129">
        <f t="shared" si="30"/>
        <v>2.25</v>
      </c>
      <c r="F108" s="129">
        <f t="shared" si="30"/>
        <v>2.25</v>
      </c>
      <c r="G108" s="129">
        <f t="shared" si="30"/>
        <v>2.25</v>
      </c>
      <c r="H108" s="129">
        <f t="shared" si="30"/>
        <v>2.25</v>
      </c>
      <c r="I108" s="129">
        <f t="shared" si="30"/>
        <v>2.25</v>
      </c>
      <c r="J108" s="129">
        <f t="shared" si="30"/>
        <v>2.25</v>
      </c>
      <c r="K108" s="129">
        <f t="shared" si="30"/>
        <v>2.25</v>
      </c>
      <c r="L108" s="129">
        <f t="shared" si="30"/>
        <v>2.25</v>
      </c>
      <c r="M108" s="129">
        <f t="shared" si="30"/>
        <v>2.25</v>
      </c>
      <c r="N108" s="129">
        <f t="shared" si="30"/>
        <v>2.25</v>
      </c>
      <c r="O108" s="129">
        <f t="shared" si="30"/>
        <v>2.25</v>
      </c>
      <c r="P108" s="129">
        <f t="shared" si="30"/>
        <v>2.25</v>
      </c>
      <c r="Q108" s="129">
        <f t="shared" si="30"/>
        <v>2.25</v>
      </c>
      <c r="R108" s="129">
        <f t="shared" si="30"/>
        <v>2.25</v>
      </c>
      <c r="S108" s="129">
        <f t="shared" si="30"/>
        <v>2.25</v>
      </c>
      <c r="T108" s="129">
        <f t="shared" ref="T108:AF109" si="31">S108</f>
        <v>2.25</v>
      </c>
      <c r="U108" s="129">
        <f t="shared" si="31"/>
        <v>2.25</v>
      </c>
      <c r="V108" s="129">
        <f t="shared" si="31"/>
        <v>2.25</v>
      </c>
      <c r="W108" s="129">
        <f t="shared" si="31"/>
        <v>2.25</v>
      </c>
      <c r="X108" s="129">
        <f t="shared" si="31"/>
        <v>2.25</v>
      </c>
      <c r="Y108" s="129">
        <f t="shared" si="31"/>
        <v>2.25</v>
      </c>
      <c r="Z108" s="129">
        <f t="shared" si="31"/>
        <v>2.25</v>
      </c>
      <c r="AA108" s="129">
        <f t="shared" si="31"/>
        <v>2.25</v>
      </c>
      <c r="AB108" s="129">
        <f t="shared" si="31"/>
        <v>2.25</v>
      </c>
      <c r="AC108" s="129">
        <f t="shared" si="31"/>
        <v>2.25</v>
      </c>
      <c r="AD108" s="129">
        <f t="shared" si="31"/>
        <v>2.25</v>
      </c>
      <c r="AE108" s="129">
        <f t="shared" si="31"/>
        <v>2.25</v>
      </c>
      <c r="AF108" s="129">
        <f t="shared" si="31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30"/>
        <v>1.64</v>
      </c>
      <c r="E109" s="129">
        <f t="shared" si="30"/>
        <v>1.64</v>
      </c>
      <c r="F109" s="129">
        <f t="shared" si="30"/>
        <v>1.64</v>
      </c>
      <c r="G109" s="129">
        <f t="shared" si="30"/>
        <v>1.64</v>
      </c>
      <c r="H109" s="129">
        <f t="shared" si="30"/>
        <v>1.64</v>
      </c>
      <c r="I109" s="129">
        <f t="shared" si="30"/>
        <v>1.64</v>
      </c>
      <c r="J109" s="129">
        <f t="shared" si="30"/>
        <v>1.64</v>
      </c>
      <c r="K109" s="129">
        <f t="shared" si="30"/>
        <v>1.64</v>
      </c>
      <c r="L109" s="129">
        <f t="shared" si="30"/>
        <v>1.64</v>
      </c>
      <c r="M109" s="129">
        <f t="shared" si="30"/>
        <v>1.64</v>
      </c>
      <c r="N109" s="129">
        <f t="shared" si="30"/>
        <v>1.64</v>
      </c>
      <c r="O109" s="129">
        <f t="shared" si="30"/>
        <v>1.64</v>
      </c>
      <c r="P109" s="129">
        <f t="shared" si="30"/>
        <v>1.64</v>
      </c>
      <c r="Q109" s="129">
        <f t="shared" si="30"/>
        <v>1.64</v>
      </c>
      <c r="R109" s="129">
        <f t="shared" si="30"/>
        <v>1.64</v>
      </c>
      <c r="S109" s="129">
        <f t="shared" si="30"/>
        <v>1.64</v>
      </c>
      <c r="T109" s="129">
        <f t="shared" si="31"/>
        <v>1.64</v>
      </c>
      <c r="U109" s="129">
        <f t="shared" si="31"/>
        <v>1.64</v>
      </c>
      <c r="V109" s="129">
        <f t="shared" si="31"/>
        <v>1.64</v>
      </c>
      <c r="W109" s="129">
        <f t="shared" si="31"/>
        <v>1.64</v>
      </c>
      <c r="X109" s="129">
        <f t="shared" si="31"/>
        <v>1.64</v>
      </c>
      <c r="Y109" s="129">
        <f t="shared" si="31"/>
        <v>1.64</v>
      </c>
      <c r="Z109" s="129">
        <f t="shared" si="31"/>
        <v>1.64</v>
      </c>
      <c r="AA109" s="129">
        <f t="shared" si="31"/>
        <v>1.64</v>
      </c>
      <c r="AB109" s="129">
        <f t="shared" si="31"/>
        <v>1.64</v>
      </c>
      <c r="AC109" s="129">
        <f t="shared" si="31"/>
        <v>1.64</v>
      </c>
      <c r="AD109" s="129">
        <f t="shared" si="31"/>
        <v>1.64</v>
      </c>
      <c r="AE109" s="129">
        <f t="shared" si="31"/>
        <v>1.64</v>
      </c>
      <c r="AF109" s="129">
        <f t="shared" si="31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2">AF111</f>
        <v>1.62</v>
      </c>
      <c r="C111" s="130">
        <v>1.62</v>
      </c>
      <c r="D111" s="129">
        <f t="shared" ref="D111:S118" si="33">C111</f>
        <v>1.62</v>
      </c>
      <c r="E111" s="129">
        <f t="shared" si="33"/>
        <v>1.62</v>
      </c>
      <c r="F111" s="129">
        <f t="shared" si="33"/>
        <v>1.62</v>
      </c>
      <c r="G111" s="129">
        <f t="shared" si="33"/>
        <v>1.62</v>
      </c>
      <c r="H111" s="129">
        <f t="shared" si="33"/>
        <v>1.62</v>
      </c>
      <c r="I111" s="129">
        <f t="shared" si="33"/>
        <v>1.62</v>
      </c>
      <c r="J111" s="129">
        <f t="shared" si="33"/>
        <v>1.62</v>
      </c>
      <c r="K111" s="129">
        <f t="shared" si="33"/>
        <v>1.62</v>
      </c>
      <c r="L111" s="129">
        <f t="shared" si="33"/>
        <v>1.62</v>
      </c>
      <c r="M111" s="129">
        <f t="shared" si="33"/>
        <v>1.62</v>
      </c>
      <c r="N111" s="129">
        <f t="shared" si="33"/>
        <v>1.62</v>
      </c>
      <c r="O111" s="129">
        <f t="shared" si="33"/>
        <v>1.62</v>
      </c>
      <c r="P111" s="129">
        <f t="shared" si="33"/>
        <v>1.62</v>
      </c>
      <c r="Q111" s="129">
        <f t="shared" si="33"/>
        <v>1.62</v>
      </c>
      <c r="R111" s="129">
        <f t="shared" si="33"/>
        <v>1.62</v>
      </c>
      <c r="S111" s="129">
        <f t="shared" si="33"/>
        <v>1.62</v>
      </c>
      <c r="T111" s="129">
        <f t="shared" ref="T111:AF126" si="34">S111</f>
        <v>1.62</v>
      </c>
      <c r="U111" s="129">
        <f t="shared" si="34"/>
        <v>1.62</v>
      </c>
      <c r="V111" s="129">
        <f t="shared" si="34"/>
        <v>1.62</v>
      </c>
      <c r="W111" s="129">
        <f t="shared" si="34"/>
        <v>1.62</v>
      </c>
      <c r="X111" s="129">
        <f t="shared" si="34"/>
        <v>1.62</v>
      </c>
      <c r="Y111" s="129">
        <f t="shared" si="34"/>
        <v>1.62</v>
      </c>
      <c r="Z111" s="129">
        <f t="shared" si="34"/>
        <v>1.62</v>
      </c>
      <c r="AA111" s="129">
        <f t="shared" si="34"/>
        <v>1.62</v>
      </c>
      <c r="AB111" s="129">
        <f t="shared" si="34"/>
        <v>1.62</v>
      </c>
      <c r="AC111" s="129">
        <f t="shared" si="34"/>
        <v>1.62</v>
      </c>
      <c r="AD111" s="129">
        <f t="shared" si="34"/>
        <v>1.62</v>
      </c>
      <c r="AE111" s="129">
        <f t="shared" si="34"/>
        <v>1.62</v>
      </c>
      <c r="AF111" s="129">
        <f t="shared" si="34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2"/>
        <v>8.36</v>
      </c>
      <c r="C112" s="130">
        <v>8.36</v>
      </c>
      <c r="D112" s="129">
        <f t="shared" si="33"/>
        <v>8.36</v>
      </c>
      <c r="E112" s="129">
        <f t="shared" si="33"/>
        <v>8.36</v>
      </c>
      <c r="F112" s="129">
        <f t="shared" si="33"/>
        <v>8.36</v>
      </c>
      <c r="G112" s="129">
        <f t="shared" si="33"/>
        <v>8.36</v>
      </c>
      <c r="H112" s="129">
        <f t="shared" si="33"/>
        <v>8.36</v>
      </c>
      <c r="I112" s="129">
        <f t="shared" si="33"/>
        <v>8.36</v>
      </c>
      <c r="J112" s="129">
        <f t="shared" si="33"/>
        <v>8.36</v>
      </c>
      <c r="K112" s="129">
        <f t="shared" si="33"/>
        <v>8.36</v>
      </c>
      <c r="L112" s="129">
        <f t="shared" si="33"/>
        <v>8.36</v>
      </c>
      <c r="M112" s="129">
        <f t="shared" si="33"/>
        <v>8.36</v>
      </c>
      <c r="N112" s="129">
        <f t="shared" si="33"/>
        <v>8.36</v>
      </c>
      <c r="O112" s="129">
        <f t="shared" si="33"/>
        <v>8.36</v>
      </c>
      <c r="P112" s="129">
        <f t="shared" si="33"/>
        <v>8.36</v>
      </c>
      <c r="Q112" s="129">
        <f t="shared" si="33"/>
        <v>8.36</v>
      </c>
      <c r="R112" s="129">
        <f t="shared" si="33"/>
        <v>8.36</v>
      </c>
      <c r="S112" s="129">
        <f t="shared" si="33"/>
        <v>8.36</v>
      </c>
      <c r="T112" s="129">
        <f t="shared" si="34"/>
        <v>8.36</v>
      </c>
      <c r="U112" s="129">
        <f t="shared" si="34"/>
        <v>8.36</v>
      </c>
      <c r="V112" s="129">
        <f t="shared" si="34"/>
        <v>8.36</v>
      </c>
      <c r="W112" s="129">
        <f t="shared" si="34"/>
        <v>8.36</v>
      </c>
      <c r="X112" s="129">
        <f t="shared" si="34"/>
        <v>8.36</v>
      </c>
      <c r="Y112" s="129">
        <f t="shared" si="34"/>
        <v>8.36</v>
      </c>
      <c r="Z112" s="129">
        <f t="shared" si="34"/>
        <v>8.36</v>
      </c>
      <c r="AA112" s="129">
        <f t="shared" si="34"/>
        <v>8.36</v>
      </c>
      <c r="AB112" s="129">
        <f t="shared" si="34"/>
        <v>8.36</v>
      </c>
      <c r="AC112" s="129">
        <f t="shared" si="34"/>
        <v>8.36</v>
      </c>
      <c r="AD112" s="129">
        <f t="shared" si="34"/>
        <v>8.36</v>
      </c>
      <c r="AE112" s="129">
        <f t="shared" si="34"/>
        <v>8.36</v>
      </c>
      <c r="AF112" s="129">
        <f t="shared" si="34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2"/>
        <v>5.4</v>
      </c>
      <c r="C113" s="130">
        <v>8</v>
      </c>
      <c r="D113" s="129">
        <f t="shared" si="33"/>
        <v>8</v>
      </c>
      <c r="E113" s="129">
        <f t="shared" si="33"/>
        <v>8</v>
      </c>
      <c r="F113" s="129">
        <f t="shared" si="33"/>
        <v>8</v>
      </c>
      <c r="G113" s="129">
        <f t="shared" si="33"/>
        <v>8</v>
      </c>
      <c r="H113" s="129">
        <f t="shared" si="33"/>
        <v>8</v>
      </c>
      <c r="I113" s="129">
        <f t="shared" si="33"/>
        <v>8</v>
      </c>
      <c r="J113" s="129">
        <v>5.4</v>
      </c>
      <c r="K113" s="129">
        <f t="shared" si="33"/>
        <v>5.4</v>
      </c>
      <c r="L113" s="129">
        <f t="shared" si="33"/>
        <v>5.4</v>
      </c>
      <c r="M113" s="129">
        <f t="shared" si="33"/>
        <v>5.4</v>
      </c>
      <c r="N113" s="129">
        <f t="shared" si="33"/>
        <v>5.4</v>
      </c>
      <c r="O113" s="129">
        <f t="shared" si="33"/>
        <v>5.4</v>
      </c>
      <c r="P113" s="129">
        <f t="shared" si="33"/>
        <v>5.4</v>
      </c>
      <c r="Q113" s="129">
        <f t="shared" si="33"/>
        <v>5.4</v>
      </c>
      <c r="R113" s="129">
        <f t="shared" si="33"/>
        <v>5.4</v>
      </c>
      <c r="S113" s="129">
        <f t="shared" si="33"/>
        <v>5.4</v>
      </c>
      <c r="T113" s="129">
        <f t="shared" si="34"/>
        <v>5.4</v>
      </c>
      <c r="U113" s="129">
        <f t="shared" si="34"/>
        <v>5.4</v>
      </c>
      <c r="V113" s="129">
        <f t="shared" si="34"/>
        <v>5.4</v>
      </c>
      <c r="W113" s="129">
        <f t="shared" si="34"/>
        <v>5.4</v>
      </c>
      <c r="X113" s="129">
        <f t="shared" si="34"/>
        <v>5.4</v>
      </c>
      <c r="Y113" s="129">
        <f t="shared" si="34"/>
        <v>5.4</v>
      </c>
      <c r="Z113" s="129">
        <f t="shared" si="34"/>
        <v>5.4</v>
      </c>
      <c r="AA113" s="129">
        <f t="shared" si="34"/>
        <v>5.4</v>
      </c>
      <c r="AB113" s="129">
        <f t="shared" si="34"/>
        <v>5.4</v>
      </c>
      <c r="AC113" s="129">
        <f t="shared" si="34"/>
        <v>5.4</v>
      </c>
      <c r="AD113" s="129">
        <f t="shared" si="34"/>
        <v>5.4</v>
      </c>
      <c r="AE113" s="129">
        <f t="shared" si="34"/>
        <v>5.4</v>
      </c>
      <c r="AF113" s="129">
        <f t="shared" si="34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2"/>
        <v>6.57</v>
      </c>
      <c r="C114" s="130">
        <v>6.57</v>
      </c>
      <c r="D114" s="129">
        <f t="shared" si="33"/>
        <v>6.57</v>
      </c>
      <c r="E114" s="129">
        <f t="shared" si="33"/>
        <v>6.57</v>
      </c>
      <c r="F114" s="129">
        <f t="shared" si="33"/>
        <v>6.57</v>
      </c>
      <c r="G114" s="129">
        <f t="shared" si="33"/>
        <v>6.57</v>
      </c>
      <c r="H114" s="129">
        <f t="shared" si="33"/>
        <v>6.57</v>
      </c>
      <c r="I114" s="129">
        <f t="shared" si="33"/>
        <v>6.57</v>
      </c>
      <c r="J114" s="129">
        <f t="shared" si="33"/>
        <v>6.57</v>
      </c>
      <c r="K114" s="129">
        <f t="shared" si="33"/>
        <v>6.57</v>
      </c>
      <c r="L114" s="129">
        <f t="shared" si="33"/>
        <v>6.57</v>
      </c>
      <c r="M114" s="129">
        <f t="shared" si="33"/>
        <v>6.57</v>
      </c>
      <c r="N114" s="129">
        <f t="shared" si="33"/>
        <v>6.57</v>
      </c>
      <c r="O114" s="129">
        <f t="shared" si="33"/>
        <v>6.57</v>
      </c>
      <c r="P114" s="129">
        <f t="shared" si="33"/>
        <v>6.57</v>
      </c>
      <c r="Q114" s="129">
        <f t="shared" si="33"/>
        <v>6.57</v>
      </c>
      <c r="R114" s="129">
        <f t="shared" si="33"/>
        <v>6.57</v>
      </c>
      <c r="S114" s="129">
        <f t="shared" si="33"/>
        <v>6.57</v>
      </c>
      <c r="T114" s="129">
        <f t="shared" si="34"/>
        <v>6.57</v>
      </c>
      <c r="U114" s="129">
        <f t="shared" si="34"/>
        <v>6.57</v>
      </c>
      <c r="V114" s="129">
        <f t="shared" si="34"/>
        <v>6.57</v>
      </c>
      <c r="W114" s="129">
        <f t="shared" si="34"/>
        <v>6.57</v>
      </c>
      <c r="X114" s="129">
        <f t="shared" si="34"/>
        <v>6.57</v>
      </c>
      <c r="Y114" s="129">
        <f t="shared" si="34"/>
        <v>6.57</v>
      </c>
      <c r="Z114" s="129">
        <f t="shared" si="34"/>
        <v>6.57</v>
      </c>
      <c r="AA114" s="129">
        <f t="shared" si="34"/>
        <v>6.57</v>
      </c>
      <c r="AB114" s="129">
        <f t="shared" si="34"/>
        <v>6.57</v>
      </c>
      <c r="AC114" s="129">
        <f t="shared" si="34"/>
        <v>6.57</v>
      </c>
      <c r="AD114" s="129">
        <f t="shared" si="34"/>
        <v>6.57</v>
      </c>
      <c r="AE114" s="129">
        <f t="shared" si="34"/>
        <v>6.57</v>
      </c>
      <c r="AF114" s="129">
        <f t="shared" si="34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2"/>
        <v>3.43</v>
      </c>
      <c r="C115" s="130">
        <v>3.43</v>
      </c>
      <c r="D115" s="129">
        <f t="shared" si="33"/>
        <v>3.43</v>
      </c>
      <c r="E115" s="129">
        <f t="shared" si="33"/>
        <v>3.43</v>
      </c>
      <c r="F115" s="129">
        <f t="shared" si="33"/>
        <v>3.43</v>
      </c>
      <c r="G115" s="129">
        <f t="shared" si="33"/>
        <v>3.43</v>
      </c>
      <c r="H115" s="129">
        <f t="shared" si="33"/>
        <v>3.43</v>
      </c>
      <c r="I115" s="129">
        <f t="shared" si="33"/>
        <v>3.43</v>
      </c>
      <c r="J115" s="129">
        <f t="shared" si="33"/>
        <v>3.43</v>
      </c>
      <c r="K115" s="129">
        <f t="shared" si="33"/>
        <v>3.43</v>
      </c>
      <c r="L115" s="129">
        <f t="shared" si="33"/>
        <v>3.43</v>
      </c>
      <c r="M115" s="129">
        <f t="shared" si="33"/>
        <v>3.43</v>
      </c>
      <c r="N115" s="129">
        <f t="shared" si="33"/>
        <v>3.43</v>
      </c>
      <c r="O115" s="129">
        <f t="shared" si="33"/>
        <v>3.43</v>
      </c>
      <c r="P115" s="129">
        <f t="shared" si="33"/>
        <v>3.43</v>
      </c>
      <c r="Q115" s="129">
        <f t="shared" si="33"/>
        <v>3.43</v>
      </c>
      <c r="R115" s="129">
        <f t="shared" si="33"/>
        <v>3.43</v>
      </c>
      <c r="S115" s="129">
        <f t="shared" si="33"/>
        <v>3.43</v>
      </c>
      <c r="T115" s="129">
        <f t="shared" si="34"/>
        <v>3.43</v>
      </c>
      <c r="U115" s="129">
        <f t="shared" si="34"/>
        <v>3.43</v>
      </c>
      <c r="V115" s="129">
        <f t="shared" si="34"/>
        <v>3.43</v>
      </c>
      <c r="W115" s="129">
        <f t="shared" si="34"/>
        <v>3.43</v>
      </c>
      <c r="X115" s="129">
        <f t="shared" si="34"/>
        <v>3.43</v>
      </c>
      <c r="Y115" s="129">
        <f t="shared" si="34"/>
        <v>3.43</v>
      </c>
      <c r="Z115" s="129">
        <f t="shared" si="34"/>
        <v>3.43</v>
      </c>
      <c r="AA115" s="129">
        <f t="shared" si="34"/>
        <v>3.43</v>
      </c>
      <c r="AB115" s="129">
        <f t="shared" si="34"/>
        <v>3.43</v>
      </c>
      <c r="AC115" s="129">
        <f t="shared" si="34"/>
        <v>3.43</v>
      </c>
      <c r="AD115" s="129">
        <f t="shared" si="34"/>
        <v>3.43</v>
      </c>
      <c r="AE115" s="129">
        <f t="shared" si="34"/>
        <v>3.43</v>
      </c>
      <c r="AF115" s="129">
        <f t="shared" si="34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2"/>
        <v>2.96</v>
      </c>
      <c r="C116" s="130">
        <v>2.96</v>
      </c>
      <c r="D116" s="129">
        <f t="shared" si="33"/>
        <v>2.96</v>
      </c>
      <c r="E116" s="129">
        <f t="shared" si="33"/>
        <v>2.96</v>
      </c>
      <c r="F116" s="129">
        <f t="shared" si="33"/>
        <v>2.96</v>
      </c>
      <c r="G116" s="129">
        <f t="shared" si="33"/>
        <v>2.96</v>
      </c>
      <c r="H116" s="129">
        <f t="shared" si="33"/>
        <v>2.96</v>
      </c>
      <c r="I116" s="129">
        <f t="shared" si="33"/>
        <v>2.96</v>
      </c>
      <c r="J116" s="129">
        <f t="shared" si="33"/>
        <v>2.96</v>
      </c>
      <c r="K116" s="129">
        <f t="shared" si="33"/>
        <v>2.96</v>
      </c>
      <c r="L116" s="129">
        <f t="shared" si="33"/>
        <v>2.96</v>
      </c>
      <c r="M116" s="129">
        <f t="shared" si="33"/>
        <v>2.96</v>
      </c>
      <c r="N116" s="129">
        <f t="shared" si="33"/>
        <v>2.96</v>
      </c>
      <c r="O116" s="129">
        <f t="shared" si="33"/>
        <v>2.96</v>
      </c>
      <c r="P116" s="129">
        <f t="shared" si="33"/>
        <v>2.96</v>
      </c>
      <c r="Q116" s="129">
        <f t="shared" si="33"/>
        <v>2.96</v>
      </c>
      <c r="R116" s="129">
        <f t="shared" si="33"/>
        <v>2.96</v>
      </c>
      <c r="S116" s="129">
        <f t="shared" si="33"/>
        <v>2.96</v>
      </c>
      <c r="T116" s="129">
        <f t="shared" si="34"/>
        <v>2.96</v>
      </c>
      <c r="U116" s="129">
        <f t="shared" si="34"/>
        <v>2.96</v>
      </c>
      <c r="V116" s="129">
        <f t="shared" si="34"/>
        <v>2.96</v>
      </c>
      <c r="W116" s="129">
        <f t="shared" si="34"/>
        <v>2.96</v>
      </c>
      <c r="X116" s="129">
        <f t="shared" si="34"/>
        <v>2.96</v>
      </c>
      <c r="Y116" s="129">
        <f t="shared" si="34"/>
        <v>2.96</v>
      </c>
      <c r="Z116" s="129">
        <f t="shared" si="34"/>
        <v>2.96</v>
      </c>
      <c r="AA116" s="129">
        <f t="shared" si="34"/>
        <v>2.96</v>
      </c>
      <c r="AB116" s="129">
        <f t="shared" si="34"/>
        <v>2.96</v>
      </c>
      <c r="AC116" s="129">
        <f t="shared" si="34"/>
        <v>2.96</v>
      </c>
      <c r="AD116" s="129">
        <f t="shared" si="34"/>
        <v>2.96</v>
      </c>
      <c r="AE116" s="129">
        <f t="shared" si="34"/>
        <v>2.96</v>
      </c>
      <c r="AF116" s="129">
        <f t="shared" si="34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2"/>
        <v>8</v>
      </c>
      <c r="C117" s="130">
        <v>8</v>
      </c>
      <c r="D117" s="129">
        <f t="shared" si="33"/>
        <v>8</v>
      </c>
      <c r="E117" s="129">
        <f t="shared" si="33"/>
        <v>8</v>
      </c>
      <c r="F117" s="129">
        <f t="shared" si="33"/>
        <v>8</v>
      </c>
      <c r="G117" s="129">
        <f t="shared" si="33"/>
        <v>8</v>
      </c>
      <c r="H117" s="129">
        <f t="shared" si="33"/>
        <v>8</v>
      </c>
      <c r="I117" s="129">
        <f t="shared" si="33"/>
        <v>8</v>
      </c>
      <c r="J117" s="129">
        <f t="shared" si="33"/>
        <v>8</v>
      </c>
      <c r="K117" s="129">
        <f t="shared" si="33"/>
        <v>8</v>
      </c>
      <c r="L117" s="129">
        <f t="shared" si="33"/>
        <v>8</v>
      </c>
      <c r="M117" s="129">
        <f t="shared" si="33"/>
        <v>8</v>
      </c>
      <c r="N117" s="129">
        <f t="shared" si="33"/>
        <v>8</v>
      </c>
      <c r="O117" s="129">
        <f t="shared" si="33"/>
        <v>8</v>
      </c>
      <c r="P117" s="129">
        <f t="shared" si="33"/>
        <v>8</v>
      </c>
      <c r="Q117" s="129">
        <f t="shared" si="33"/>
        <v>8</v>
      </c>
      <c r="R117" s="129">
        <f t="shared" si="33"/>
        <v>8</v>
      </c>
      <c r="S117" s="129">
        <f t="shared" si="33"/>
        <v>8</v>
      </c>
      <c r="T117" s="129">
        <f t="shared" si="34"/>
        <v>8</v>
      </c>
      <c r="U117" s="129">
        <f t="shared" si="34"/>
        <v>8</v>
      </c>
      <c r="V117" s="129">
        <f t="shared" si="34"/>
        <v>8</v>
      </c>
      <c r="W117" s="129">
        <f t="shared" si="34"/>
        <v>8</v>
      </c>
      <c r="X117" s="129">
        <f t="shared" si="34"/>
        <v>8</v>
      </c>
      <c r="Y117" s="129">
        <f t="shared" si="34"/>
        <v>8</v>
      </c>
      <c r="Z117" s="129">
        <f t="shared" si="34"/>
        <v>8</v>
      </c>
      <c r="AA117" s="129">
        <f t="shared" si="34"/>
        <v>8</v>
      </c>
      <c r="AB117" s="129">
        <f t="shared" si="34"/>
        <v>8</v>
      </c>
      <c r="AC117" s="129">
        <f t="shared" si="34"/>
        <v>8</v>
      </c>
      <c r="AD117" s="129">
        <f t="shared" si="34"/>
        <v>8</v>
      </c>
      <c r="AE117" s="129">
        <f t="shared" si="34"/>
        <v>8</v>
      </c>
      <c r="AF117" s="129">
        <f t="shared" si="34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2"/>
        <v>7</v>
      </c>
      <c r="C118" s="130">
        <v>7</v>
      </c>
      <c r="D118" s="129">
        <f>C118</f>
        <v>7</v>
      </c>
      <c r="E118" s="129">
        <f t="shared" si="33"/>
        <v>7</v>
      </c>
      <c r="F118" s="129">
        <f t="shared" si="33"/>
        <v>7</v>
      </c>
      <c r="G118" s="129">
        <f t="shared" si="33"/>
        <v>7</v>
      </c>
      <c r="H118" s="129">
        <f t="shared" si="33"/>
        <v>7</v>
      </c>
      <c r="I118" s="129">
        <f t="shared" si="33"/>
        <v>7</v>
      </c>
      <c r="J118" s="129">
        <f t="shared" si="33"/>
        <v>7</v>
      </c>
      <c r="K118" s="129">
        <f t="shared" si="33"/>
        <v>7</v>
      </c>
      <c r="L118" s="129">
        <f t="shared" si="33"/>
        <v>7</v>
      </c>
      <c r="M118" s="129">
        <f t="shared" si="33"/>
        <v>7</v>
      </c>
      <c r="N118" s="129">
        <f t="shared" si="33"/>
        <v>7</v>
      </c>
      <c r="O118" s="129">
        <f t="shared" si="33"/>
        <v>7</v>
      </c>
      <c r="P118" s="129">
        <f t="shared" si="33"/>
        <v>7</v>
      </c>
      <c r="Q118" s="129">
        <f t="shared" si="33"/>
        <v>7</v>
      </c>
      <c r="R118" s="129">
        <f t="shared" si="33"/>
        <v>7</v>
      </c>
      <c r="S118" s="129">
        <f t="shared" si="33"/>
        <v>7</v>
      </c>
      <c r="T118" s="129">
        <f t="shared" si="34"/>
        <v>7</v>
      </c>
      <c r="U118" s="129">
        <f t="shared" si="34"/>
        <v>7</v>
      </c>
      <c r="V118" s="129">
        <f t="shared" si="34"/>
        <v>7</v>
      </c>
      <c r="W118" s="129">
        <f t="shared" si="34"/>
        <v>7</v>
      </c>
      <c r="X118" s="129">
        <f t="shared" si="34"/>
        <v>7</v>
      </c>
      <c r="Y118" s="129">
        <f t="shared" si="34"/>
        <v>7</v>
      </c>
      <c r="Z118" s="129">
        <f t="shared" si="34"/>
        <v>7</v>
      </c>
      <c r="AA118" s="129">
        <f t="shared" si="34"/>
        <v>7</v>
      </c>
      <c r="AB118" s="129">
        <f t="shared" si="34"/>
        <v>7</v>
      </c>
      <c r="AC118" s="129">
        <f t="shared" si="34"/>
        <v>7</v>
      </c>
      <c r="AD118" s="129">
        <f t="shared" si="34"/>
        <v>7</v>
      </c>
      <c r="AE118" s="129">
        <f t="shared" si="34"/>
        <v>7</v>
      </c>
      <c r="AF118" s="129">
        <f t="shared" si="34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2"/>
        <v>3.47</v>
      </c>
      <c r="C119" s="130">
        <v>3.47</v>
      </c>
      <c r="D119" s="129">
        <f t="shared" ref="D119:S128" si="35">C119</f>
        <v>3.47</v>
      </c>
      <c r="E119" s="129">
        <f t="shared" si="35"/>
        <v>3.47</v>
      </c>
      <c r="F119" s="129">
        <f t="shared" si="35"/>
        <v>3.47</v>
      </c>
      <c r="G119" s="129">
        <f t="shared" si="35"/>
        <v>3.47</v>
      </c>
      <c r="H119" s="129">
        <f t="shared" si="35"/>
        <v>3.47</v>
      </c>
      <c r="I119" s="129">
        <f t="shared" si="35"/>
        <v>3.47</v>
      </c>
      <c r="J119" s="129">
        <f t="shared" si="35"/>
        <v>3.47</v>
      </c>
      <c r="K119" s="129">
        <f t="shared" si="35"/>
        <v>3.47</v>
      </c>
      <c r="L119" s="129">
        <f t="shared" si="35"/>
        <v>3.47</v>
      </c>
      <c r="M119" s="129">
        <f t="shared" si="35"/>
        <v>3.47</v>
      </c>
      <c r="N119" s="129">
        <f t="shared" si="35"/>
        <v>3.47</v>
      </c>
      <c r="O119" s="129">
        <f t="shared" si="35"/>
        <v>3.47</v>
      </c>
      <c r="P119" s="129">
        <f t="shared" si="35"/>
        <v>3.47</v>
      </c>
      <c r="Q119" s="129">
        <f t="shared" si="35"/>
        <v>3.47</v>
      </c>
      <c r="R119" s="129">
        <f t="shared" si="35"/>
        <v>3.47</v>
      </c>
      <c r="S119" s="129">
        <f t="shared" si="35"/>
        <v>3.47</v>
      </c>
      <c r="T119" s="129">
        <f t="shared" si="34"/>
        <v>3.47</v>
      </c>
      <c r="U119" s="129">
        <f t="shared" si="34"/>
        <v>3.47</v>
      </c>
      <c r="V119" s="129">
        <f t="shared" si="34"/>
        <v>3.47</v>
      </c>
      <c r="W119" s="129">
        <f t="shared" si="34"/>
        <v>3.47</v>
      </c>
      <c r="X119" s="129">
        <f t="shared" si="34"/>
        <v>3.47</v>
      </c>
      <c r="Y119" s="129">
        <f t="shared" si="34"/>
        <v>3.47</v>
      </c>
      <c r="Z119" s="129">
        <f t="shared" si="34"/>
        <v>3.47</v>
      </c>
      <c r="AA119" s="129">
        <f t="shared" si="34"/>
        <v>3.47</v>
      </c>
      <c r="AB119" s="129">
        <f t="shared" si="34"/>
        <v>3.47</v>
      </c>
      <c r="AC119" s="129">
        <f t="shared" si="34"/>
        <v>3.47</v>
      </c>
      <c r="AD119" s="129">
        <f t="shared" si="34"/>
        <v>3.47</v>
      </c>
      <c r="AE119" s="129">
        <f t="shared" si="34"/>
        <v>3.47</v>
      </c>
      <c r="AF119" s="129">
        <f t="shared" si="34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2"/>
        <v>2.1</v>
      </c>
      <c r="C120" s="130">
        <v>2.1</v>
      </c>
      <c r="D120" s="129">
        <f t="shared" si="35"/>
        <v>2.1</v>
      </c>
      <c r="E120" s="129">
        <f t="shared" si="35"/>
        <v>2.1</v>
      </c>
      <c r="F120" s="129">
        <f t="shared" si="35"/>
        <v>2.1</v>
      </c>
      <c r="G120" s="129">
        <f t="shared" si="35"/>
        <v>2.1</v>
      </c>
      <c r="H120" s="129">
        <f t="shared" si="35"/>
        <v>2.1</v>
      </c>
      <c r="I120" s="129">
        <f t="shared" si="35"/>
        <v>2.1</v>
      </c>
      <c r="J120" s="129">
        <f t="shared" si="35"/>
        <v>2.1</v>
      </c>
      <c r="K120" s="129">
        <f t="shared" si="35"/>
        <v>2.1</v>
      </c>
      <c r="L120" s="129">
        <f t="shared" si="35"/>
        <v>2.1</v>
      </c>
      <c r="M120" s="129">
        <f t="shared" si="35"/>
        <v>2.1</v>
      </c>
      <c r="N120" s="129">
        <f t="shared" si="35"/>
        <v>2.1</v>
      </c>
      <c r="O120" s="129">
        <f t="shared" si="35"/>
        <v>2.1</v>
      </c>
      <c r="P120" s="129">
        <f t="shared" si="35"/>
        <v>2.1</v>
      </c>
      <c r="Q120" s="129">
        <f t="shared" si="35"/>
        <v>2.1</v>
      </c>
      <c r="R120" s="129">
        <f t="shared" si="35"/>
        <v>2.1</v>
      </c>
      <c r="S120" s="129">
        <f t="shared" si="35"/>
        <v>2.1</v>
      </c>
      <c r="T120" s="129">
        <f t="shared" si="34"/>
        <v>2.1</v>
      </c>
      <c r="U120" s="129">
        <f t="shared" si="34"/>
        <v>2.1</v>
      </c>
      <c r="V120" s="129">
        <f t="shared" si="34"/>
        <v>2.1</v>
      </c>
      <c r="W120" s="129">
        <f t="shared" si="34"/>
        <v>2.1</v>
      </c>
      <c r="X120" s="129">
        <f t="shared" si="34"/>
        <v>2.1</v>
      </c>
      <c r="Y120" s="129">
        <f t="shared" si="34"/>
        <v>2.1</v>
      </c>
      <c r="Z120" s="129">
        <f t="shared" si="34"/>
        <v>2.1</v>
      </c>
      <c r="AA120" s="129">
        <f t="shared" si="34"/>
        <v>2.1</v>
      </c>
      <c r="AB120" s="129">
        <f t="shared" si="34"/>
        <v>2.1</v>
      </c>
      <c r="AC120" s="129">
        <f t="shared" si="34"/>
        <v>2.1</v>
      </c>
      <c r="AD120" s="129">
        <f t="shared" si="34"/>
        <v>2.1</v>
      </c>
      <c r="AE120" s="129">
        <f t="shared" si="34"/>
        <v>2.1</v>
      </c>
      <c r="AF120" s="129">
        <f t="shared" si="34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2"/>
        <v>9.3000000000000007</v>
      </c>
      <c r="C121" s="130">
        <v>9.3000000000000007</v>
      </c>
      <c r="D121" s="129">
        <f t="shared" si="35"/>
        <v>9.3000000000000007</v>
      </c>
      <c r="E121" s="129">
        <f t="shared" si="35"/>
        <v>9.3000000000000007</v>
      </c>
      <c r="F121" s="129">
        <f t="shared" si="35"/>
        <v>9.3000000000000007</v>
      </c>
      <c r="G121" s="129">
        <f t="shared" si="35"/>
        <v>9.3000000000000007</v>
      </c>
      <c r="H121" s="129">
        <f t="shared" si="35"/>
        <v>9.3000000000000007</v>
      </c>
      <c r="I121" s="129">
        <f t="shared" si="35"/>
        <v>9.3000000000000007</v>
      </c>
      <c r="J121" s="129">
        <f t="shared" si="35"/>
        <v>9.3000000000000007</v>
      </c>
      <c r="K121" s="129">
        <f t="shared" si="35"/>
        <v>9.3000000000000007</v>
      </c>
      <c r="L121" s="129">
        <f t="shared" si="35"/>
        <v>9.3000000000000007</v>
      </c>
      <c r="M121" s="129">
        <f t="shared" si="35"/>
        <v>9.3000000000000007</v>
      </c>
      <c r="N121" s="129">
        <f t="shared" si="35"/>
        <v>9.3000000000000007</v>
      </c>
      <c r="O121" s="129">
        <f t="shared" si="35"/>
        <v>9.3000000000000007</v>
      </c>
      <c r="P121" s="129">
        <f t="shared" si="35"/>
        <v>9.3000000000000007</v>
      </c>
      <c r="Q121" s="129">
        <f t="shared" si="35"/>
        <v>9.3000000000000007</v>
      </c>
      <c r="R121" s="129">
        <f t="shared" si="35"/>
        <v>9.3000000000000007</v>
      </c>
      <c r="S121" s="129">
        <f t="shared" si="35"/>
        <v>9.3000000000000007</v>
      </c>
      <c r="T121" s="129">
        <f t="shared" si="34"/>
        <v>9.3000000000000007</v>
      </c>
      <c r="U121" s="129">
        <f t="shared" si="34"/>
        <v>9.3000000000000007</v>
      </c>
      <c r="V121" s="129">
        <f t="shared" si="34"/>
        <v>9.3000000000000007</v>
      </c>
      <c r="W121" s="129">
        <f t="shared" si="34"/>
        <v>9.3000000000000007</v>
      </c>
      <c r="X121" s="129">
        <f t="shared" si="34"/>
        <v>9.3000000000000007</v>
      </c>
      <c r="Y121" s="129">
        <f t="shared" si="34"/>
        <v>9.3000000000000007</v>
      </c>
      <c r="Z121" s="129">
        <f t="shared" si="34"/>
        <v>9.3000000000000007</v>
      </c>
      <c r="AA121" s="129">
        <f t="shared" si="34"/>
        <v>9.3000000000000007</v>
      </c>
      <c r="AB121" s="129">
        <f t="shared" si="34"/>
        <v>9.3000000000000007</v>
      </c>
      <c r="AC121" s="129">
        <f t="shared" si="34"/>
        <v>9.3000000000000007</v>
      </c>
      <c r="AD121" s="129">
        <f t="shared" si="34"/>
        <v>9.3000000000000007</v>
      </c>
      <c r="AE121" s="129">
        <f t="shared" si="34"/>
        <v>9.3000000000000007</v>
      </c>
      <c r="AF121" s="129">
        <f t="shared" si="34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2"/>
        <v>0</v>
      </c>
      <c r="C122" s="130">
        <v>0</v>
      </c>
      <c r="D122" s="129">
        <f t="shared" si="35"/>
        <v>0</v>
      </c>
      <c r="E122" s="129">
        <f t="shared" si="35"/>
        <v>0</v>
      </c>
      <c r="F122" s="129">
        <f t="shared" si="35"/>
        <v>0</v>
      </c>
      <c r="G122" s="129">
        <f t="shared" si="35"/>
        <v>0</v>
      </c>
      <c r="H122" s="129">
        <f t="shared" si="35"/>
        <v>0</v>
      </c>
      <c r="I122" s="129">
        <f t="shared" si="35"/>
        <v>0</v>
      </c>
      <c r="J122" s="129">
        <f t="shared" si="35"/>
        <v>0</v>
      </c>
      <c r="K122" s="129">
        <f t="shared" si="35"/>
        <v>0</v>
      </c>
      <c r="L122" s="129">
        <f t="shared" si="35"/>
        <v>0</v>
      </c>
      <c r="M122" s="129">
        <f t="shared" si="35"/>
        <v>0</v>
      </c>
      <c r="N122" s="129">
        <f t="shared" si="35"/>
        <v>0</v>
      </c>
      <c r="O122" s="129">
        <f t="shared" si="35"/>
        <v>0</v>
      </c>
      <c r="P122" s="129">
        <f t="shared" si="35"/>
        <v>0</v>
      </c>
      <c r="Q122" s="129">
        <f t="shared" si="35"/>
        <v>0</v>
      </c>
      <c r="R122" s="129">
        <f t="shared" si="35"/>
        <v>0</v>
      </c>
      <c r="S122" s="129">
        <f t="shared" si="35"/>
        <v>0</v>
      </c>
      <c r="T122" s="129">
        <f t="shared" si="34"/>
        <v>0</v>
      </c>
      <c r="U122" s="129">
        <f t="shared" si="34"/>
        <v>0</v>
      </c>
      <c r="V122" s="129">
        <f t="shared" si="34"/>
        <v>0</v>
      </c>
      <c r="W122" s="129">
        <f t="shared" si="34"/>
        <v>0</v>
      </c>
      <c r="X122" s="129">
        <f t="shared" si="34"/>
        <v>0</v>
      </c>
      <c r="Y122" s="129">
        <f t="shared" si="34"/>
        <v>0</v>
      </c>
      <c r="Z122" s="129">
        <f t="shared" si="34"/>
        <v>0</v>
      </c>
      <c r="AA122" s="129">
        <f t="shared" si="34"/>
        <v>0</v>
      </c>
      <c r="AB122" s="129">
        <f t="shared" si="34"/>
        <v>0</v>
      </c>
      <c r="AC122" s="129">
        <f t="shared" si="34"/>
        <v>0</v>
      </c>
      <c r="AD122" s="129">
        <f t="shared" si="34"/>
        <v>0</v>
      </c>
      <c r="AE122" s="129">
        <f t="shared" si="34"/>
        <v>0</v>
      </c>
      <c r="AF122" s="129">
        <f t="shared" si="34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2"/>
        <v>0</v>
      </c>
      <c r="C123" s="130">
        <v>0</v>
      </c>
      <c r="D123" s="129">
        <f t="shared" si="35"/>
        <v>0</v>
      </c>
      <c r="E123" s="129">
        <f t="shared" si="35"/>
        <v>0</v>
      </c>
      <c r="F123" s="129">
        <f t="shared" si="35"/>
        <v>0</v>
      </c>
      <c r="G123" s="129">
        <f t="shared" si="35"/>
        <v>0</v>
      </c>
      <c r="H123" s="129">
        <f t="shared" si="35"/>
        <v>0</v>
      </c>
      <c r="I123" s="129">
        <f t="shared" si="35"/>
        <v>0</v>
      </c>
      <c r="J123" s="129">
        <f t="shared" si="35"/>
        <v>0</v>
      </c>
      <c r="K123" s="129">
        <f t="shared" si="35"/>
        <v>0</v>
      </c>
      <c r="L123" s="129">
        <f t="shared" si="35"/>
        <v>0</v>
      </c>
      <c r="M123" s="129">
        <f t="shared" si="35"/>
        <v>0</v>
      </c>
      <c r="N123" s="129">
        <f t="shared" si="35"/>
        <v>0</v>
      </c>
      <c r="O123" s="129">
        <f t="shared" si="35"/>
        <v>0</v>
      </c>
      <c r="P123" s="129">
        <f t="shared" si="35"/>
        <v>0</v>
      </c>
      <c r="Q123" s="129">
        <f t="shared" si="35"/>
        <v>0</v>
      </c>
      <c r="R123" s="129">
        <f t="shared" si="35"/>
        <v>0</v>
      </c>
      <c r="S123" s="129">
        <f t="shared" si="35"/>
        <v>0</v>
      </c>
      <c r="T123" s="129">
        <f t="shared" si="34"/>
        <v>0</v>
      </c>
      <c r="U123" s="129">
        <f t="shared" si="34"/>
        <v>0</v>
      </c>
      <c r="V123" s="129">
        <f t="shared" si="34"/>
        <v>0</v>
      </c>
      <c r="W123" s="129">
        <f t="shared" si="34"/>
        <v>0</v>
      </c>
      <c r="X123" s="129">
        <f t="shared" si="34"/>
        <v>0</v>
      </c>
      <c r="Y123" s="129">
        <f t="shared" si="34"/>
        <v>0</v>
      </c>
      <c r="Z123" s="129">
        <f t="shared" si="34"/>
        <v>0</v>
      </c>
      <c r="AA123" s="129">
        <f t="shared" si="34"/>
        <v>0</v>
      </c>
      <c r="AB123" s="129">
        <f t="shared" si="34"/>
        <v>0</v>
      </c>
      <c r="AC123" s="129">
        <f t="shared" si="34"/>
        <v>0</v>
      </c>
      <c r="AD123" s="129">
        <f t="shared" si="34"/>
        <v>0</v>
      </c>
      <c r="AE123" s="129">
        <f t="shared" si="34"/>
        <v>0</v>
      </c>
      <c r="AF123" s="129">
        <f t="shared" si="34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2"/>
        <v>5</v>
      </c>
      <c r="C124" s="130">
        <v>5</v>
      </c>
      <c r="D124" s="129">
        <f t="shared" si="35"/>
        <v>5</v>
      </c>
      <c r="E124" s="129">
        <f t="shared" si="35"/>
        <v>5</v>
      </c>
      <c r="F124" s="129">
        <f t="shared" si="35"/>
        <v>5</v>
      </c>
      <c r="G124" s="129">
        <f t="shared" si="35"/>
        <v>5</v>
      </c>
      <c r="H124" s="129">
        <f t="shared" si="35"/>
        <v>5</v>
      </c>
      <c r="I124" s="129">
        <f t="shared" si="35"/>
        <v>5</v>
      </c>
      <c r="J124" s="129">
        <f t="shared" si="35"/>
        <v>5</v>
      </c>
      <c r="K124" s="129">
        <f t="shared" si="35"/>
        <v>5</v>
      </c>
      <c r="L124" s="129">
        <f t="shared" si="35"/>
        <v>5</v>
      </c>
      <c r="M124" s="129">
        <f t="shared" si="35"/>
        <v>5</v>
      </c>
      <c r="N124" s="129">
        <f t="shared" si="35"/>
        <v>5</v>
      </c>
      <c r="O124" s="129">
        <f t="shared" si="35"/>
        <v>5</v>
      </c>
      <c r="P124" s="129">
        <f t="shared" si="35"/>
        <v>5</v>
      </c>
      <c r="Q124" s="129">
        <f t="shared" si="35"/>
        <v>5</v>
      </c>
      <c r="R124" s="129">
        <f t="shared" si="35"/>
        <v>5</v>
      </c>
      <c r="S124" s="129">
        <f t="shared" si="35"/>
        <v>5</v>
      </c>
      <c r="T124" s="129">
        <f t="shared" si="34"/>
        <v>5</v>
      </c>
      <c r="U124" s="129">
        <f t="shared" si="34"/>
        <v>5</v>
      </c>
      <c r="V124" s="129">
        <f t="shared" si="34"/>
        <v>5</v>
      </c>
      <c r="W124" s="129">
        <f t="shared" si="34"/>
        <v>5</v>
      </c>
      <c r="X124" s="129">
        <f t="shared" si="34"/>
        <v>5</v>
      </c>
      <c r="Y124" s="129">
        <f t="shared" si="34"/>
        <v>5</v>
      </c>
      <c r="Z124" s="129">
        <f t="shared" si="34"/>
        <v>5</v>
      </c>
      <c r="AA124" s="129">
        <f t="shared" si="34"/>
        <v>5</v>
      </c>
      <c r="AB124" s="129">
        <f t="shared" si="34"/>
        <v>5</v>
      </c>
      <c r="AC124" s="129">
        <f t="shared" si="34"/>
        <v>5</v>
      </c>
      <c r="AD124" s="129">
        <f t="shared" si="34"/>
        <v>5</v>
      </c>
      <c r="AE124" s="129">
        <f t="shared" si="34"/>
        <v>5</v>
      </c>
      <c r="AF124" s="129">
        <f t="shared" si="34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2"/>
        <v>1</v>
      </c>
      <c r="C125" s="130">
        <v>1</v>
      </c>
      <c r="D125" s="129">
        <f t="shared" si="35"/>
        <v>1</v>
      </c>
      <c r="E125" s="129">
        <f t="shared" si="35"/>
        <v>1</v>
      </c>
      <c r="F125" s="129">
        <f t="shared" si="35"/>
        <v>1</v>
      </c>
      <c r="G125" s="129">
        <f t="shared" si="35"/>
        <v>1</v>
      </c>
      <c r="H125" s="129">
        <f t="shared" si="35"/>
        <v>1</v>
      </c>
      <c r="I125" s="129">
        <f t="shared" si="35"/>
        <v>1</v>
      </c>
      <c r="J125" s="129">
        <f t="shared" si="35"/>
        <v>1</v>
      </c>
      <c r="K125" s="129">
        <f t="shared" si="35"/>
        <v>1</v>
      </c>
      <c r="L125" s="129">
        <f t="shared" si="35"/>
        <v>1</v>
      </c>
      <c r="M125" s="129">
        <f t="shared" si="35"/>
        <v>1</v>
      </c>
      <c r="N125" s="129">
        <f t="shared" si="35"/>
        <v>1</v>
      </c>
      <c r="O125" s="129">
        <f t="shared" si="35"/>
        <v>1</v>
      </c>
      <c r="P125" s="129">
        <f t="shared" si="35"/>
        <v>1</v>
      </c>
      <c r="Q125" s="129">
        <f t="shared" si="35"/>
        <v>1</v>
      </c>
      <c r="R125" s="129">
        <f t="shared" si="35"/>
        <v>1</v>
      </c>
      <c r="S125" s="129">
        <f t="shared" si="35"/>
        <v>1</v>
      </c>
      <c r="T125" s="129">
        <f t="shared" si="34"/>
        <v>1</v>
      </c>
      <c r="U125" s="129">
        <f t="shared" si="34"/>
        <v>1</v>
      </c>
      <c r="V125" s="129">
        <f t="shared" si="34"/>
        <v>1</v>
      </c>
      <c r="W125" s="129">
        <f t="shared" si="34"/>
        <v>1</v>
      </c>
      <c r="X125" s="129">
        <f t="shared" si="34"/>
        <v>1</v>
      </c>
      <c r="Y125" s="129">
        <f t="shared" si="34"/>
        <v>1</v>
      </c>
      <c r="Z125" s="129">
        <f t="shared" si="34"/>
        <v>1</v>
      </c>
      <c r="AA125" s="129">
        <f t="shared" si="34"/>
        <v>1</v>
      </c>
      <c r="AB125" s="129">
        <f t="shared" si="34"/>
        <v>1</v>
      </c>
      <c r="AC125" s="129">
        <f t="shared" si="34"/>
        <v>1</v>
      </c>
      <c r="AD125" s="129">
        <f t="shared" si="34"/>
        <v>1</v>
      </c>
      <c r="AE125" s="129">
        <f t="shared" si="34"/>
        <v>1</v>
      </c>
      <c r="AF125" s="129">
        <f t="shared" si="34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2"/>
        <v>1.58</v>
      </c>
      <c r="C126" s="130">
        <v>1.58</v>
      </c>
      <c r="D126" s="129">
        <f t="shared" si="35"/>
        <v>1.58</v>
      </c>
      <c r="E126" s="129">
        <f t="shared" si="35"/>
        <v>1.58</v>
      </c>
      <c r="F126" s="129">
        <f t="shared" si="35"/>
        <v>1.58</v>
      </c>
      <c r="G126" s="129">
        <f t="shared" si="35"/>
        <v>1.58</v>
      </c>
      <c r="H126" s="129">
        <f t="shared" si="35"/>
        <v>1.58</v>
      </c>
      <c r="I126" s="129">
        <f t="shared" si="35"/>
        <v>1.58</v>
      </c>
      <c r="J126" s="129">
        <f t="shared" si="35"/>
        <v>1.58</v>
      </c>
      <c r="K126" s="129">
        <f t="shared" si="35"/>
        <v>1.58</v>
      </c>
      <c r="L126" s="129">
        <f t="shared" si="35"/>
        <v>1.58</v>
      </c>
      <c r="M126" s="129">
        <f t="shared" si="35"/>
        <v>1.58</v>
      </c>
      <c r="N126" s="129">
        <f t="shared" si="35"/>
        <v>1.58</v>
      </c>
      <c r="O126" s="129">
        <f t="shared" si="35"/>
        <v>1.58</v>
      </c>
      <c r="P126" s="129">
        <f t="shared" si="35"/>
        <v>1.58</v>
      </c>
      <c r="Q126" s="129">
        <f t="shared" si="35"/>
        <v>1.58</v>
      </c>
      <c r="R126" s="129">
        <f t="shared" si="35"/>
        <v>1.58</v>
      </c>
      <c r="S126" s="129">
        <f t="shared" si="35"/>
        <v>1.58</v>
      </c>
      <c r="T126" s="129">
        <f t="shared" si="34"/>
        <v>1.58</v>
      </c>
      <c r="U126" s="129">
        <f t="shared" si="34"/>
        <v>1.58</v>
      </c>
      <c r="V126" s="129">
        <f t="shared" si="34"/>
        <v>1.58</v>
      </c>
      <c r="W126" s="129">
        <f t="shared" si="34"/>
        <v>1.58</v>
      </c>
      <c r="X126" s="129">
        <f t="shared" si="34"/>
        <v>1.58</v>
      </c>
      <c r="Y126" s="129">
        <f t="shared" si="34"/>
        <v>1.58</v>
      </c>
      <c r="Z126" s="129">
        <f t="shared" si="34"/>
        <v>1.58</v>
      </c>
      <c r="AA126" s="129">
        <f t="shared" si="34"/>
        <v>1.58</v>
      </c>
      <c r="AB126" s="129">
        <f t="shared" si="34"/>
        <v>1.58</v>
      </c>
      <c r="AC126" s="129">
        <f t="shared" si="34"/>
        <v>1.58</v>
      </c>
      <c r="AD126" s="129">
        <f t="shared" si="34"/>
        <v>1.58</v>
      </c>
      <c r="AE126" s="129">
        <f t="shared" si="34"/>
        <v>1.58</v>
      </c>
      <c r="AF126" s="129">
        <f t="shared" si="34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2"/>
        <v>1.46</v>
      </c>
      <c r="C127" s="130">
        <v>1.46</v>
      </c>
      <c r="D127" s="129">
        <f t="shared" si="35"/>
        <v>1.46</v>
      </c>
      <c r="E127" s="129">
        <f t="shared" si="35"/>
        <v>1.46</v>
      </c>
      <c r="F127" s="129">
        <f t="shared" si="35"/>
        <v>1.46</v>
      </c>
      <c r="G127" s="129">
        <f t="shared" si="35"/>
        <v>1.46</v>
      </c>
      <c r="H127" s="129">
        <f t="shared" si="35"/>
        <v>1.46</v>
      </c>
      <c r="I127" s="129">
        <f t="shared" si="35"/>
        <v>1.46</v>
      </c>
      <c r="J127" s="129">
        <f t="shared" si="35"/>
        <v>1.46</v>
      </c>
      <c r="K127" s="129">
        <f t="shared" si="35"/>
        <v>1.46</v>
      </c>
      <c r="L127" s="129">
        <f t="shared" si="35"/>
        <v>1.46</v>
      </c>
      <c r="M127" s="129">
        <f t="shared" si="35"/>
        <v>1.46</v>
      </c>
      <c r="N127" s="129">
        <f t="shared" si="35"/>
        <v>1.46</v>
      </c>
      <c r="O127" s="129">
        <f t="shared" si="35"/>
        <v>1.46</v>
      </c>
      <c r="P127" s="129">
        <f t="shared" si="35"/>
        <v>1.46</v>
      </c>
      <c r="Q127" s="129">
        <f t="shared" si="35"/>
        <v>1.46</v>
      </c>
      <c r="R127" s="129">
        <f t="shared" si="35"/>
        <v>1.46</v>
      </c>
      <c r="S127" s="129">
        <f t="shared" si="35"/>
        <v>1.46</v>
      </c>
      <c r="T127" s="129">
        <f t="shared" ref="T127:AF128" si="36">S127</f>
        <v>1.46</v>
      </c>
      <c r="U127" s="129">
        <f t="shared" si="36"/>
        <v>1.46</v>
      </c>
      <c r="V127" s="129">
        <f t="shared" si="36"/>
        <v>1.46</v>
      </c>
      <c r="W127" s="129">
        <f t="shared" si="36"/>
        <v>1.46</v>
      </c>
      <c r="X127" s="129">
        <f t="shared" si="36"/>
        <v>1.46</v>
      </c>
      <c r="Y127" s="129">
        <f t="shared" si="36"/>
        <v>1.46</v>
      </c>
      <c r="Z127" s="129">
        <f t="shared" si="36"/>
        <v>1.46</v>
      </c>
      <c r="AA127" s="129">
        <f t="shared" si="36"/>
        <v>1.46</v>
      </c>
      <c r="AB127" s="129">
        <f t="shared" si="36"/>
        <v>1.46</v>
      </c>
      <c r="AC127" s="129">
        <f t="shared" si="36"/>
        <v>1.46</v>
      </c>
      <c r="AD127" s="129">
        <f t="shared" si="36"/>
        <v>1.46</v>
      </c>
      <c r="AE127" s="129">
        <f t="shared" si="36"/>
        <v>1.46</v>
      </c>
      <c r="AF127" s="129">
        <f t="shared" si="36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2"/>
        <v>1.48</v>
      </c>
      <c r="C128" s="130">
        <v>1.48</v>
      </c>
      <c r="D128" s="129">
        <f t="shared" si="35"/>
        <v>1.48</v>
      </c>
      <c r="E128" s="129">
        <f t="shared" si="35"/>
        <v>1.48</v>
      </c>
      <c r="F128" s="129">
        <f t="shared" si="35"/>
        <v>1.48</v>
      </c>
      <c r="G128" s="129">
        <f t="shared" si="35"/>
        <v>1.48</v>
      </c>
      <c r="H128" s="129">
        <f t="shared" si="35"/>
        <v>1.48</v>
      </c>
      <c r="I128" s="129">
        <f t="shared" si="35"/>
        <v>1.48</v>
      </c>
      <c r="J128" s="129">
        <f t="shared" si="35"/>
        <v>1.48</v>
      </c>
      <c r="K128" s="129">
        <f t="shared" si="35"/>
        <v>1.48</v>
      </c>
      <c r="L128" s="129">
        <f t="shared" si="35"/>
        <v>1.48</v>
      </c>
      <c r="M128" s="129">
        <f t="shared" si="35"/>
        <v>1.48</v>
      </c>
      <c r="N128" s="129">
        <f t="shared" si="35"/>
        <v>1.48</v>
      </c>
      <c r="O128" s="129">
        <f t="shared" si="35"/>
        <v>1.48</v>
      </c>
      <c r="P128" s="129">
        <f t="shared" si="35"/>
        <v>1.48</v>
      </c>
      <c r="Q128" s="129">
        <f t="shared" si="35"/>
        <v>1.48</v>
      </c>
      <c r="R128" s="129">
        <f t="shared" si="35"/>
        <v>1.48</v>
      </c>
      <c r="S128" s="129">
        <f t="shared" si="35"/>
        <v>1.48</v>
      </c>
      <c r="T128" s="129">
        <f t="shared" si="36"/>
        <v>1.48</v>
      </c>
      <c r="U128" s="129">
        <f t="shared" si="36"/>
        <v>1.48</v>
      </c>
      <c r="V128" s="129">
        <f t="shared" si="36"/>
        <v>1.48</v>
      </c>
      <c r="W128" s="129">
        <f t="shared" si="36"/>
        <v>1.48</v>
      </c>
      <c r="X128" s="129">
        <f t="shared" si="36"/>
        <v>1.48</v>
      </c>
      <c r="Y128" s="129">
        <f t="shared" si="36"/>
        <v>1.48</v>
      </c>
      <c r="Z128" s="129">
        <f t="shared" si="36"/>
        <v>1.48</v>
      </c>
      <c r="AA128" s="129">
        <f t="shared" si="36"/>
        <v>1.48</v>
      </c>
      <c r="AB128" s="129">
        <f t="shared" si="36"/>
        <v>1.48</v>
      </c>
      <c r="AC128" s="129">
        <f t="shared" si="36"/>
        <v>1.48</v>
      </c>
      <c r="AD128" s="129">
        <f t="shared" si="36"/>
        <v>1.48</v>
      </c>
      <c r="AE128" s="129">
        <f t="shared" si="36"/>
        <v>1.48</v>
      </c>
      <c r="AF128" s="129">
        <f t="shared" si="36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7">AF130</f>
        <v>2.2000000000000002</v>
      </c>
      <c r="C130" s="130">
        <v>2.2000000000000002</v>
      </c>
      <c r="D130" s="129">
        <f t="shared" ref="D130:S137" si="38">C130</f>
        <v>2.2000000000000002</v>
      </c>
      <c r="E130" s="129">
        <f t="shared" si="38"/>
        <v>2.2000000000000002</v>
      </c>
      <c r="F130" s="129">
        <f t="shared" si="38"/>
        <v>2.2000000000000002</v>
      </c>
      <c r="G130" s="129">
        <f t="shared" si="38"/>
        <v>2.2000000000000002</v>
      </c>
      <c r="H130" s="129">
        <f t="shared" si="38"/>
        <v>2.2000000000000002</v>
      </c>
      <c r="I130" s="129">
        <f t="shared" si="38"/>
        <v>2.2000000000000002</v>
      </c>
      <c r="J130" s="129">
        <f t="shared" si="38"/>
        <v>2.2000000000000002</v>
      </c>
      <c r="K130" s="129">
        <f t="shared" si="38"/>
        <v>2.2000000000000002</v>
      </c>
      <c r="L130" s="129">
        <f t="shared" si="38"/>
        <v>2.2000000000000002</v>
      </c>
      <c r="M130" s="129">
        <f t="shared" si="38"/>
        <v>2.2000000000000002</v>
      </c>
      <c r="N130" s="129">
        <f t="shared" si="38"/>
        <v>2.2000000000000002</v>
      </c>
      <c r="O130" s="129">
        <f t="shared" si="38"/>
        <v>2.2000000000000002</v>
      </c>
      <c r="P130" s="129">
        <f t="shared" si="38"/>
        <v>2.2000000000000002</v>
      </c>
      <c r="Q130" s="129">
        <f t="shared" si="38"/>
        <v>2.2000000000000002</v>
      </c>
      <c r="R130" s="129">
        <f t="shared" si="38"/>
        <v>2.2000000000000002</v>
      </c>
      <c r="S130" s="129">
        <f t="shared" si="38"/>
        <v>2.2000000000000002</v>
      </c>
      <c r="T130" s="129">
        <f t="shared" ref="T130:AF137" si="39">S130</f>
        <v>2.2000000000000002</v>
      </c>
      <c r="U130" s="129">
        <f t="shared" si="39"/>
        <v>2.2000000000000002</v>
      </c>
      <c r="V130" s="129">
        <f t="shared" si="39"/>
        <v>2.2000000000000002</v>
      </c>
      <c r="W130" s="129">
        <f t="shared" si="39"/>
        <v>2.2000000000000002</v>
      </c>
      <c r="X130" s="129">
        <f t="shared" si="39"/>
        <v>2.2000000000000002</v>
      </c>
      <c r="Y130" s="129">
        <f t="shared" si="39"/>
        <v>2.2000000000000002</v>
      </c>
      <c r="Z130" s="129">
        <f t="shared" si="39"/>
        <v>2.2000000000000002</v>
      </c>
      <c r="AA130" s="129">
        <f t="shared" si="39"/>
        <v>2.2000000000000002</v>
      </c>
      <c r="AB130" s="129">
        <f t="shared" si="39"/>
        <v>2.2000000000000002</v>
      </c>
      <c r="AC130" s="129">
        <f t="shared" si="39"/>
        <v>2.2000000000000002</v>
      </c>
      <c r="AD130" s="129">
        <f t="shared" si="39"/>
        <v>2.2000000000000002</v>
      </c>
      <c r="AE130" s="129">
        <f t="shared" si="39"/>
        <v>2.2000000000000002</v>
      </c>
      <c r="AF130" s="129">
        <f t="shared" si="39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7"/>
        <v>2</v>
      </c>
      <c r="C131" s="130">
        <v>2</v>
      </c>
      <c r="D131" s="129">
        <f t="shared" si="38"/>
        <v>2</v>
      </c>
      <c r="E131" s="129">
        <f t="shared" si="38"/>
        <v>2</v>
      </c>
      <c r="F131" s="129">
        <f t="shared" si="38"/>
        <v>2</v>
      </c>
      <c r="G131" s="129">
        <f t="shared" si="38"/>
        <v>2</v>
      </c>
      <c r="H131" s="129">
        <f t="shared" si="38"/>
        <v>2</v>
      </c>
      <c r="I131" s="129">
        <f t="shared" si="38"/>
        <v>2</v>
      </c>
      <c r="J131" s="129">
        <f t="shared" si="38"/>
        <v>2</v>
      </c>
      <c r="K131" s="129">
        <f t="shared" si="38"/>
        <v>2</v>
      </c>
      <c r="L131" s="129">
        <f t="shared" si="38"/>
        <v>2</v>
      </c>
      <c r="M131" s="129">
        <f t="shared" si="38"/>
        <v>2</v>
      </c>
      <c r="N131" s="129">
        <f t="shared" si="38"/>
        <v>2</v>
      </c>
      <c r="O131" s="129">
        <f t="shared" si="38"/>
        <v>2</v>
      </c>
      <c r="P131" s="129">
        <f t="shared" si="38"/>
        <v>2</v>
      </c>
      <c r="Q131" s="129">
        <f t="shared" si="38"/>
        <v>2</v>
      </c>
      <c r="R131" s="129">
        <f t="shared" si="38"/>
        <v>2</v>
      </c>
      <c r="S131" s="129">
        <f t="shared" si="38"/>
        <v>2</v>
      </c>
      <c r="T131" s="129">
        <f t="shared" si="39"/>
        <v>2</v>
      </c>
      <c r="U131" s="129">
        <f t="shared" si="39"/>
        <v>2</v>
      </c>
      <c r="V131" s="129">
        <f t="shared" si="39"/>
        <v>2</v>
      </c>
      <c r="W131" s="129">
        <f t="shared" si="39"/>
        <v>2</v>
      </c>
      <c r="X131" s="129">
        <f t="shared" si="39"/>
        <v>2</v>
      </c>
      <c r="Y131" s="129">
        <f t="shared" si="39"/>
        <v>2</v>
      </c>
      <c r="Z131" s="129">
        <f t="shared" si="39"/>
        <v>2</v>
      </c>
      <c r="AA131" s="129">
        <f t="shared" si="39"/>
        <v>2</v>
      </c>
      <c r="AB131" s="129">
        <f t="shared" si="39"/>
        <v>2</v>
      </c>
      <c r="AC131" s="129">
        <f t="shared" si="39"/>
        <v>2</v>
      </c>
      <c r="AD131" s="129">
        <f t="shared" si="39"/>
        <v>2</v>
      </c>
      <c r="AE131" s="129">
        <f t="shared" si="39"/>
        <v>2</v>
      </c>
      <c r="AF131" s="129">
        <f t="shared" si="39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7"/>
        <v>1.25</v>
      </c>
      <c r="C132" s="130">
        <v>1.25</v>
      </c>
      <c r="D132" s="129">
        <f t="shared" si="38"/>
        <v>1.25</v>
      </c>
      <c r="E132" s="129">
        <f t="shared" si="38"/>
        <v>1.25</v>
      </c>
      <c r="F132" s="129">
        <f t="shared" si="38"/>
        <v>1.25</v>
      </c>
      <c r="G132" s="129">
        <f t="shared" si="38"/>
        <v>1.25</v>
      </c>
      <c r="H132" s="129">
        <f t="shared" si="38"/>
        <v>1.25</v>
      </c>
      <c r="I132" s="129">
        <f t="shared" si="38"/>
        <v>1.25</v>
      </c>
      <c r="J132" s="129">
        <f t="shared" si="38"/>
        <v>1.25</v>
      </c>
      <c r="K132" s="129">
        <f t="shared" si="38"/>
        <v>1.25</v>
      </c>
      <c r="L132" s="129">
        <f t="shared" si="38"/>
        <v>1.25</v>
      </c>
      <c r="M132" s="129">
        <f t="shared" si="38"/>
        <v>1.25</v>
      </c>
      <c r="N132" s="129">
        <f t="shared" si="38"/>
        <v>1.25</v>
      </c>
      <c r="O132" s="129">
        <f t="shared" si="38"/>
        <v>1.25</v>
      </c>
      <c r="P132" s="129">
        <f t="shared" si="38"/>
        <v>1.25</v>
      </c>
      <c r="Q132" s="129">
        <f t="shared" si="38"/>
        <v>1.25</v>
      </c>
      <c r="R132" s="129">
        <f t="shared" si="38"/>
        <v>1.25</v>
      </c>
      <c r="S132" s="129">
        <f t="shared" si="38"/>
        <v>1.25</v>
      </c>
      <c r="T132" s="129">
        <f t="shared" si="39"/>
        <v>1.25</v>
      </c>
      <c r="U132" s="129">
        <f t="shared" si="39"/>
        <v>1.25</v>
      </c>
      <c r="V132" s="129">
        <f t="shared" si="39"/>
        <v>1.25</v>
      </c>
      <c r="W132" s="129">
        <f t="shared" si="39"/>
        <v>1.25</v>
      </c>
      <c r="X132" s="129">
        <f t="shared" si="39"/>
        <v>1.25</v>
      </c>
      <c r="Y132" s="129">
        <f t="shared" si="39"/>
        <v>1.25</v>
      </c>
      <c r="Z132" s="129">
        <f t="shared" si="39"/>
        <v>1.25</v>
      </c>
      <c r="AA132" s="129">
        <f t="shared" si="39"/>
        <v>1.25</v>
      </c>
      <c r="AB132" s="129">
        <f t="shared" si="39"/>
        <v>1.25</v>
      </c>
      <c r="AC132" s="129">
        <f t="shared" si="39"/>
        <v>1.25</v>
      </c>
      <c r="AD132" s="129">
        <f t="shared" si="39"/>
        <v>1.25</v>
      </c>
      <c r="AE132" s="129">
        <f t="shared" si="39"/>
        <v>1.25</v>
      </c>
      <c r="AF132" s="129">
        <f t="shared" si="39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7"/>
        <v>1.1499999999999999</v>
      </c>
      <c r="C133" s="130">
        <v>1.1499999999999999</v>
      </c>
      <c r="D133" s="129">
        <f t="shared" si="38"/>
        <v>1.1499999999999999</v>
      </c>
      <c r="E133" s="129">
        <f t="shared" si="38"/>
        <v>1.1499999999999999</v>
      </c>
      <c r="F133" s="129">
        <f t="shared" si="38"/>
        <v>1.1499999999999999</v>
      </c>
      <c r="G133" s="129">
        <f t="shared" si="38"/>
        <v>1.1499999999999999</v>
      </c>
      <c r="H133" s="129">
        <f t="shared" si="38"/>
        <v>1.1499999999999999</v>
      </c>
      <c r="I133" s="129">
        <f t="shared" si="38"/>
        <v>1.1499999999999999</v>
      </c>
      <c r="J133" s="129">
        <f t="shared" si="38"/>
        <v>1.1499999999999999</v>
      </c>
      <c r="K133" s="129">
        <f t="shared" si="38"/>
        <v>1.1499999999999999</v>
      </c>
      <c r="L133" s="129">
        <f t="shared" si="38"/>
        <v>1.1499999999999999</v>
      </c>
      <c r="M133" s="129">
        <f t="shared" si="38"/>
        <v>1.1499999999999999</v>
      </c>
      <c r="N133" s="129">
        <f t="shared" si="38"/>
        <v>1.1499999999999999</v>
      </c>
      <c r="O133" s="129">
        <f t="shared" si="38"/>
        <v>1.1499999999999999</v>
      </c>
      <c r="P133" s="129">
        <f t="shared" si="38"/>
        <v>1.1499999999999999</v>
      </c>
      <c r="Q133" s="129">
        <f t="shared" si="38"/>
        <v>1.1499999999999999</v>
      </c>
      <c r="R133" s="129">
        <f t="shared" si="38"/>
        <v>1.1499999999999999</v>
      </c>
      <c r="S133" s="129">
        <f t="shared" si="38"/>
        <v>1.1499999999999999</v>
      </c>
      <c r="T133" s="129">
        <f t="shared" si="39"/>
        <v>1.1499999999999999</v>
      </c>
      <c r="U133" s="129">
        <f t="shared" si="39"/>
        <v>1.1499999999999999</v>
      </c>
      <c r="V133" s="129">
        <f t="shared" si="39"/>
        <v>1.1499999999999999</v>
      </c>
      <c r="W133" s="129">
        <f t="shared" si="39"/>
        <v>1.1499999999999999</v>
      </c>
      <c r="X133" s="129">
        <f t="shared" si="39"/>
        <v>1.1499999999999999</v>
      </c>
      <c r="Y133" s="129">
        <f t="shared" si="39"/>
        <v>1.1499999999999999</v>
      </c>
      <c r="Z133" s="129">
        <f t="shared" si="39"/>
        <v>1.1499999999999999</v>
      </c>
      <c r="AA133" s="129">
        <f t="shared" si="39"/>
        <v>1.1499999999999999</v>
      </c>
      <c r="AB133" s="129">
        <f t="shared" si="39"/>
        <v>1.1499999999999999</v>
      </c>
      <c r="AC133" s="129">
        <f t="shared" si="39"/>
        <v>1.1499999999999999</v>
      </c>
      <c r="AD133" s="129">
        <f t="shared" si="39"/>
        <v>1.1499999999999999</v>
      </c>
      <c r="AE133" s="129">
        <f t="shared" si="39"/>
        <v>1.1499999999999999</v>
      </c>
      <c r="AF133" s="129">
        <f t="shared" si="39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7"/>
        <v>2.133</v>
      </c>
      <c r="C134" s="130">
        <v>2.133</v>
      </c>
      <c r="D134" s="129">
        <f t="shared" si="38"/>
        <v>2.133</v>
      </c>
      <c r="E134" s="129">
        <f t="shared" si="38"/>
        <v>2.133</v>
      </c>
      <c r="F134" s="129">
        <f t="shared" si="38"/>
        <v>2.133</v>
      </c>
      <c r="G134" s="129">
        <f t="shared" si="38"/>
        <v>2.133</v>
      </c>
      <c r="H134" s="129">
        <f t="shared" si="38"/>
        <v>2.133</v>
      </c>
      <c r="I134" s="129">
        <f t="shared" si="38"/>
        <v>2.133</v>
      </c>
      <c r="J134" s="129">
        <f t="shared" si="38"/>
        <v>2.133</v>
      </c>
      <c r="K134" s="129">
        <f t="shared" si="38"/>
        <v>2.133</v>
      </c>
      <c r="L134" s="129">
        <f t="shared" si="38"/>
        <v>2.133</v>
      </c>
      <c r="M134" s="129">
        <f t="shared" si="38"/>
        <v>2.133</v>
      </c>
      <c r="N134" s="129">
        <f t="shared" si="38"/>
        <v>2.133</v>
      </c>
      <c r="O134" s="129">
        <f t="shared" si="38"/>
        <v>2.133</v>
      </c>
      <c r="P134" s="129">
        <f t="shared" si="38"/>
        <v>2.133</v>
      </c>
      <c r="Q134" s="129">
        <f t="shared" si="38"/>
        <v>2.133</v>
      </c>
      <c r="R134" s="129">
        <f t="shared" si="38"/>
        <v>2.133</v>
      </c>
      <c r="S134" s="129">
        <f t="shared" si="38"/>
        <v>2.133</v>
      </c>
      <c r="T134" s="129">
        <f t="shared" si="39"/>
        <v>2.133</v>
      </c>
      <c r="U134" s="129">
        <f t="shared" si="39"/>
        <v>2.133</v>
      </c>
      <c r="V134" s="129">
        <f t="shared" si="39"/>
        <v>2.133</v>
      </c>
      <c r="W134" s="129">
        <f t="shared" si="39"/>
        <v>2.133</v>
      </c>
      <c r="X134" s="129">
        <f t="shared" si="39"/>
        <v>2.133</v>
      </c>
      <c r="Y134" s="129">
        <f t="shared" si="39"/>
        <v>2.133</v>
      </c>
      <c r="Z134" s="129">
        <f t="shared" si="39"/>
        <v>2.133</v>
      </c>
      <c r="AA134" s="129">
        <f t="shared" si="39"/>
        <v>2.133</v>
      </c>
      <c r="AB134" s="129">
        <f t="shared" si="39"/>
        <v>2.133</v>
      </c>
      <c r="AC134" s="129">
        <f t="shared" si="39"/>
        <v>2.133</v>
      </c>
      <c r="AD134" s="129">
        <f t="shared" si="39"/>
        <v>2.133</v>
      </c>
      <c r="AE134" s="129">
        <f t="shared" si="39"/>
        <v>2.133</v>
      </c>
      <c r="AF134" s="129">
        <f t="shared" si="39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7"/>
        <v>2.09</v>
      </c>
      <c r="C135" s="130">
        <v>2.09</v>
      </c>
      <c r="D135" s="129">
        <f t="shared" si="38"/>
        <v>2.09</v>
      </c>
      <c r="E135" s="129">
        <f t="shared" si="38"/>
        <v>2.09</v>
      </c>
      <c r="F135" s="129">
        <f t="shared" si="38"/>
        <v>2.09</v>
      </c>
      <c r="G135" s="129">
        <f t="shared" si="38"/>
        <v>2.09</v>
      </c>
      <c r="H135" s="129">
        <f t="shared" si="38"/>
        <v>2.09</v>
      </c>
      <c r="I135" s="129">
        <f t="shared" si="38"/>
        <v>2.09</v>
      </c>
      <c r="J135" s="129">
        <f t="shared" si="38"/>
        <v>2.09</v>
      </c>
      <c r="K135" s="129">
        <f t="shared" si="38"/>
        <v>2.09</v>
      </c>
      <c r="L135" s="129">
        <f t="shared" si="38"/>
        <v>2.09</v>
      </c>
      <c r="M135" s="129">
        <f t="shared" si="38"/>
        <v>2.09</v>
      </c>
      <c r="N135" s="129">
        <f t="shared" si="38"/>
        <v>2.09</v>
      </c>
      <c r="O135" s="129">
        <f t="shared" si="38"/>
        <v>2.09</v>
      </c>
      <c r="P135" s="129">
        <f t="shared" si="38"/>
        <v>2.09</v>
      </c>
      <c r="Q135" s="129">
        <f t="shared" si="38"/>
        <v>2.09</v>
      </c>
      <c r="R135" s="129">
        <f t="shared" si="38"/>
        <v>2.09</v>
      </c>
      <c r="S135" s="129">
        <f t="shared" si="38"/>
        <v>2.09</v>
      </c>
      <c r="T135" s="129">
        <f t="shared" si="39"/>
        <v>2.09</v>
      </c>
      <c r="U135" s="129">
        <f t="shared" si="39"/>
        <v>2.09</v>
      </c>
      <c r="V135" s="129">
        <f t="shared" si="39"/>
        <v>2.09</v>
      </c>
      <c r="W135" s="129">
        <f t="shared" si="39"/>
        <v>2.09</v>
      </c>
      <c r="X135" s="129">
        <f t="shared" si="39"/>
        <v>2.09</v>
      </c>
      <c r="Y135" s="129">
        <f t="shared" si="39"/>
        <v>2.09</v>
      </c>
      <c r="Z135" s="129">
        <f t="shared" si="39"/>
        <v>2.09</v>
      </c>
      <c r="AA135" s="129">
        <f t="shared" si="39"/>
        <v>2.09</v>
      </c>
      <c r="AB135" s="129">
        <f t="shared" si="39"/>
        <v>2.09</v>
      </c>
      <c r="AC135" s="129">
        <f t="shared" si="39"/>
        <v>2.09</v>
      </c>
      <c r="AD135" s="129">
        <f t="shared" si="39"/>
        <v>2.09</v>
      </c>
      <c r="AE135" s="129">
        <f t="shared" si="39"/>
        <v>2.09</v>
      </c>
      <c r="AF135" s="129">
        <f t="shared" si="39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7"/>
        <v>1.1399999999999999</v>
      </c>
      <c r="C136" s="130">
        <v>1.1399999999999999</v>
      </c>
      <c r="D136" s="129">
        <f t="shared" si="38"/>
        <v>1.1399999999999999</v>
      </c>
      <c r="E136" s="129">
        <f t="shared" si="38"/>
        <v>1.1399999999999999</v>
      </c>
      <c r="F136" s="129">
        <f t="shared" si="38"/>
        <v>1.1399999999999999</v>
      </c>
      <c r="G136" s="129">
        <f t="shared" si="38"/>
        <v>1.1399999999999999</v>
      </c>
      <c r="H136" s="129">
        <f t="shared" si="38"/>
        <v>1.1399999999999999</v>
      </c>
      <c r="I136" s="129">
        <f t="shared" si="38"/>
        <v>1.1399999999999999</v>
      </c>
      <c r="J136" s="129">
        <f t="shared" si="38"/>
        <v>1.1399999999999999</v>
      </c>
      <c r="K136" s="129">
        <f t="shared" si="38"/>
        <v>1.1399999999999999</v>
      </c>
      <c r="L136" s="129">
        <f t="shared" si="38"/>
        <v>1.1399999999999999</v>
      </c>
      <c r="M136" s="129">
        <f t="shared" si="38"/>
        <v>1.1399999999999999</v>
      </c>
      <c r="N136" s="129">
        <f t="shared" si="38"/>
        <v>1.1399999999999999</v>
      </c>
      <c r="O136" s="129">
        <f t="shared" si="38"/>
        <v>1.1399999999999999</v>
      </c>
      <c r="P136" s="129">
        <f t="shared" si="38"/>
        <v>1.1399999999999999</v>
      </c>
      <c r="Q136" s="129">
        <f t="shared" si="38"/>
        <v>1.1399999999999999</v>
      </c>
      <c r="R136" s="129">
        <f t="shared" si="38"/>
        <v>1.1399999999999999</v>
      </c>
      <c r="S136" s="129">
        <f t="shared" si="38"/>
        <v>1.1399999999999999</v>
      </c>
      <c r="T136" s="129">
        <f t="shared" si="39"/>
        <v>1.1399999999999999</v>
      </c>
      <c r="U136" s="129">
        <f t="shared" si="39"/>
        <v>1.1399999999999999</v>
      </c>
      <c r="V136" s="129">
        <f t="shared" si="39"/>
        <v>1.1399999999999999</v>
      </c>
      <c r="W136" s="129">
        <f t="shared" si="39"/>
        <v>1.1399999999999999</v>
      </c>
      <c r="X136" s="129">
        <f t="shared" si="39"/>
        <v>1.1399999999999999</v>
      </c>
      <c r="Y136" s="129">
        <f t="shared" si="39"/>
        <v>1.1399999999999999</v>
      </c>
      <c r="Z136" s="129">
        <f t="shared" si="39"/>
        <v>1.1399999999999999</v>
      </c>
      <c r="AA136" s="129">
        <f t="shared" si="39"/>
        <v>1.1399999999999999</v>
      </c>
      <c r="AB136" s="129">
        <f t="shared" si="39"/>
        <v>1.1399999999999999</v>
      </c>
      <c r="AC136" s="129">
        <f t="shared" si="39"/>
        <v>1.1399999999999999</v>
      </c>
      <c r="AD136" s="129">
        <f t="shared" si="39"/>
        <v>1.1399999999999999</v>
      </c>
      <c r="AE136" s="129">
        <f t="shared" si="39"/>
        <v>1.1399999999999999</v>
      </c>
      <c r="AF136" s="129">
        <f t="shared" si="39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7"/>
        <v>0.82</v>
      </c>
      <c r="C137" s="130">
        <v>0.82</v>
      </c>
      <c r="D137" s="129">
        <f t="shared" si="38"/>
        <v>0.82</v>
      </c>
      <c r="E137" s="129">
        <f t="shared" si="38"/>
        <v>0.82</v>
      </c>
      <c r="F137" s="129">
        <f t="shared" si="38"/>
        <v>0.82</v>
      </c>
      <c r="G137" s="129">
        <f t="shared" si="38"/>
        <v>0.82</v>
      </c>
      <c r="H137" s="129">
        <f t="shared" si="38"/>
        <v>0.82</v>
      </c>
      <c r="I137" s="129">
        <f t="shared" si="38"/>
        <v>0.82</v>
      </c>
      <c r="J137" s="129">
        <f t="shared" si="38"/>
        <v>0.82</v>
      </c>
      <c r="K137" s="129">
        <f t="shared" si="38"/>
        <v>0.82</v>
      </c>
      <c r="L137" s="129">
        <f t="shared" si="38"/>
        <v>0.82</v>
      </c>
      <c r="M137" s="129">
        <f t="shared" si="38"/>
        <v>0.82</v>
      </c>
      <c r="N137" s="129">
        <f t="shared" si="38"/>
        <v>0.82</v>
      </c>
      <c r="O137" s="129">
        <f t="shared" si="38"/>
        <v>0.82</v>
      </c>
      <c r="P137" s="129">
        <f t="shared" si="38"/>
        <v>0.82</v>
      </c>
      <c r="Q137" s="129">
        <f t="shared" si="38"/>
        <v>0.82</v>
      </c>
      <c r="R137" s="129">
        <f t="shared" si="38"/>
        <v>0.82</v>
      </c>
      <c r="S137" s="129">
        <f t="shared" si="38"/>
        <v>0.82</v>
      </c>
      <c r="T137" s="129">
        <f t="shared" si="39"/>
        <v>0.82</v>
      </c>
      <c r="U137" s="129">
        <f t="shared" si="39"/>
        <v>0.82</v>
      </c>
      <c r="V137" s="129">
        <f t="shared" si="39"/>
        <v>0.82</v>
      </c>
      <c r="W137" s="129">
        <f t="shared" si="39"/>
        <v>0.82</v>
      </c>
      <c r="X137" s="129">
        <f t="shared" si="39"/>
        <v>0.82</v>
      </c>
      <c r="Y137" s="129">
        <f t="shared" si="39"/>
        <v>0.82</v>
      </c>
      <c r="Z137" s="129">
        <f t="shared" si="39"/>
        <v>0.82</v>
      </c>
      <c r="AA137" s="129">
        <f t="shared" si="39"/>
        <v>0.82</v>
      </c>
      <c r="AB137" s="129">
        <f t="shared" si="39"/>
        <v>0.82</v>
      </c>
      <c r="AC137" s="129">
        <f t="shared" si="39"/>
        <v>0.82</v>
      </c>
      <c r="AD137" s="129">
        <f t="shared" si="39"/>
        <v>0.82</v>
      </c>
      <c r="AE137" s="129">
        <f t="shared" si="39"/>
        <v>0.82</v>
      </c>
      <c r="AF137" s="129">
        <f t="shared" si="39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40">AF139</f>
        <v>2</v>
      </c>
      <c r="C139" s="130">
        <v>2</v>
      </c>
      <c r="D139" s="129">
        <f t="shared" ref="D139:S145" si="41">C139</f>
        <v>2</v>
      </c>
      <c r="E139" s="129">
        <f t="shared" si="41"/>
        <v>2</v>
      </c>
      <c r="F139" s="129">
        <f t="shared" si="41"/>
        <v>2</v>
      </c>
      <c r="G139" s="129">
        <f t="shared" si="41"/>
        <v>2</v>
      </c>
      <c r="H139" s="129">
        <f t="shared" si="41"/>
        <v>2</v>
      </c>
      <c r="I139" s="129">
        <f t="shared" si="41"/>
        <v>2</v>
      </c>
      <c r="J139" s="129">
        <f t="shared" si="41"/>
        <v>2</v>
      </c>
      <c r="K139" s="129">
        <f t="shared" si="41"/>
        <v>2</v>
      </c>
      <c r="L139" s="129">
        <f t="shared" si="41"/>
        <v>2</v>
      </c>
      <c r="M139" s="129">
        <f t="shared" si="41"/>
        <v>2</v>
      </c>
      <c r="N139" s="129">
        <f t="shared" si="41"/>
        <v>2</v>
      </c>
      <c r="O139" s="129">
        <f t="shared" si="41"/>
        <v>2</v>
      </c>
      <c r="P139" s="129">
        <f t="shared" si="41"/>
        <v>2</v>
      </c>
      <c r="Q139" s="129">
        <f t="shared" si="41"/>
        <v>2</v>
      </c>
      <c r="R139" s="129">
        <f t="shared" si="41"/>
        <v>2</v>
      </c>
      <c r="S139" s="129">
        <f t="shared" si="41"/>
        <v>2</v>
      </c>
      <c r="T139" s="129">
        <f t="shared" ref="T139:AF145" si="42">S139</f>
        <v>2</v>
      </c>
      <c r="U139" s="129">
        <f t="shared" si="42"/>
        <v>2</v>
      </c>
      <c r="V139" s="129">
        <f t="shared" si="42"/>
        <v>2</v>
      </c>
      <c r="W139" s="129">
        <f t="shared" si="42"/>
        <v>2</v>
      </c>
      <c r="X139" s="129">
        <f t="shared" si="42"/>
        <v>2</v>
      </c>
      <c r="Y139" s="129">
        <f t="shared" si="42"/>
        <v>2</v>
      </c>
      <c r="Z139" s="129">
        <f t="shared" si="42"/>
        <v>2</v>
      </c>
      <c r="AA139" s="129">
        <f t="shared" si="42"/>
        <v>2</v>
      </c>
      <c r="AB139" s="129">
        <f t="shared" si="42"/>
        <v>2</v>
      </c>
      <c r="AC139" s="129">
        <f t="shared" si="42"/>
        <v>2</v>
      </c>
      <c r="AD139" s="129">
        <f t="shared" si="42"/>
        <v>2</v>
      </c>
      <c r="AE139" s="129">
        <f t="shared" si="42"/>
        <v>2</v>
      </c>
      <c r="AF139" s="129">
        <f t="shared" si="42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40"/>
        <v>5.61</v>
      </c>
      <c r="C140" s="130">
        <v>5.61</v>
      </c>
      <c r="D140" s="129">
        <f t="shared" si="41"/>
        <v>5.61</v>
      </c>
      <c r="E140" s="129">
        <f t="shared" si="41"/>
        <v>5.61</v>
      </c>
      <c r="F140" s="129">
        <f t="shared" si="41"/>
        <v>5.61</v>
      </c>
      <c r="G140" s="129">
        <f t="shared" si="41"/>
        <v>5.61</v>
      </c>
      <c r="H140" s="129">
        <f t="shared" si="41"/>
        <v>5.61</v>
      </c>
      <c r="I140" s="129">
        <f t="shared" si="41"/>
        <v>5.61</v>
      </c>
      <c r="J140" s="129">
        <f t="shared" si="41"/>
        <v>5.61</v>
      </c>
      <c r="K140" s="129">
        <f t="shared" si="41"/>
        <v>5.61</v>
      </c>
      <c r="L140" s="129">
        <f t="shared" si="41"/>
        <v>5.61</v>
      </c>
      <c r="M140" s="129">
        <f t="shared" si="41"/>
        <v>5.61</v>
      </c>
      <c r="N140" s="129">
        <f t="shared" si="41"/>
        <v>5.61</v>
      </c>
      <c r="O140" s="129">
        <f t="shared" si="41"/>
        <v>5.61</v>
      </c>
      <c r="P140" s="129">
        <f t="shared" si="41"/>
        <v>5.61</v>
      </c>
      <c r="Q140" s="129">
        <f t="shared" si="41"/>
        <v>5.61</v>
      </c>
      <c r="R140" s="129">
        <f t="shared" si="41"/>
        <v>5.61</v>
      </c>
      <c r="S140" s="129">
        <f t="shared" si="41"/>
        <v>5.61</v>
      </c>
      <c r="T140" s="129">
        <f t="shared" si="42"/>
        <v>5.61</v>
      </c>
      <c r="U140" s="129">
        <f t="shared" si="42"/>
        <v>5.61</v>
      </c>
      <c r="V140" s="129">
        <f t="shared" si="42"/>
        <v>5.61</v>
      </c>
      <c r="W140" s="129">
        <f t="shared" si="42"/>
        <v>5.61</v>
      </c>
      <c r="X140" s="129">
        <f t="shared" si="42"/>
        <v>5.61</v>
      </c>
      <c r="Y140" s="129">
        <f t="shared" si="42"/>
        <v>5.61</v>
      </c>
      <c r="Z140" s="129">
        <f t="shared" si="42"/>
        <v>5.61</v>
      </c>
      <c r="AA140" s="129">
        <f t="shared" si="42"/>
        <v>5.61</v>
      </c>
      <c r="AB140" s="129">
        <f t="shared" si="42"/>
        <v>5.61</v>
      </c>
      <c r="AC140" s="129">
        <f t="shared" si="42"/>
        <v>5.61</v>
      </c>
      <c r="AD140" s="129">
        <f t="shared" si="42"/>
        <v>5.61</v>
      </c>
      <c r="AE140" s="129">
        <f t="shared" si="42"/>
        <v>5.61</v>
      </c>
      <c r="AF140" s="129">
        <f t="shared" si="42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40"/>
        <v>1.25</v>
      </c>
      <c r="C141" s="130">
        <v>1.25</v>
      </c>
      <c r="D141" s="129">
        <f t="shared" si="41"/>
        <v>1.25</v>
      </c>
      <c r="E141" s="129">
        <f t="shared" si="41"/>
        <v>1.25</v>
      </c>
      <c r="F141" s="129">
        <f t="shared" si="41"/>
        <v>1.25</v>
      </c>
      <c r="G141" s="129">
        <f t="shared" si="41"/>
        <v>1.25</v>
      </c>
      <c r="H141" s="129">
        <f t="shared" si="41"/>
        <v>1.25</v>
      </c>
      <c r="I141" s="129">
        <f t="shared" si="41"/>
        <v>1.25</v>
      </c>
      <c r="J141" s="129">
        <f t="shared" si="41"/>
        <v>1.25</v>
      </c>
      <c r="K141" s="129">
        <f t="shared" si="41"/>
        <v>1.25</v>
      </c>
      <c r="L141" s="129">
        <f t="shared" si="41"/>
        <v>1.25</v>
      </c>
      <c r="M141" s="129">
        <f t="shared" si="41"/>
        <v>1.25</v>
      </c>
      <c r="N141" s="129">
        <f t="shared" si="41"/>
        <v>1.25</v>
      </c>
      <c r="O141" s="129">
        <f t="shared" si="41"/>
        <v>1.25</v>
      </c>
      <c r="P141" s="129">
        <f t="shared" si="41"/>
        <v>1.25</v>
      </c>
      <c r="Q141" s="129">
        <f t="shared" si="41"/>
        <v>1.25</v>
      </c>
      <c r="R141" s="129">
        <f t="shared" si="41"/>
        <v>1.25</v>
      </c>
      <c r="S141" s="129">
        <f t="shared" si="41"/>
        <v>1.25</v>
      </c>
      <c r="T141" s="129">
        <f t="shared" si="42"/>
        <v>1.25</v>
      </c>
      <c r="U141" s="129">
        <f t="shared" si="42"/>
        <v>1.25</v>
      </c>
      <c r="V141" s="129">
        <f t="shared" si="42"/>
        <v>1.25</v>
      </c>
      <c r="W141" s="129">
        <f t="shared" si="42"/>
        <v>1.25</v>
      </c>
      <c r="X141" s="129">
        <f t="shared" si="42"/>
        <v>1.25</v>
      </c>
      <c r="Y141" s="129">
        <f t="shared" si="42"/>
        <v>1.25</v>
      </c>
      <c r="Z141" s="129">
        <f t="shared" si="42"/>
        <v>1.25</v>
      </c>
      <c r="AA141" s="129">
        <f t="shared" si="42"/>
        <v>1.25</v>
      </c>
      <c r="AB141" s="129">
        <f t="shared" si="42"/>
        <v>1.25</v>
      </c>
      <c r="AC141" s="129">
        <f t="shared" si="42"/>
        <v>1.25</v>
      </c>
      <c r="AD141" s="129">
        <f t="shared" si="42"/>
        <v>1.25</v>
      </c>
      <c r="AE141" s="129">
        <f t="shared" si="42"/>
        <v>1.25</v>
      </c>
      <c r="AF141" s="129">
        <f t="shared" si="42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40"/>
        <v>1.25</v>
      </c>
      <c r="C142" s="130">
        <v>1.25</v>
      </c>
      <c r="D142" s="129">
        <f t="shared" si="41"/>
        <v>1.25</v>
      </c>
      <c r="E142" s="129">
        <f t="shared" si="41"/>
        <v>1.25</v>
      </c>
      <c r="F142" s="129">
        <f t="shared" si="41"/>
        <v>1.25</v>
      </c>
      <c r="G142" s="129">
        <f t="shared" si="41"/>
        <v>1.25</v>
      </c>
      <c r="H142" s="129">
        <f t="shared" si="41"/>
        <v>1.25</v>
      </c>
      <c r="I142" s="129">
        <f t="shared" si="41"/>
        <v>1.25</v>
      </c>
      <c r="J142" s="129">
        <f t="shared" si="41"/>
        <v>1.25</v>
      </c>
      <c r="K142" s="129">
        <f t="shared" si="41"/>
        <v>1.25</v>
      </c>
      <c r="L142" s="129">
        <f t="shared" si="41"/>
        <v>1.25</v>
      </c>
      <c r="M142" s="129">
        <f t="shared" si="41"/>
        <v>1.25</v>
      </c>
      <c r="N142" s="129">
        <f t="shared" si="41"/>
        <v>1.25</v>
      </c>
      <c r="O142" s="129">
        <f t="shared" si="41"/>
        <v>1.25</v>
      </c>
      <c r="P142" s="129">
        <f t="shared" si="41"/>
        <v>1.25</v>
      </c>
      <c r="Q142" s="129">
        <f t="shared" si="41"/>
        <v>1.25</v>
      </c>
      <c r="R142" s="129">
        <f t="shared" si="41"/>
        <v>1.25</v>
      </c>
      <c r="S142" s="129">
        <f t="shared" si="41"/>
        <v>1.25</v>
      </c>
      <c r="T142" s="129">
        <f t="shared" si="42"/>
        <v>1.25</v>
      </c>
      <c r="U142" s="129">
        <f t="shared" si="42"/>
        <v>1.25</v>
      </c>
      <c r="V142" s="129">
        <f t="shared" si="42"/>
        <v>1.25</v>
      </c>
      <c r="W142" s="129">
        <f t="shared" si="42"/>
        <v>1.25</v>
      </c>
      <c r="X142" s="129">
        <f t="shared" si="42"/>
        <v>1.25</v>
      </c>
      <c r="Y142" s="129">
        <f t="shared" si="42"/>
        <v>1.25</v>
      </c>
      <c r="Z142" s="129">
        <f t="shared" si="42"/>
        <v>1.25</v>
      </c>
      <c r="AA142" s="129">
        <f t="shared" si="42"/>
        <v>1.25</v>
      </c>
      <c r="AB142" s="129">
        <f t="shared" si="42"/>
        <v>1.25</v>
      </c>
      <c r="AC142" s="129">
        <f t="shared" si="42"/>
        <v>1.25</v>
      </c>
      <c r="AD142" s="129">
        <f t="shared" si="42"/>
        <v>1.25</v>
      </c>
      <c r="AE142" s="129">
        <f t="shared" si="42"/>
        <v>1.25</v>
      </c>
      <c r="AF142" s="129">
        <f t="shared" si="42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40"/>
        <v>1.46</v>
      </c>
      <c r="C143" s="130">
        <v>1.46</v>
      </c>
      <c r="D143" s="129">
        <f t="shared" si="41"/>
        <v>1.46</v>
      </c>
      <c r="E143" s="129">
        <f t="shared" si="41"/>
        <v>1.46</v>
      </c>
      <c r="F143" s="129">
        <f t="shared" si="41"/>
        <v>1.46</v>
      </c>
      <c r="G143" s="129">
        <f t="shared" si="41"/>
        <v>1.46</v>
      </c>
      <c r="H143" s="129">
        <f t="shared" si="41"/>
        <v>1.46</v>
      </c>
      <c r="I143" s="129">
        <f t="shared" si="41"/>
        <v>1.46</v>
      </c>
      <c r="J143" s="129">
        <f t="shared" si="41"/>
        <v>1.46</v>
      </c>
      <c r="K143" s="129">
        <f t="shared" si="41"/>
        <v>1.46</v>
      </c>
      <c r="L143" s="129">
        <f t="shared" si="41"/>
        <v>1.46</v>
      </c>
      <c r="M143" s="129">
        <f t="shared" si="41"/>
        <v>1.46</v>
      </c>
      <c r="N143" s="129">
        <f t="shared" si="41"/>
        <v>1.46</v>
      </c>
      <c r="O143" s="129">
        <f t="shared" si="41"/>
        <v>1.46</v>
      </c>
      <c r="P143" s="129">
        <f t="shared" si="41"/>
        <v>1.46</v>
      </c>
      <c r="Q143" s="129">
        <f t="shared" si="41"/>
        <v>1.46</v>
      </c>
      <c r="R143" s="129">
        <f t="shared" si="41"/>
        <v>1.46</v>
      </c>
      <c r="S143" s="129">
        <f t="shared" si="41"/>
        <v>1.46</v>
      </c>
      <c r="T143" s="129">
        <f t="shared" si="42"/>
        <v>1.46</v>
      </c>
      <c r="U143" s="129">
        <f t="shared" si="42"/>
        <v>1.46</v>
      </c>
      <c r="V143" s="129">
        <f t="shared" si="42"/>
        <v>1.46</v>
      </c>
      <c r="W143" s="129">
        <f t="shared" si="42"/>
        <v>1.46</v>
      </c>
      <c r="X143" s="129">
        <f t="shared" si="42"/>
        <v>1.46</v>
      </c>
      <c r="Y143" s="129">
        <f t="shared" si="42"/>
        <v>1.46</v>
      </c>
      <c r="Z143" s="129">
        <f t="shared" si="42"/>
        <v>1.46</v>
      </c>
      <c r="AA143" s="129">
        <f t="shared" si="42"/>
        <v>1.46</v>
      </c>
      <c r="AB143" s="129">
        <f t="shared" si="42"/>
        <v>1.46</v>
      </c>
      <c r="AC143" s="129">
        <f t="shared" si="42"/>
        <v>1.46</v>
      </c>
      <c r="AD143" s="129">
        <f t="shared" si="42"/>
        <v>1.46</v>
      </c>
      <c r="AE143" s="129">
        <f t="shared" si="42"/>
        <v>1.46</v>
      </c>
      <c r="AF143" s="129">
        <f t="shared" si="42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40"/>
        <v>3</v>
      </c>
      <c r="C144" s="130">
        <v>3</v>
      </c>
      <c r="D144" s="129">
        <f t="shared" si="41"/>
        <v>3</v>
      </c>
      <c r="E144" s="129">
        <f t="shared" si="41"/>
        <v>3</v>
      </c>
      <c r="F144" s="129">
        <f t="shared" si="41"/>
        <v>3</v>
      </c>
      <c r="G144" s="129">
        <f t="shared" si="41"/>
        <v>3</v>
      </c>
      <c r="H144" s="129">
        <f t="shared" si="41"/>
        <v>3</v>
      </c>
      <c r="I144" s="129">
        <f t="shared" si="41"/>
        <v>3</v>
      </c>
      <c r="J144" s="129">
        <f t="shared" si="41"/>
        <v>3</v>
      </c>
      <c r="K144" s="129">
        <f t="shared" si="41"/>
        <v>3</v>
      </c>
      <c r="L144" s="129">
        <f t="shared" si="41"/>
        <v>3</v>
      </c>
      <c r="M144" s="129">
        <f t="shared" si="41"/>
        <v>3</v>
      </c>
      <c r="N144" s="129">
        <f t="shared" si="41"/>
        <v>3</v>
      </c>
      <c r="O144" s="129">
        <f t="shared" si="41"/>
        <v>3</v>
      </c>
      <c r="P144" s="129">
        <f t="shared" si="41"/>
        <v>3</v>
      </c>
      <c r="Q144" s="129">
        <f t="shared" si="41"/>
        <v>3</v>
      </c>
      <c r="R144" s="129">
        <f t="shared" si="41"/>
        <v>3</v>
      </c>
      <c r="S144" s="129">
        <f t="shared" si="41"/>
        <v>3</v>
      </c>
      <c r="T144" s="129">
        <f t="shared" si="42"/>
        <v>3</v>
      </c>
      <c r="U144" s="129">
        <f t="shared" si="42"/>
        <v>3</v>
      </c>
      <c r="V144" s="129">
        <f t="shared" si="42"/>
        <v>3</v>
      </c>
      <c r="W144" s="129">
        <f t="shared" si="42"/>
        <v>3</v>
      </c>
      <c r="X144" s="129">
        <f t="shared" si="42"/>
        <v>3</v>
      </c>
      <c r="Y144" s="129">
        <f t="shared" si="42"/>
        <v>3</v>
      </c>
      <c r="Z144" s="129">
        <f t="shared" si="42"/>
        <v>3</v>
      </c>
      <c r="AA144" s="129">
        <f t="shared" si="42"/>
        <v>3</v>
      </c>
      <c r="AB144" s="129">
        <f t="shared" si="42"/>
        <v>3</v>
      </c>
      <c r="AC144" s="129">
        <f t="shared" si="42"/>
        <v>3</v>
      </c>
      <c r="AD144" s="129">
        <f t="shared" si="42"/>
        <v>3</v>
      </c>
      <c r="AE144" s="129">
        <f t="shared" si="42"/>
        <v>3</v>
      </c>
      <c r="AF144" s="129">
        <f t="shared" si="42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40"/>
        <v>3.3</v>
      </c>
      <c r="C145" s="130">
        <v>3.3</v>
      </c>
      <c r="D145" s="129">
        <f t="shared" si="41"/>
        <v>3.3</v>
      </c>
      <c r="E145" s="129">
        <f t="shared" si="41"/>
        <v>3.3</v>
      </c>
      <c r="F145" s="129">
        <f t="shared" si="41"/>
        <v>3.3</v>
      </c>
      <c r="G145" s="129">
        <f t="shared" si="41"/>
        <v>3.3</v>
      </c>
      <c r="H145" s="129">
        <f t="shared" si="41"/>
        <v>3.3</v>
      </c>
      <c r="I145" s="129">
        <f t="shared" si="41"/>
        <v>3.3</v>
      </c>
      <c r="J145" s="129">
        <f t="shared" si="41"/>
        <v>3.3</v>
      </c>
      <c r="K145" s="129">
        <f t="shared" si="41"/>
        <v>3.3</v>
      </c>
      <c r="L145" s="129">
        <f t="shared" si="41"/>
        <v>3.3</v>
      </c>
      <c r="M145" s="129">
        <f t="shared" si="41"/>
        <v>3.3</v>
      </c>
      <c r="N145" s="129">
        <f t="shared" si="41"/>
        <v>3.3</v>
      </c>
      <c r="O145" s="129">
        <f t="shared" si="41"/>
        <v>3.3</v>
      </c>
      <c r="P145" s="129">
        <f t="shared" si="41"/>
        <v>3.3</v>
      </c>
      <c r="Q145" s="129">
        <f t="shared" si="41"/>
        <v>3.3</v>
      </c>
      <c r="R145" s="129">
        <f t="shared" si="41"/>
        <v>3.3</v>
      </c>
      <c r="S145" s="129">
        <f t="shared" si="41"/>
        <v>3.3</v>
      </c>
      <c r="T145" s="129">
        <f t="shared" si="42"/>
        <v>3.3</v>
      </c>
      <c r="U145" s="129">
        <f t="shared" si="42"/>
        <v>3.3</v>
      </c>
      <c r="V145" s="129">
        <f t="shared" si="42"/>
        <v>3.3</v>
      </c>
      <c r="W145" s="129">
        <f t="shared" si="42"/>
        <v>3.3</v>
      </c>
      <c r="X145" s="129">
        <f t="shared" si="42"/>
        <v>3.3</v>
      </c>
      <c r="Y145" s="129">
        <f t="shared" si="42"/>
        <v>3.3</v>
      </c>
      <c r="Z145" s="129">
        <f t="shared" si="42"/>
        <v>3.3</v>
      </c>
      <c r="AA145" s="129">
        <f t="shared" si="42"/>
        <v>3.3</v>
      </c>
      <c r="AB145" s="129">
        <f t="shared" si="42"/>
        <v>3.3</v>
      </c>
      <c r="AC145" s="129">
        <f t="shared" si="42"/>
        <v>3.3</v>
      </c>
      <c r="AD145" s="129">
        <f t="shared" si="42"/>
        <v>3.3</v>
      </c>
      <c r="AE145" s="129">
        <f t="shared" si="42"/>
        <v>3.3</v>
      </c>
      <c r="AF145" s="129">
        <f t="shared" si="42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3">C147</f>
        <v>1.76</v>
      </c>
      <c r="E147" s="129">
        <f t="shared" si="43"/>
        <v>1.76</v>
      </c>
      <c r="F147" s="129">
        <f t="shared" si="43"/>
        <v>1.76</v>
      </c>
      <c r="G147" s="129">
        <f t="shared" si="43"/>
        <v>1.76</v>
      </c>
      <c r="H147" s="129">
        <f t="shared" si="43"/>
        <v>1.76</v>
      </c>
      <c r="I147" s="129">
        <f t="shared" si="43"/>
        <v>1.76</v>
      </c>
      <c r="J147" s="129">
        <f t="shared" si="43"/>
        <v>1.76</v>
      </c>
      <c r="K147" s="129">
        <f t="shared" si="43"/>
        <v>1.76</v>
      </c>
      <c r="L147" s="129">
        <f t="shared" si="43"/>
        <v>1.76</v>
      </c>
      <c r="M147" s="129">
        <f t="shared" si="43"/>
        <v>1.76</v>
      </c>
      <c r="N147" s="129">
        <f t="shared" si="43"/>
        <v>1.76</v>
      </c>
      <c r="O147" s="129">
        <f t="shared" si="43"/>
        <v>1.76</v>
      </c>
      <c r="P147" s="129">
        <f t="shared" si="43"/>
        <v>1.76</v>
      </c>
      <c r="Q147" s="129">
        <f t="shared" si="43"/>
        <v>1.76</v>
      </c>
      <c r="R147" s="129">
        <f t="shared" si="43"/>
        <v>1.76</v>
      </c>
      <c r="S147" s="129">
        <f t="shared" si="43"/>
        <v>1.76</v>
      </c>
      <c r="T147" s="129">
        <f t="shared" ref="T147:AF148" si="44">S147</f>
        <v>1.76</v>
      </c>
      <c r="U147" s="129">
        <f t="shared" si="44"/>
        <v>1.76</v>
      </c>
      <c r="V147" s="129">
        <f t="shared" si="44"/>
        <v>1.76</v>
      </c>
      <c r="W147" s="129">
        <f t="shared" si="44"/>
        <v>1.76</v>
      </c>
      <c r="X147" s="129">
        <f t="shared" si="44"/>
        <v>1.76</v>
      </c>
      <c r="Y147" s="129">
        <f t="shared" si="44"/>
        <v>1.76</v>
      </c>
      <c r="Z147" s="129">
        <f t="shared" si="44"/>
        <v>1.76</v>
      </c>
      <c r="AA147" s="129">
        <f t="shared" si="44"/>
        <v>1.76</v>
      </c>
      <c r="AB147" s="129">
        <f t="shared" si="44"/>
        <v>1.76</v>
      </c>
      <c r="AC147" s="129">
        <f t="shared" si="44"/>
        <v>1.76</v>
      </c>
      <c r="AD147" s="129">
        <f t="shared" si="44"/>
        <v>1.76</v>
      </c>
      <c r="AE147" s="129">
        <f t="shared" si="44"/>
        <v>1.76</v>
      </c>
      <c r="AF147" s="129">
        <f t="shared" si="44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3"/>
        <v>0</v>
      </c>
      <c r="E148" s="129">
        <f t="shared" si="43"/>
        <v>0</v>
      </c>
      <c r="F148" s="129">
        <f t="shared" si="43"/>
        <v>0</v>
      </c>
      <c r="G148" s="129">
        <f t="shared" si="43"/>
        <v>0</v>
      </c>
      <c r="H148" s="129">
        <f t="shared" si="43"/>
        <v>0</v>
      </c>
      <c r="I148" s="129">
        <f t="shared" si="43"/>
        <v>0</v>
      </c>
      <c r="J148" s="129">
        <f t="shared" si="43"/>
        <v>0</v>
      </c>
      <c r="K148" s="129">
        <f t="shared" si="43"/>
        <v>0</v>
      </c>
      <c r="L148" s="129">
        <f t="shared" si="43"/>
        <v>0</v>
      </c>
      <c r="M148" s="129">
        <f t="shared" si="43"/>
        <v>0</v>
      </c>
      <c r="N148" s="129">
        <f t="shared" si="43"/>
        <v>0</v>
      </c>
      <c r="O148" s="129">
        <f t="shared" si="43"/>
        <v>0</v>
      </c>
      <c r="P148" s="129">
        <f t="shared" si="43"/>
        <v>0</v>
      </c>
      <c r="Q148" s="129">
        <f t="shared" si="43"/>
        <v>0</v>
      </c>
      <c r="R148" s="129">
        <f t="shared" si="43"/>
        <v>0</v>
      </c>
      <c r="S148" s="129">
        <f t="shared" si="43"/>
        <v>0</v>
      </c>
      <c r="T148" s="129">
        <f t="shared" si="44"/>
        <v>0</v>
      </c>
      <c r="U148" s="129">
        <f t="shared" si="44"/>
        <v>0</v>
      </c>
      <c r="V148" s="129">
        <f t="shared" si="44"/>
        <v>0</v>
      </c>
      <c r="W148" s="129">
        <f t="shared" si="44"/>
        <v>0</v>
      </c>
      <c r="X148" s="129">
        <f t="shared" si="44"/>
        <v>0</v>
      </c>
      <c r="Y148" s="129">
        <f t="shared" si="44"/>
        <v>0</v>
      </c>
      <c r="Z148" s="129">
        <f t="shared" si="44"/>
        <v>0</v>
      </c>
      <c r="AA148" s="129">
        <f t="shared" si="44"/>
        <v>0</v>
      </c>
      <c r="AB148" s="129">
        <f t="shared" si="44"/>
        <v>0</v>
      </c>
      <c r="AC148" s="129">
        <f t="shared" si="44"/>
        <v>0</v>
      </c>
      <c r="AD148" s="129">
        <f t="shared" si="44"/>
        <v>0</v>
      </c>
      <c r="AE148" s="129">
        <f t="shared" si="44"/>
        <v>0</v>
      </c>
      <c r="AF148" s="129">
        <f t="shared" si="44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5">C150</f>
        <v>0.1</v>
      </c>
      <c r="E150" s="129">
        <f t="shared" si="45"/>
        <v>0.1</v>
      </c>
      <c r="F150" s="129">
        <f t="shared" si="45"/>
        <v>0.1</v>
      </c>
      <c r="G150" s="129">
        <f t="shared" si="45"/>
        <v>0.1</v>
      </c>
      <c r="H150" s="129">
        <f t="shared" si="45"/>
        <v>0.1</v>
      </c>
      <c r="I150" s="129">
        <f t="shared" si="45"/>
        <v>0.1</v>
      </c>
      <c r="J150" s="129">
        <f t="shared" si="45"/>
        <v>0.1</v>
      </c>
      <c r="K150" s="129">
        <f t="shared" si="45"/>
        <v>0.1</v>
      </c>
      <c r="L150" s="129">
        <f t="shared" si="45"/>
        <v>0.1</v>
      </c>
      <c r="M150" s="129">
        <f t="shared" si="45"/>
        <v>0.1</v>
      </c>
      <c r="N150" s="129">
        <f t="shared" si="45"/>
        <v>0.1</v>
      </c>
      <c r="O150" s="129">
        <f t="shared" si="45"/>
        <v>0.1</v>
      </c>
      <c r="P150" s="129">
        <f t="shared" si="45"/>
        <v>0.1</v>
      </c>
      <c r="Q150" s="129">
        <f t="shared" si="45"/>
        <v>0.1</v>
      </c>
      <c r="R150" s="129">
        <f t="shared" si="45"/>
        <v>0.1</v>
      </c>
      <c r="S150" s="129">
        <f t="shared" si="45"/>
        <v>0.1</v>
      </c>
      <c r="T150" s="129">
        <f t="shared" ref="T150:AF153" si="46">S150</f>
        <v>0.1</v>
      </c>
      <c r="U150" s="129">
        <f t="shared" si="46"/>
        <v>0.1</v>
      </c>
      <c r="V150" s="129">
        <f t="shared" si="46"/>
        <v>0.1</v>
      </c>
      <c r="W150" s="129">
        <f t="shared" si="46"/>
        <v>0.1</v>
      </c>
      <c r="X150" s="129">
        <f t="shared" si="46"/>
        <v>0.1</v>
      </c>
      <c r="Y150" s="129">
        <f t="shared" si="46"/>
        <v>0.1</v>
      </c>
      <c r="Z150" s="129">
        <f t="shared" si="46"/>
        <v>0.1</v>
      </c>
      <c r="AA150" s="129">
        <f t="shared" si="46"/>
        <v>0.1</v>
      </c>
      <c r="AB150" s="129">
        <f t="shared" si="46"/>
        <v>0.1</v>
      </c>
      <c r="AC150" s="129">
        <f t="shared" si="46"/>
        <v>0.1</v>
      </c>
      <c r="AD150" s="129">
        <f t="shared" si="46"/>
        <v>0.1</v>
      </c>
      <c r="AE150" s="129">
        <f t="shared" si="46"/>
        <v>0.1</v>
      </c>
      <c r="AF150" s="129">
        <f t="shared" si="46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5"/>
        <v>2.0499999999999998</v>
      </c>
      <c r="E151" s="129">
        <f t="shared" si="45"/>
        <v>2.0499999999999998</v>
      </c>
      <c r="F151" s="129">
        <f t="shared" si="45"/>
        <v>2.0499999999999998</v>
      </c>
      <c r="G151" s="129">
        <f t="shared" si="45"/>
        <v>2.0499999999999998</v>
      </c>
      <c r="H151" s="129">
        <f t="shared" si="45"/>
        <v>2.0499999999999998</v>
      </c>
      <c r="I151" s="129">
        <f t="shared" si="45"/>
        <v>2.0499999999999998</v>
      </c>
      <c r="J151" s="129">
        <f t="shared" si="45"/>
        <v>2.0499999999999998</v>
      </c>
      <c r="K151" s="129">
        <f t="shared" si="45"/>
        <v>2.0499999999999998</v>
      </c>
      <c r="L151" s="129">
        <f t="shared" si="45"/>
        <v>2.0499999999999998</v>
      </c>
      <c r="M151" s="129">
        <f t="shared" si="45"/>
        <v>2.0499999999999998</v>
      </c>
      <c r="N151" s="129">
        <f t="shared" si="45"/>
        <v>2.0499999999999998</v>
      </c>
      <c r="O151" s="129">
        <f t="shared" si="45"/>
        <v>2.0499999999999998</v>
      </c>
      <c r="P151" s="129">
        <f t="shared" si="45"/>
        <v>2.0499999999999998</v>
      </c>
      <c r="Q151" s="129">
        <f t="shared" si="45"/>
        <v>2.0499999999999998</v>
      </c>
      <c r="R151" s="129">
        <f t="shared" si="45"/>
        <v>2.0499999999999998</v>
      </c>
      <c r="S151" s="129">
        <f t="shared" si="45"/>
        <v>2.0499999999999998</v>
      </c>
      <c r="T151" s="129">
        <f t="shared" si="46"/>
        <v>2.0499999999999998</v>
      </c>
      <c r="U151" s="129">
        <f t="shared" si="46"/>
        <v>2.0499999999999998</v>
      </c>
      <c r="V151" s="129">
        <f t="shared" si="46"/>
        <v>2.0499999999999998</v>
      </c>
      <c r="W151" s="129">
        <f t="shared" si="46"/>
        <v>2.0499999999999998</v>
      </c>
      <c r="X151" s="129">
        <f t="shared" si="46"/>
        <v>2.0499999999999998</v>
      </c>
      <c r="Y151" s="129">
        <f t="shared" si="46"/>
        <v>2.0499999999999998</v>
      </c>
      <c r="Z151" s="129">
        <f t="shared" si="46"/>
        <v>2.0499999999999998</v>
      </c>
      <c r="AA151" s="129">
        <f t="shared" si="46"/>
        <v>2.0499999999999998</v>
      </c>
      <c r="AB151" s="129">
        <f t="shared" si="46"/>
        <v>2.0499999999999998</v>
      </c>
      <c r="AC151" s="129">
        <f t="shared" si="46"/>
        <v>2.0499999999999998</v>
      </c>
      <c r="AD151" s="129">
        <f t="shared" si="46"/>
        <v>2.0499999999999998</v>
      </c>
      <c r="AE151" s="129">
        <f t="shared" si="46"/>
        <v>2.0499999999999998</v>
      </c>
      <c r="AF151" s="129">
        <f t="shared" si="46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5"/>
        <v>2.7</v>
      </c>
      <c r="E152" s="129">
        <f t="shared" si="45"/>
        <v>2.7</v>
      </c>
      <c r="F152" s="129">
        <f t="shared" si="45"/>
        <v>2.7</v>
      </c>
      <c r="G152" s="129">
        <f t="shared" si="45"/>
        <v>2.7</v>
      </c>
      <c r="H152" s="129">
        <f t="shared" si="45"/>
        <v>2.7</v>
      </c>
      <c r="I152" s="129">
        <f t="shared" si="45"/>
        <v>2.7</v>
      </c>
      <c r="J152" s="129">
        <f t="shared" si="45"/>
        <v>2.7</v>
      </c>
      <c r="K152" s="129">
        <f t="shared" si="45"/>
        <v>2.7</v>
      </c>
      <c r="L152" s="129">
        <f t="shared" si="45"/>
        <v>2.7</v>
      </c>
      <c r="M152" s="129">
        <f t="shared" si="45"/>
        <v>2.7</v>
      </c>
      <c r="N152" s="129">
        <f t="shared" si="45"/>
        <v>2.7</v>
      </c>
      <c r="O152" s="129">
        <f t="shared" si="45"/>
        <v>2.7</v>
      </c>
      <c r="P152" s="129">
        <f t="shared" si="45"/>
        <v>2.7</v>
      </c>
      <c r="Q152" s="129">
        <f t="shared" si="45"/>
        <v>2.7</v>
      </c>
      <c r="R152" s="129">
        <f t="shared" si="45"/>
        <v>2.7</v>
      </c>
      <c r="S152" s="129">
        <f t="shared" si="45"/>
        <v>2.7</v>
      </c>
      <c r="T152" s="129">
        <f t="shared" si="46"/>
        <v>2.7</v>
      </c>
      <c r="U152" s="129">
        <f t="shared" si="46"/>
        <v>2.7</v>
      </c>
      <c r="V152" s="129">
        <f t="shared" si="46"/>
        <v>2.7</v>
      </c>
      <c r="W152" s="129">
        <f t="shared" si="46"/>
        <v>2.7</v>
      </c>
      <c r="X152" s="129">
        <f t="shared" si="46"/>
        <v>2.7</v>
      </c>
      <c r="Y152" s="129">
        <f t="shared" si="46"/>
        <v>2.7</v>
      </c>
      <c r="Z152" s="129">
        <f t="shared" si="46"/>
        <v>2.7</v>
      </c>
      <c r="AA152" s="129">
        <f t="shared" si="46"/>
        <v>2.7</v>
      </c>
      <c r="AB152" s="129">
        <f t="shared" si="46"/>
        <v>2.7</v>
      </c>
      <c r="AC152" s="129">
        <f t="shared" si="46"/>
        <v>2.7</v>
      </c>
      <c r="AD152" s="129">
        <f t="shared" si="46"/>
        <v>2.7</v>
      </c>
      <c r="AE152" s="129">
        <f t="shared" si="46"/>
        <v>2.7</v>
      </c>
      <c r="AF152" s="129">
        <f t="shared" si="46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5"/>
        <v>2.15</v>
      </c>
      <c r="E153" s="129">
        <f t="shared" si="45"/>
        <v>2.15</v>
      </c>
      <c r="F153" s="129">
        <f t="shared" si="45"/>
        <v>2.15</v>
      </c>
      <c r="G153" s="129">
        <f t="shared" si="45"/>
        <v>2.15</v>
      </c>
      <c r="H153" s="129">
        <f t="shared" si="45"/>
        <v>2.15</v>
      </c>
      <c r="I153" s="129">
        <f t="shared" si="45"/>
        <v>2.15</v>
      </c>
      <c r="J153" s="129">
        <f t="shared" si="45"/>
        <v>2.15</v>
      </c>
      <c r="K153" s="129">
        <f t="shared" si="45"/>
        <v>2.15</v>
      </c>
      <c r="L153" s="129">
        <f t="shared" si="45"/>
        <v>2.15</v>
      </c>
      <c r="M153" s="129">
        <f t="shared" si="45"/>
        <v>2.15</v>
      </c>
      <c r="N153" s="129">
        <f t="shared" si="45"/>
        <v>2.15</v>
      </c>
      <c r="O153" s="129">
        <f t="shared" si="45"/>
        <v>2.15</v>
      </c>
      <c r="P153" s="129">
        <f t="shared" si="45"/>
        <v>2.15</v>
      </c>
      <c r="Q153" s="129">
        <f t="shared" si="45"/>
        <v>2.15</v>
      </c>
      <c r="R153" s="129">
        <f t="shared" si="45"/>
        <v>2.15</v>
      </c>
      <c r="S153" s="129">
        <f t="shared" si="45"/>
        <v>2.15</v>
      </c>
      <c r="T153" s="129">
        <f t="shared" si="46"/>
        <v>2.15</v>
      </c>
      <c r="U153" s="129">
        <f t="shared" si="46"/>
        <v>2.15</v>
      </c>
      <c r="V153" s="129">
        <f t="shared" si="46"/>
        <v>2.15</v>
      </c>
      <c r="W153" s="129">
        <f t="shared" si="46"/>
        <v>2.15</v>
      </c>
      <c r="X153" s="129">
        <f t="shared" si="46"/>
        <v>2.15</v>
      </c>
      <c r="Y153" s="129">
        <f t="shared" si="46"/>
        <v>2.15</v>
      </c>
      <c r="Z153" s="129">
        <f t="shared" si="46"/>
        <v>2.15</v>
      </c>
      <c r="AA153" s="129">
        <f t="shared" si="46"/>
        <v>2.15</v>
      </c>
      <c r="AB153" s="129">
        <f t="shared" si="46"/>
        <v>2.15</v>
      </c>
      <c r="AC153" s="129">
        <f t="shared" si="46"/>
        <v>2.15</v>
      </c>
      <c r="AD153" s="129">
        <f t="shared" si="46"/>
        <v>2.15</v>
      </c>
      <c r="AE153" s="129">
        <f t="shared" si="46"/>
        <v>2.15</v>
      </c>
      <c r="AF153" s="129">
        <f t="shared" si="46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7">AF155</f>
        <v>0.9</v>
      </c>
      <c r="C155" s="130">
        <v>0.9</v>
      </c>
      <c r="D155" s="129">
        <f t="shared" ref="D155:S167" si="48">C155</f>
        <v>0.9</v>
      </c>
      <c r="E155" s="129">
        <f t="shared" si="48"/>
        <v>0.9</v>
      </c>
      <c r="F155" s="129">
        <f t="shared" si="48"/>
        <v>0.9</v>
      </c>
      <c r="G155" s="129">
        <f t="shared" si="48"/>
        <v>0.9</v>
      </c>
      <c r="H155" s="129">
        <f t="shared" si="48"/>
        <v>0.9</v>
      </c>
      <c r="I155" s="129">
        <f t="shared" si="48"/>
        <v>0.9</v>
      </c>
      <c r="J155" s="129">
        <f t="shared" si="48"/>
        <v>0.9</v>
      </c>
      <c r="K155" s="129">
        <f t="shared" si="48"/>
        <v>0.9</v>
      </c>
      <c r="L155" s="129">
        <f t="shared" si="48"/>
        <v>0.9</v>
      </c>
      <c r="M155" s="129">
        <f t="shared" si="48"/>
        <v>0.9</v>
      </c>
      <c r="N155" s="129">
        <f t="shared" si="48"/>
        <v>0.9</v>
      </c>
      <c r="O155" s="129">
        <f t="shared" si="48"/>
        <v>0.9</v>
      </c>
      <c r="P155" s="129">
        <f t="shared" si="48"/>
        <v>0.9</v>
      </c>
      <c r="Q155" s="129">
        <f t="shared" si="48"/>
        <v>0.9</v>
      </c>
      <c r="R155" s="129">
        <f t="shared" si="48"/>
        <v>0.9</v>
      </c>
      <c r="S155" s="129">
        <f t="shared" si="48"/>
        <v>0.9</v>
      </c>
      <c r="T155" s="129">
        <f t="shared" ref="S155:AF167" si="49">S155</f>
        <v>0.9</v>
      </c>
      <c r="U155" s="129">
        <f t="shared" si="49"/>
        <v>0.9</v>
      </c>
      <c r="V155" s="129">
        <f t="shared" si="49"/>
        <v>0.9</v>
      </c>
      <c r="W155" s="129">
        <f t="shared" si="49"/>
        <v>0.9</v>
      </c>
      <c r="X155" s="129">
        <f t="shared" si="49"/>
        <v>0.9</v>
      </c>
      <c r="Y155" s="129">
        <f t="shared" si="49"/>
        <v>0.9</v>
      </c>
      <c r="Z155" s="129">
        <f t="shared" si="49"/>
        <v>0.9</v>
      </c>
      <c r="AA155" s="129">
        <f t="shared" si="49"/>
        <v>0.9</v>
      </c>
      <c r="AB155" s="129">
        <f t="shared" si="49"/>
        <v>0.9</v>
      </c>
      <c r="AC155" s="129">
        <f t="shared" si="49"/>
        <v>0.9</v>
      </c>
      <c r="AD155" s="129">
        <f t="shared" si="49"/>
        <v>0.9</v>
      </c>
      <c r="AE155" s="129">
        <f t="shared" si="49"/>
        <v>0.9</v>
      </c>
      <c r="AF155" s="129">
        <f t="shared" si="49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7"/>
        <v>1.08</v>
      </c>
      <c r="C156" s="130">
        <v>1.08</v>
      </c>
      <c r="D156" s="129">
        <f t="shared" si="48"/>
        <v>1.08</v>
      </c>
      <c r="E156" s="129">
        <f t="shared" si="48"/>
        <v>1.08</v>
      </c>
      <c r="F156" s="129">
        <f t="shared" si="48"/>
        <v>1.08</v>
      </c>
      <c r="G156" s="129">
        <f t="shared" si="48"/>
        <v>1.08</v>
      </c>
      <c r="H156" s="129">
        <f t="shared" si="48"/>
        <v>1.08</v>
      </c>
      <c r="I156" s="129">
        <f t="shared" si="48"/>
        <v>1.08</v>
      </c>
      <c r="J156" s="129">
        <f t="shared" si="48"/>
        <v>1.08</v>
      </c>
      <c r="K156" s="129">
        <f t="shared" si="48"/>
        <v>1.08</v>
      </c>
      <c r="L156" s="129">
        <f t="shared" si="48"/>
        <v>1.08</v>
      </c>
      <c r="M156" s="129">
        <f t="shared" si="48"/>
        <v>1.08</v>
      </c>
      <c r="N156" s="129">
        <f t="shared" si="48"/>
        <v>1.08</v>
      </c>
      <c r="O156" s="129">
        <f t="shared" si="48"/>
        <v>1.08</v>
      </c>
      <c r="P156" s="129">
        <f t="shared" si="48"/>
        <v>1.08</v>
      </c>
      <c r="Q156" s="129">
        <f t="shared" si="48"/>
        <v>1.08</v>
      </c>
      <c r="R156" s="129">
        <f t="shared" si="48"/>
        <v>1.08</v>
      </c>
      <c r="S156" s="129">
        <f t="shared" si="48"/>
        <v>1.08</v>
      </c>
      <c r="T156" s="129">
        <f t="shared" si="49"/>
        <v>1.08</v>
      </c>
      <c r="U156" s="129">
        <f t="shared" si="49"/>
        <v>1.08</v>
      </c>
      <c r="V156" s="129">
        <f t="shared" si="49"/>
        <v>1.08</v>
      </c>
      <c r="W156" s="129">
        <f t="shared" si="49"/>
        <v>1.08</v>
      </c>
      <c r="X156" s="129">
        <f t="shared" si="49"/>
        <v>1.08</v>
      </c>
      <c r="Y156" s="129">
        <f t="shared" si="49"/>
        <v>1.08</v>
      </c>
      <c r="Z156" s="129">
        <f t="shared" si="49"/>
        <v>1.08</v>
      </c>
      <c r="AA156" s="129">
        <f t="shared" si="49"/>
        <v>1.08</v>
      </c>
      <c r="AB156" s="129">
        <f t="shared" si="49"/>
        <v>1.08</v>
      </c>
      <c r="AC156" s="129">
        <f t="shared" si="49"/>
        <v>1.08</v>
      </c>
      <c r="AD156" s="129">
        <f t="shared" si="49"/>
        <v>1.08</v>
      </c>
      <c r="AE156" s="129">
        <f t="shared" si="49"/>
        <v>1.08</v>
      </c>
      <c r="AF156" s="129">
        <f t="shared" si="49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7"/>
        <v>2.37</v>
      </c>
      <c r="C157" s="130">
        <v>2.37</v>
      </c>
      <c r="D157" s="129">
        <f t="shared" si="48"/>
        <v>2.37</v>
      </c>
      <c r="E157" s="129">
        <f t="shared" si="48"/>
        <v>2.37</v>
      </c>
      <c r="F157" s="129">
        <f t="shared" si="48"/>
        <v>2.37</v>
      </c>
      <c r="G157" s="129">
        <f t="shared" si="48"/>
        <v>2.37</v>
      </c>
      <c r="H157" s="129">
        <f t="shared" si="48"/>
        <v>2.37</v>
      </c>
      <c r="I157" s="129">
        <f t="shared" si="48"/>
        <v>2.37</v>
      </c>
      <c r="J157" s="129">
        <f t="shared" si="48"/>
        <v>2.37</v>
      </c>
      <c r="K157" s="129">
        <f t="shared" si="48"/>
        <v>2.37</v>
      </c>
      <c r="L157" s="129">
        <f t="shared" si="48"/>
        <v>2.37</v>
      </c>
      <c r="M157" s="129">
        <f t="shared" si="48"/>
        <v>2.37</v>
      </c>
      <c r="N157" s="129">
        <f t="shared" si="48"/>
        <v>2.37</v>
      </c>
      <c r="O157" s="129">
        <f t="shared" si="48"/>
        <v>2.37</v>
      </c>
      <c r="P157" s="129">
        <f t="shared" si="48"/>
        <v>2.37</v>
      </c>
      <c r="Q157" s="129">
        <f t="shared" si="48"/>
        <v>2.37</v>
      </c>
      <c r="R157" s="129">
        <f t="shared" si="48"/>
        <v>2.37</v>
      </c>
      <c r="S157" s="129">
        <f t="shared" si="48"/>
        <v>2.37</v>
      </c>
      <c r="T157" s="129">
        <f t="shared" si="49"/>
        <v>2.37</v>
      </c>
      <c r="U157" s="129">
        <f t="shared" si="49"/>
        <v>2.37</v>
      </c>
      <c r="V157" s="129">
        <f t="shared" si="49"/>
        <v>2.37</v>
      </c>
      <c r="W157" s="129">
        <f t="shared" si="49"/>
        <v>2.37</v>
      </c>
      <c r="X157" s="129">
        <f t="shared" si="49"/>
        <v>2.37</v>
      </c>
      <c r="Y157" s="129">
        <f t="shared" si="49"/>
        <v>2.37</v>
      </c>
      <c r="Z157" s="129">
        <f t="shared" si="49"/>
        <v>2.37</v>
      </c>
      <c r="AA157" s="129">
        <f t="shared" si="49"/>
        <v>2.37</v>
      </c>
      <c r="AB157" s="129">
        <f t="shared" si="49"/>
        <v>2.37</v>
      </c>
      <c r="AC157" s="129">
        <f t="shared" si="49"/>
        <v>2.37</v>
      </c>
      <c r="AD157" s="129">
        <f t="shared" si="49"/>
        <v>2.37</v>
      </c>
      <c r="AE157" s="129">
        <f t="shared" si="49"/>
        <v>2.37</v>
      </c>
      <c r="AF157" s="129">
        <f t="shared" si="49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7"/>
        <v>1.81</v>
      </c>
      <c r="C158" s="130">
        <v>1.81</v>
      </c>
      <c r="D158" s="129">
        <f t="shared" si="48"/>
        <v>1.81</v>
      </c>
      <c r="E158" s="129">
        <f t="shared" si="48"/>
        <v>1.81</v>
      </c>
      <c r="F158" s="129">
        <f t="shared" si="48"/>
        <v>1.81</v>
      </c>
      <c r="G158" s="129">
        <f t="shared" si="48"/>
        <v>1.81</v>
      </c>
      <c r="H158" s="129">
        <f t="shared" si="48"/>
        <v>1.81</v>
      </c>
      <c r="I158" s="129">
        <f t="shared" si="48"/>
        <v>1.81</v>
      </c>
      <c r="J158" s="129">
        <f t="shared" si="48"/>
        <v>1.81</v>
      </c>
      <c r="K158" s="129">
        <f t="shared" si="48"/>
        <v>1.81</v>
      </c>
      <c r="L158" s="129">
        <f t="shared" si="48"/>
        <v>1.81</v>
      </c>
      <c r="M158" s="129">
        <f t="shared" si="48"/>
        <v>1.81</v>
      </c>
      <c r="N158" s="129">
        <f t="shared" si="48"/>
        <v>1.81</v>
      </c>
      <c r="O158" s="129">
        <f t="shared" si="48"/>
        <v>1.81</v>
      </c>
      <c r="P158" s="129">
        <f t="shared" si="48"/>
        <v>1.81</v>
      </c>
      <c r="Q158" s="129">
        <f t="shared" si="48"/>
        <v>1.81</v>
      </c>
      <c r="R158" s="129">
        <f t="shared" si="48"/>
        <v>1.81</v>
      </c>
      <c r="S158" s="129">
        <f t="shared" si="48"/>
        <v>1.81</v>
      </c>
      <c r="T158" s="129">
        <f t="shared" si="49"/>
        <v>1.81</v>
      </c>
      <c r="U158" s="129">
        <f t="shared" si="49"/>
        <v>1.81</v>
      </c>
      <c r="V158" s="129">
        <f t="shared" si="49"/>
        <v>1.81</v>
      </c>
      <c r="W158" s="129">
        <f t="shared" si="49"/>
        <v>1.81</v>
      </c>
      <c r="X158" s="129">
        <f t="shared" si="49"/>
        <v>1.81</v>
      </c>
      <c r="Y158" s="129">
        <f t="shared" si="49"/>
        <v>1.81</v>
      </c>
      <c r="Z158" s="129">
        <f t="shared" si="49"/>
        <v>1.81</v>
      </c>
      <c r="AA158" s="129">
        <f t="shared" si="49"/>
        <v>1.81</v>
      </c>
      <c r="AB158" s="129">
        <f t="shared" si="49"/>
        <v>1.81</v>
      </c>
      <c r="AC158" s="129">
        <f t="shared" si="49"/>
        <v>1.81</v>
      </c>
      <c r="AD158" s="129">
        <f t="shared" si="49"/>
        <v>1.81</v>
      </c>
      <c r="AE158" s="129">
        <f t="shared" si="49"/>
        <v>1.81</v>
      </c>
      <c r="AF158" s="129">
        <f t="shared" si="49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7"/>
        <v>1.0900000000000001</v>
      </c>
      <c r="C159" s="130">
        <v>1.0900000000000001</v>
      </c>
      <c r="D159" s="129">
        <f t="shared" si="48"/>
        <v>1.0900000000000001</v>
      </c>
      <c r="E159" s="129">
        <f t="shared" si="48"/>
        <v>1.0900000000000001</v>
      </c>
      <c r="F159" s="129">
        <f t="shared" si="48"/>
        <v>1.0900000000000001</v>
      </c>
      <c r="G159" s="129">
        <f t="shared" si="48"/>
        <v>1.0900000000000001</v>
      </c>
      <c r="H159" s="129">
        <f t="shared" si="48"/>
        <v>1.0900000000000001</v>
      </c>
      <c r="I159" s="129">
        <f t="shared" si="48"/>
        <v>1.0900000000000001</v>
      </c>
      <c r="J159" s="129">
        <f t="shared" si="48"/>
        <v>1.0900000000000001</v>
      </c>
      <c r="K159" s="129">
        <f t="shared" si="48"/>
        <v>1.0900000000000001</v>
      </c>
      <c r="L159" s="129">
        <f t="shared" si="48"/>
        <v>1.0900000000000001</v>
      </c>
      <c r="M159" s="129">
        <f t="shared" si="48"/>
        <v>1.0900000000000001</v>
      </c>
      <c r="N159" s="129">
        <f t="shared" si="48"/>
        <v>1.0900000000000001</v>
      </c>
      <c r="O159" s="129">
        <f t="shared" si="48"/>
        <v>1.0900000000000001</v>
      </c>
      <c r="P159" s="129">
        <f t="shared" si="48"/>
        <v>1.0900000000000001</v>
      </c>
      <c r="Q159" s="129">
        <f t="shared" si="48"/>
        <v>1.0900000000000001</v>
      </c>
      <c r="R159" s="129">
        <f t="shared" si="48"/>
        <v>1.0900000000000001</v>
      </c>
      <c r="S159" s="129">
        <f t="shared" si="48"/>
        <v>1.0900000000000001</v>
      </c>
      <c r="T159" s="129">
        <f t="shared" si="49"/>
        <v>1.0900000000000001</v>
      </c>
      <c r="U159" s="129">
        <f t="shared" si="49"/>
        <v>1.0900000000000001</v>
      </c>
      <c r="V159" s="129">
        <f t="shared" si="49"/>
        <v>1.0900000000000001</v>
      </c>
      <c r="W159" s="129">
        <f t="shared" si="49"/>
        <v>1.0900000000000001</v>
      </c>
      <c r="X159" s="129">
        <f t="shared" si="49"/>
        <v>1.0900000000000001</v>
      </c>
      <c r="Y159" s="129">
        <f t="shared" si="49"/>
        <v>1.0900000000000001</v>
      </c>
      <c r="Z159" s="129">
        <f t="shared" si="49"/>
        <v>1.0900000000000001</v>
      </c>
      <c r="AA159" s="129">
        <f t="shared" si="49"/>
        <v>1.0900000000000001</v>
      </c>
      <c r="AB159" s="129">
        <f t="shared" si="49"/>
        <v>1.0900000000000001</v>
      </c>
      <c r="AC159" s="129">
        <f t="shared" si="49"/>
        <v>1.0900000000000001</v>
      </c>
      <c r="AD159" s="129">
        <f t="shared" si="49"/>
        <v>1.0900000000000001</v>
      </c>
      <c r="AE159" s="129">
        <f t="shared" si="49"/>
        <v>1.0900000000000001</v>
      </c>
      <c r="AF159" s="129">
        <f t="shared" si="49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7"/>
        <v>1.58</v>
      </c>
      <c r="C160" s="130">
        <v>1.58</v>
      </c>
      <c r="D160" s="129">
        <f t="shared" si="48"/>
        <v>1.58</v>
      </c>
      <c r="E160" s="129">
        <f t="shared" si="48"/>
        <v>1.58</v>
      </c>
      <c r="F160" s="129">
        <f t="shared" si="48"/>
        <v>1.58</v>
      </c>
      <c r="G160" s="129">
        <f t="shared" si="48"/>
        <v>1.58</v>
      </c>
      <c r="H160" s="129">
        <f t="shared" si="48"/>
        <v>1.58</v>
      </c>
      <c r="I160" s="129">
        <f t="shared" si="48"/>
        <v>1.58</v>
      </c>
      <c r="J160" s="129">
        <f t="shared" si="48"/>
        <v>1.58</v>
      </c>
      <c r="K160" s="129">
        <f t="shared" si="48"/>
        <v>1.58</v>
      </c>
      <c r="L160" s="129">
        <f t="shared" si="48"/>
        <v>1.58</v>
      </c>
      <c r="M160" s="129">
        <f t="shared" si="48"/>
        <v>1.58</v>
      </c>
      <c r="N160" s="129">
        <f t="shared" si="48"/>
        <v>1.58</v>
      </c>
      <c r="O160" s="129">
        <f t="shared" si="48"/>
        <v>1.58</v>
      </c>
      <c r="P160" s="129">
        <f t="shared" si="48"/>
        <v>1.58</v>
      </c>
      <c r="Q160" s="129">
        <f t="shared" si="48"/>
        <v>1.58</v>
      </c>
      <c r="R160" s="129">
        <f t="shared" si="48"/>
        <v>1.58</v>
      </c>
      <c r="S160" s="129">
        <f t="shared" si="48"/>
        <v>1.58</v>
      </c>
      <c r="T160" s="129">
        <f t="shared" si="49"/>
        <v>1.58</v>
      </c>
      <c r="U160" s="129">
        <f t="shared" si="49"/>
        <v>1.58</v>
      </c>
      <c r="V160" s="129">
        <f t="shared" si="49"/>
        <v>1.58</v>
      </c>
      <c r="W160" s="129">
        <f t="shared" si="49"/>
        <v>1.58</v>
      </c>
      <c r="X160" s="129">
        <f t="shared" si="49"/>
        <v>1.58</v>
      </c>
      <c r="Y160" s="129">
        <f t="shared" si="49"/>
        <v>1.58</v>
      </c>
      <c r="Z160" s="129">
        <f t="shared" si="49"/>
        <v>1.58</v>
      </c>
      <c r="AA160" s="129">
        <f t="shared" si="49"/>
        <v>1.58</v>
      </c>
      <c r="AB160" s="129">
        <f t="shared" si="49"/>
        <v>1.58</v>
      </c>
      <c r="AC160" s="129">
        <f t="shared" si="49"/>
        <v>1.58</v>
      </c>
      <c r="AD160" s="129">
        <f t="shared" si="49"/>
        <v>1.58</v>
      </c>
      <c r="AE160" s="129">
        <f t="shared" si="49"/>
        <v>1.58</v>
      </c>
      <c r="AF160" s="129">
        <f t="shared" si="49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7"/>
        <v>2</v>
      </c>
      <c r="C161" s="130">
        <v>2</v>
      </c>
      <c r="D161" s="129">
        <f t="shared" si="48"/>
        <v>2</v>
      </c>
      <c r="E161" s="129">
        <f t="shared" si="48"/>
        <v>2</v>
      </c>
      <c r="F161" s="129">
        <f t="shared" si="48"/>
        <v>2</v>
      </c>
      <c r="G161" s="129">
        <f t="shared" si="48"/>
        <v>2</v>
      </c>
      <c r="H161" s="129">
        <f t="shared" si="48"/>
        <v>2</v>
      </c>
      <c r="I161" s="129">
        <f t="shared" si="48"/>
        <v>2</v>
      </c>
      <c r="J161" s="129">
        <f t="shared" si="48"/>
        <v>2</v>
      </c>
      <c r="K161" s="129">
        <f t="shared" si="48"/>
        <v>2</v>
      </c>
      <c r="L161" s="129">
        <f t="shared" si="48"/>
        <v>2</v>
      </c>
      <c r="M161" s="129">
        <f t="shared" si="48"/>
        <v>2</v>
      </c>
      <c r="N161" s="129">
        <f t="shared" si="48"/>
        <v>2</v>
      </c>
      <c r="O161" s="129">
        <f t="shared" si="48"/>
        <v>2</v>
      </c>
      <c r="P161" s="129">
        <f t="shared" si="48"/>
        <v>2</v>
      </c>
      <c r="Q161" s="129">
        <f t="shared" si="48"/>
        <v>2</v>
      </c>
      <c r="R161" s="129">
        <f t="shared" si="48"/>
        <v>2</v>
      </c>
      <c r="S161" s="129">
        <f t="shared" si="48"/>
        <v>2</v>
      </c>
      <c r="T161" s="129">
        <f t="shared" si="49"/>
        <v>2</v>
      </c>
      <c r="U161" s="129">
        <f t="shared" si="49"/>
        <v>2</v>
      </c>
      <c r="V161" s="129">
        <f t="shared" si="49"/>
        <v>2</v>
      </c>
      <c r="W161" s="129">
        <f t="shared" si="49"/>
        <v>2</v>
      </c>
      <c r="X161" s="129">
        <f t="shared" si="49"/>
        <v>2</v>
      </c>
      <c r="Y161" s="129">
        <f t="shared" si="49"/>
        <v>2</v>
      </c>
      <c r="Z161" s="129">
        <f t="shared" si="49"/>
        <v>2</v>
      </c>
      <c r="AA161" s="129">
        <f t="shared" si="49"/>
        <v>2</v>
      </c>
      <c r="AB161" s="129">
        <f t="shared" si="49"/>
        <v>2</v>
      </c>
      <c r="AC161" s="129">
        <f t="shared" si="49"/>
        <v>2</v>
      </c>
      <c r="AD161" s="129">
        <f t="shared" si="49"/>
        <v>2</v>
      </c>
      <c r="AE161" s="129">
        <f t="shared" si="49"/>
        <v>2</v>
      </c>
      <c r="AF161" s="129">
        <f t="shared" si="49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7"/>
        <v>0.47</v>
      </c>
      <c r="C162" s="130">
        <v>0.47</v>
      </c>
      <c r="D162" s="129">
        <f t="shared" si="48"/>
        <v>0.47</v>
      </c>
      <c r="E162" s="129">
        <f t="shared" si="48"/>
        <v>0.47</v>
      </c>
      <c r="F162" s="129">
        <f t="shared" si="48"/>
        <v>0.47</v>
      </c>
      <c r="G162" s="129">
        <f t="shared" si="48"/>
        <v>0.47</v>
      </c>
      <c r="H162" s="129">
        <f t="shared" si="48"/>
        <v>0.47</v>
      </c>
      <c r="I162" s="129">
        <f t="shared" si="48"/>
        <v>0.47</v>
      </c>
      <c r="J162" s="129">
        <f t="shared" si="48"/>
        <v>0.47</v>
      </c>
      <c r="K162" s="129">
        <f t="shared" si="48"/>
        <v>0.47</v>
      </c>
      <c r="L162" s="129">
        <f t="shared" si="48"/>
        <v>0.47</v>
      </c>
      <c r="M162" s="129">
        <f t="shared" si="48"/>
        <v>0.47</v>
      </c>
      <c r="N162" s="129">
        <f t="shared" si="48"/>
        <v>0.47</v>
      </c>
      <c r="O162" s="129">
        <f t="shared" si="48"/>
        <v>0.47</v>
      </c>
      <c r="P162" s="129">
        <f t="shared" si="48"/>
        <v>0.47</v>
      </c>
      <c r="Q162" s="129">
        <f t="shared" si="48"/>
        <v>0.47</v>
      </c>
      <c r="R162" s="129">
        <f t="shared" si="48"/>
        <v>0.47</v>
      </c>
      <c r="S162" s="129">
        <f t="shared" si="48"/>
        <v>0.47</v>
      </c>
      <c r="T162" s="129">
        <f t="shared" si="49"/>
        <v>0.47</v>
      </c>
      <c r="U162" s="129">
        <f t="shared" si="49"/>
        <v>0.47</v>
      </c>
      <c r="V162" s="129">
        <f t="shared" si="49"/>
        <v>0.47</v>
      </c>
      <c r="W162" s="129">
        <f t="shared" si="49"/>
        <v>0.47</v>
      </c>
      <c r="X162" s="129">
        <f t="shared" si="49"/>
        <v>0.47</v>
      </c>
      <c r="Y162" s="129">
        <f t="shared" si="49"/>
        <v>0.47</v>
      </c>
      <c r="Z162" s="129">
        <f t="shared" si="49"/>
        <v>0.47</v>
      </c>
      <c r="AA162" s="129">
        <f t="shared" si="49"/>
        <v>0.47</v>
      </c>
      <c r="AB162" s="129">
        <f t="shared" si="49"/>
        <v>0.47</v>
      </c>
      <c r="AC162" s="129">
        <f t="shared" si="49"/>
        <v>0.47</v>
      </c>
      <c r="AD162" s="129">
        <f t="shared" si="49"/>
        <v>0.47</v>
      </c>
      <c r="AE162" s="129">
        <f t="shared" si="49"/>
        <v>0.47</v>
      </c>
      <c r="AF162" s="129">
        <f t="shared" si="49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7"/>
        <v>0</v>
      </c>
      <c r="C163" s="130">
        <v>0</v>
      </c>
      <c r="D163" s="129">
        <f t="shared" si="48"/>
        <v>0</v>
      </c>
      <c r="E163" s="129">
        <f t="shared" si="48"/>
        <v>0</v>
      </c>
      <c r="F163" s="129">
        <f t="shared" si="48"/>
        <v>0</v>
      </c>
      <c r="G163" s="129">
        <f t="shared" si="48"/>
        <v>0</v>
      </c>
      <c r="H163" s="129">
        <f t="shared" si="48"/>
        <v>0</v>
      </c>
      <c r="I163" s="129">
        <f t="shared" si="48"/>
        <v>0</v>
      </c>
      <c r="J163" s="129">
        <f t="shared" si="48"/>
        <v>0</v>
      </c>
      <c r="K163" s="129">
        <f t="shared" si="48"/>
        <v>0</v>
      </c>
      <c r="L163" s="129">
        <f t="shared" si="48"/>
        <v>0</v>
      </c>
      <c r="M163" s="129">
        <f t="shared" si="48"/>
        <v>0</v>
      </c>
      <c r="N163" s="129">
        <f t="shared" si="48"/>
        <v>0</v>
      </c>
      <c r="O163" s="129">
        <f t="shared" si="48"/>
        <v>0</v>
      </c>
      <c r="P163" s="129">
        <f t="shared" si="48"/>
        <v>0</v>
      </c>
      <c r="Q163" s="129">
        <f t="shared" si="48"/>
        <v>0</v>
      </c>
      <c r="R163" s="129">
        <f t="shared" si="48"/>
        <v>0</v>
      </c>
      <c r="S163" s="129">
        <f t="shared" si="48"/>
        <v>0</v>
      </c>
      <c r="T163" s="129">
        <f t="shared" si="49"/>
        <v>0</v>
      </c>
      <c r="U163" s="129">
        <f t="shared" si="49"/>
        <v>0</v>
      </c>
      <c r="V163" s="129">
        <f t="shared" si="49"/>
        <v>0</v>
      </c>
      <c r="W163" s="129">
        <f t="shared" si="49"/>
        <v>0</v>
      </c>
      <c r="X163" s="129">
        <f t="shared" si="49"/>
        <v>0</v>
      </c>
      <c r="Y163" s="129">
        <f t="shared" si="49"/>
        <v>0</v>
      </c>
      <c r="Z163" s="129">
        <f t="shared" si="49"/>
        <v>0</v>
      </c>
      <c r="AA163" s="129">
        <f t="shared" si="49"/>
        <v>0</v>
      </c>
      <c r="AB163" s="129">
        <f t="shared" si="49"/>
        <v>0</v>
      </c>
      <c r="AC163" s="129">
        <f t="shared" si="49"/>
        <v>0</v>
      </c>
      <c r="AD163" s="129">
        <f t="shared" si="49"/>
        <v>0</v>
      </c>
      <c r="AE163" s="129">
        <f t="shared" si="49"/>
        <v>0</v>
      </c>
      <c r="AF163" s="129">
        <f t="shared" si="49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7"/>
        <v>0</v>
      </c>
      <c r="C164" s="130">
        <v>0</v>
      </c>
      <c r="D164" s="129">
        <f t="shared" si="48"/>
        <v>0</v>
      </c>
      <c r="E164" s="129">
        <f t="shared" si="48"/>
        <v>0</v>
      </c>
      <c r="F164" s="129">
        <f t="shared" si="48"/>
        <v>0</v>
      </c>
      <c r="G164" s="129">
        <f t="shared" si="48"/>
        <v>0</v>
      </c>
      <c r="H164" s="129">
        <f t="shared" si="48"/>
        <v>0</v>
      </c>
      <c r="I164" s="129">
        <f t="shared" si="48"/>
        <v>0</v>
      </c>
      <c r="J164" s="129">
        <f t="shared" si="48"/>
        <v>0</v>
      </c>
      <c r="K164" s="129">
        <f t="shared" si="48"/>
        <v>0</v>
      </c>
      <c r="L164" s="129">
        <f t="shared" si="48"/>
        <v>0</v>
      </c>
      <c r="M164" s="129">
        <f t="shared" si="48"/>
        <v>0</v>
      </c>
      <c r="N164" s="129">
        <f t="shared" si="48"/>
        <v>0</v>
      </c>
      <c r="O164" s="129">
        <f t="shared" si="48"/>
        <v>0</v>
      </c>
      <c r="P164" s="129">
        <f t="shared" si="48"/>
        <v>0</v>
      </c>
      <c r="Q164" s="129">
        <f t="shared" si="48"/>
        <v>0</v>
      </c>
      <c r="R164" s="129">
        <f t="shared" si="48"/>
        <v>0</v>
      </c>
      <c r="S164" s="129">
        <f t="shared" si="49"/>
        <v>0</v>
      </c>
      <c r="T164" s="129">
        <f t="shared" si="49"/>
        <v>0</v>
      </c>
      <c r="U164" s="129">
        <f t="shared" si="49"/>
        <v>0</v>
      </c>
      <c r="V164" s="129">
        <f t="shared" si="49"/>
        <v>0</v>
      </c>
      <c r="W164" s="129">
        <f t="shared" si="49"/>
        <v>0</v>
      </c>
      <c r="X164" s="129">
        <f t="shared" si="49"/>
        <v>0</v>
      </c>
      <c r="Y164" s="129">
        <f t="shared" si="49"/>
        <v>0</v>
      </c>
      <c r="Z164" s="129">
        <f t="shared" si="49"/>
        <v>0</v>
      </c>
      <c r="AA164" s="129">
        <f t="shared" si="49"/>
        <v>0</v>
      </c>
      <c r="AB164" s="129">
        <f t="shared" si="49"/>
        <v>0</v>
      </c>
      <c r="AC164" s="129">
        <f t="shared" si="49"/>
        <v>0</v>
      </c>
      <c r="AD164" s="129">
        <f t="shared" si="49"/>
        <v>0</v>
      </c>
      <c r="AE164" s="129">
        <f t="shared" si="49"/>
        <v>0</v>
      </c>
      <c r="AF164" s="129">
        <f t="shared" si="49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7"/>
        <v>0.8</v>
      </c>
      <c r="C165" s="130">
        <v>0.8</v>
      </c>
      <c r="D165" s="129">
        <f t="shared" si="48"/>
        <v>0.8</v>
      </c>
      <c r="E165" s="129">
        <f t="shared" si="48"/>
        <v>0.8</v>
      </c>
      <c r="F165" s="129">
        <f t="shared" si="48"/>
        <v>0.8</v>
      </c>
      <c r="G165" s="129">
        <f t="shared" si="48"/>
        <v>0.8</v>
      </c>
      <c r="H165" s="129">
        <f t="shared" si="48"/>
        <v>0.8</v>
      </c>
      <c r="I165" s="129">
        <f t="shared" si="48"/>
        <v>0.8</v>
      </c>
      <c r="J165" s="129">
        <f t="shared" si="48"/>
        <v>0.8</v>
      </c>
      <c r="K165" s="129">
        <f t="shared" si="48"/>
        <v>0.8</v>
      </c>
      <c r="L165" s="129">
        <f t="shared" si="48"/>
        <v>0.8</v>
      </c>
      <c r="M165" s="129">
        <f t="shared" si="48"/>
        <v>0.8</v>
      </c>
      <c r="N165" s="129">
        <f t="shared" si="48"/>
        <v>0.8</v>
      </c>
      <c r="O165" s="129">
        <f t="shared" si="48"/>
        <v>0.8</v>
      </c>
      <c r="P165" s="129">
        <f t="shared" si="48"/>
        <v>0.8</v>
      </c>
      <c r="Q165" s="129">
        <f t="shared" si="48"/>
        <v>0.8</v>
      </c>
      <c r="R165" s="129">
        <f t="shared" si="48"/>
        <v>0.8</v>
      </c>
      <c r="S165" s="129">
        <f t="shared" si="49"/>
        <v>0.8</v>
      </c>
      <c r="T165" s="129">
        <f t="shared" si="49"/>
        <v>0.8</v>
      </c>
      <c r="U165" s="129">
        <f t="shared" si="49"/>
        <v>0.8</v>
      </c>
      <c r="V165" s="129">
        <f t="shared" si="49"/>
        <v>0.8</v>
      </c>
      <c r="W165" s="129">
        <f t="shared" si="49"/>
        <v>0.8</v>
      </c>
      <c r="X165" s="129">
        <f t="shared" si="49"/>
        <v>0.8</v>
      </c>
      <c r="Y165" s="129">
        <f t="shared" si="49"/>
        <v>0.8</v>
      </c>
      <c r="Z165" s="129">
        <f t="shared" si="49"/>
        <v>0.8</v>
      </c>
      <c r="AA165" s="129">
        <f t="shared" si="49"/>
        <v>0.8</v>
      </c>
      <c r="AB165" s="129">
        <f t="shared" si="49"/>
        <v>0.8</v>
      </c>
      <c r="AC165" s="129">
        <f t="shared" si="49"/>
        <v>0.8</v>
      </c>
      <c r="AD165" s="129">
        <f t="shared" si="49"/>
        <v>0.8</v>
      </c>
      <c r="AE165" s="129">
        <f t="shared" si="49"/>
        <v>0.8</v>
      </c>
      <c r="AF165" s="129">
        <f t="shared" si="49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7"/>
        <v>1.5</v>
      </c>
      <c r="C166" s="130">
        <v>1.5</v>
      </c>
      <c r="D166" s="129">
        <f t="shared" si="48"/>
        <v>1.5</v>
      </c>
      <c r="E166" s="129">
        <f t="shared" si="48"/>
        <v>1.5</v>
      </c>
      <c r="F166" s="129">
        <f t="shared" si="48"/>
        <v>1.5</v>
      </c>
      <c r="G166" s="129">
        <f t="shared" si="48"/>
        <v>1.5</v>
      </c>
      <c r="H166" s="129">
        <f t="shared" si="48"/>
        <v>1.5</v>
      </c>
      <c r="I166" s="129">
        <f t="shared" si="48"/>
        <v>1.5</v>
      </c>
      <c r="J166" s="129">
        <f t="shared" si="48"/>
        <v>1.5</v>
      </c>
      <c r="K166" s="129">
        <f t="shared" si="48"/>
        <v>1.5</v>
      </c>
      <c r="L166" s="129">
        <f t="shared" si="48"/>
        <v>1.5</v>
      </c>
      <c r="M166" s="129">
        <f t="shared" si="48"/>
        <v>1.5</v>
      </c>
      <c r="N166" s="129">
        <f t="shared" si="48"/>
        <v>1.5</v>
      </c>
      <c r="O166" s="129">
        <f t="shared" si="48"/>
        <v>1.5</v>
      </c>
      <c r="P166" s="129">
        <f t="shared" si="48"/>
        <v>1.5</v>
      </c>
      <c r="Q166" s="129">
        <f t="shared" si="48"/>
        <v>1.5</v>
      </c>
      <c r="R166" s="129">
        <f t="shared" si="48"/>
        <v>1.5</v>
      </c>
      <c r="S166" s="129">
        <f t="shared" si="49"/>
        <v>1.5</v>
      </c>
      <c r="T166" s="129">
        <f t="shared" si="49"/>
        <v>1.5</v>
      </c>
      <c r="U166" s="129">
        <f t="shared" si="49"/>
        <v>1.5</v>
      </c>
      <c r="V166" s="129">
        <f t="shared" si="49"/>
        <v>1.5</v>
      </c>
      <c r="W166" s="129">
        <f t="shared" si="49"/>
        <v>1.5</v>
      </c>
      <c r="X166" s="129">
        <f t="shared" si="49"/>
        <v>1.5</v>
      </c>
      <c r="Y166" s="129">
        <f t="shared" si="49"/>
        <v>1.5</v>
      </c>
      <c r="Z166" s="129">
        <f t="shared" si="49"/>
        <v>1.5</v>
      </c>
      <c r="AA166" s="129">
        <f t="shared" si="49"/>
        <v>1.5</v>
      </c>
      <c r="AB166" s="129">
        <f t="shared" si="49"/>
        <v>1.5</v>
      </c>
      <c r="AC166" s="129">
        <f t="shared" si="49"/>
        <v>1.5</v>
      </c>
      <c r="AD166" s="129">
        <f t="shared" si="49"/>
        <v>1.5</v>
      </c>
      <c r="AE166" s="129">
        <f t="shared" si="49"/>
        <v>1.5</v>
      </c>
      <c r="AF166" s="129">
        <f t="shared" si="49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7"/>
        <v>1</v>
      </c>
      <c r="C167" s="130">
        <v>1</v>
      </c>
      <c r="D167" s="129">
        <f t="shared" si="48"/>
        <v>1</v>
      </c>
      <c r="E167" s="129">
        <f t="shared" si="48"/>
        <v>1</v>
      </c>
      <c r="F167" s="129">
        <f t="shared" si="48"/>
        <v>1</v>
      </c>
      <c r="G167" s="129">
        <f t="shared" si="48"/>
        <v>1</v>
      </c>
      <c r="H167" s="129">
        <f t="shared" si="48"/>
        <v>1</v>
      </c>
      <c r="I167" s="129">
        <f t="shared" si="48"/>
        <v>1</v>
      </c>
      <c r="J167" s="129">
        <f t="shared" si="48"/>
        <v>1</v>
      </c>
      <c r="K167" s="129">
        <f t="shared" si="48"/>
        <v>1</v>
      </c>
      <c r="L167" s="129">
        <f t="shared" si="48"/>
        <v>1</v>
      </c>
      <c r="M167" s="129">
        <f t="shared" si="48"/>
        <v>1</v>
      </c>
      <c r="N167" s="129">
        <f t="shared" si="48"/>
        <v>1</v>
      </c>
      <c r="O167" s="129">
        <f t="shared" si="48"/>
        <v>1</v>
      </c>
      <c r="P167" s="129">
        <f t="shared" si="48"/>
        <v>1</v>
      </c>
      <c r="Q167" s="129">
        <f t="shared" si="48"/>
        <v>1</v>
      </c>
      <c r="R167" s="129">
        <f t="shared" si="48"/>
        <v>1</v>
      </c>
      <c r="S167" s="129">
        <f t="shared" si="49"/>
        <v>1</v>
      </c>
      <c r="T167" s="129">
        <f t="shared" si="49"/>
        <v>1</v>
      </c>
      <c r="U167" s="129">
        <f t="shared" si="49"/>
        <v>1</v>
      </c>
      <c r="V167" s="129">
        <f t="shared" si="49"/>
        <v>1</v>
      </c>
      <c r="W167" s="129">
        <f t="shared" si="49"/>
        <v>1</v>
      </c>
      <c r="X167" s="129">
        <f t="shared" si="49"/>
        <v>1</v>
      </c>
      <c r="Y167" s="129">
        <f t="shared" si="49"/>
        <v>1</v>
      </c>
      <c r="Z167" s="129">
        <f t="shared" si="49"/>
        <v>1</v>
      </c>
      <c r="AA167" s="129">
        <f t="shared" si="49"/>
        <v>1</v>
      </c>
      <c r="AB167" s="129">
        <f t="shared" si="49"/>
        <v>1</v>
      </c>
      <c r="AC167" s="129">
        <f t="shared" si="49"/>
        <v>1</v>
      </c>
      <c r="AD167" s="129">
        <f t="shared" si="49"/>
        <v>1</v>
      </c>
      <c r="AE167" s="129">
        <f t="shared" si="49"/>
        <v>1</v>
      </c>
      <c r="AF167" s="129">
        <f t="shared" si="49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50">AF169</f>
        <v>1</v>
      </c>
      <c r="C169" s="130">
        <v>1</v>
      </c>
      <c r="D169" s="129">
        <f t="shared" ref="D169:S176" si="51">C169</f>
        <v>1</v>
      </c>
      <c r="E169" s="129">
        <f t="shared" si="51"/>
        <v>1</v>
      </c>
      <c r="F169" s="129">
        <f t="shared" si="51"/>
        <v>1</v>
      </c>
      <c r="G169" s="129">
        <f t="shared" si="51"/>
        <v>1</v>
      </c>
      <c r="H169" s="129">
        <f t="shared" si="51"/>
        <v>1</v>
      </c>
      <c r="I169" s="129">
        <f t="shared" si="51"/>
        <v>1</v>
      </c>
      <c r="J169" s="129">
        <f t="shared" si="51"/>
        <v>1</v>
      </c>
      <c r="K169" s="129">
        <f t="shared" si="51"/>
        <v>1</v>
      </c>
      <c r="L169" s="129">
        <f t="shared" si="51"/>
        <v>1</v>
      </c>
      <c r="M169" s="129">
        <f t="shared" si="51"/>
        <v>1</v>
      </c>
      <c r="N169" s="129">
        <f t="shared" si="51"/>
        <v>1</v>
      </c>
      <c r="O169" s="129">
        <f t="shared" si="51"/>
        <v>1</v>
      </c>
      <c r="P169" s="129">
        <f t="shared" si="51"/>
        <v>1</v>
      </c>
      <c r="Q169" s="129">
        <f t="shared" si="51"/>
        <v>1</v>
      </c>
      <c r="R169" s="129">
        <f t="shared" si="51"/>
        <v>1</v>
      </c>
      <c r="S169" s="129">
        <f t="shared" si="51"/>
        <v>1</v>
      </c>
      <c r="T169" s="129">
        <f t="shared" ref="S169:AF176" si="52">S169</f>
        <v>1</v>
      </c>
      <c r="U169" s="129">
        <f t="shared" si="52"/>
        <v>1</v>
      </c>
      <c r="V169" s="129">
        <f t="shared" si="52"/>
        <v>1</v>
      </c>
      <c r="W169" s="129">
        <f t="shared" si="52"/>
        <v>1</v>
      </c>
      <c r="X169" s="129">
        <f t="shared" si="52"/>
        <v>1</v>
      </c>
      <c r="Y169" s="129">
        <f t="shared" si="52"/>
        <v>1</v>
      </c>
      <c r="Z169" s="129">
        <f t="shared" si="52"/>
        <v>1</v>
      </c>
      <c r="AA169" s="129">
        <f t="shared" si="52"/>
        <v>1</v>
      </c>
      <c r="AB169" s="129">
        <f t="shared" si="52"/>
        <v>1</v>
      </c>
      <c r="AC169" s="129">
        <f t="shared" si="52"/>
        <v>1</v>
      </c>
      <c r="AD169" s="129">
        <f t="shared" si="52"/>
        <v>1</v>
      </c>
      <c r="AE169" s="129">
        <f t="shared" si="52"/>
        <v>1</v>
      </c>
      <c r="AF169" s="129">
        <f t="shared" si="52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50"/>
        <v>0.42</v>
      </c>
      <c r="C170" s="130">
        <v>0.42</v>
      </c>
      <c r="D170" s="129">
        <f t="shared" si="51"/>
        <v>0.42</v>
      </c>
      <c r="E170" s="129">
        <f t="shared" si="51"/>
        <v>0.42</v>
      </c>
      <c r="F170" s="129">
        <f t="shared" si="51"/>
        <v>0.42</v>
      </c>
      <c r="G170" s="129">
        <f t="shared" si="51"/>
        <v>0.42</v>
      </c>
      <c r="H170" s="129">
        <f t="shared" si="51"/>
        <v>0.42</v>
      </c>
      <c r="I170" s="129">
        <f t="shared" si="51"/>
        <v>0.42</v>
      </c>
      <c r="J170" s="129">
        <f t="shared" si="51"/>
        <v>0.42</v>
      </c>
      <c r="K170" s="129">
        <f t="shared" si="51"/>
        <v>0.42</v>
      </c>
      <c r="L170" s="129">
        <f t="shared" si="51"/>
        <v>0.42</v>
      </c>
      <c r="M170" s="129">
        <f t="shared" si="51"/>
        <v>0.42</v>
      </c>
      <c r="N170" s="129">
        <f t="shared" si="51"/>
        <v>0.42</v>
      </c>
      <c r="O170" s="129">
        <f t="shared" si="51"/>
        <v>0.42</v>
      </c>
      <c r="P170" s="129">
        <f t="shared" si="51"/>
        <v>0.42</v>
      </c>
      <c r="Q170" s="129">
        <f t="shared" si="51"/>
        <v>0.42</v>
      </c>
      <c r="R170" s="129">
        <f t="shared" si="51"/>
        <v>0.42</v>
      </c>
      <c r="S170" s="129">
        <f t="shared" si="52"/>
        <v>0.42</v>
      </c>
      <c r="T170" s="129">
        <f t="shared" si="52"/>
        <v>0.42</v>
      </c>
      <c r="U170" s="129">
        <f t="shared" si="52"/>
        <v>0.42</v>
      </c>
      <c r="V170" s="129">
        <f t="shared" si="52"/>
        <v>0.42</v>
      </c>
      <c r="W170" s="129">
        <f t="shared" si="52"/>
        <v>0.42</v>
      </c>
      <c r="X170" s="129">
        <f t="shared" si="52"/>
        <v>0.42</v>
      </c>
      <c r="Y170" s="129">
        <f t="shared" si="52"/>
        <v>0.42</v>
      </c>
      <c r="Z170" s="129">
        <f t="shared" si="52"/>
        <v>0.42</v>
      </c>
      <c r="AA170" s="129">
        <f t="shared" si="52"/>
        <v>0.42</v>
      </c>
      <c r="AB170" s="129">
        <f t="shared" si="52"/>
        <v>0.42</v>
      </c>
      <c r="AC170" s="129">
        <f t="shared" si="52"/>
        <v>0.42</v>
      </c>
      <c r="AD170" s="129">
        <f t="shared" si="52"/>
        <v>0.42</v>
      </c>
      <c r="AE170" s="129">
        <f t="shared" si="52"/>
        <v>0.42</v>
      </c>
      <c r="AF170" s="129">
        <f t="shared" si="52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50"/>
        <v>0.46</v>
      </c>
      <c r="C171" s="130">
        <v>0.46</v>
      </c>
      <c r="D171" s="129">
        <f t="shared" si="51"/>
        <v>0.46</v>
      </c>
      <c r="E171" s="129">
        <f t="shared" si="51"/>
        <v>0.46</v>
      </c>
      <c r="F171" s="129">
        <f t="shared" si="51"/>
        <v>0.46</v>
      </c>
      <c r="G171" s="129">
        <f t="shared" si="51"/>
        <v>0.46</v>
      </c>
      <c r="H171" s="129">
        <f t="shared" si="51"/>
        <v>0.46</v>
      </c>
      <c r="I171" s="129">
        <f t="shared" si="51"/>
        <v>0.46</v>
      </c>
      <c r="J171" s="129">
        <f t="shared" si="51"/>
        <v>0.46</v>
      </c>
      <c r="K171" s="129">
        <f t="shared" si="51"/>
        <v>0.46</v>
      </c>
      <c r="L171" s="129">
        <f t="shared" si="51"/>
        <v>0.46</v>
      </c>
      <c r="M171" s="129">
        <f t="shared" si="51"/>
        <v>0.46</v>
      </c>
      <c r="N171" s="129">
        <f t="shared" si="51"/>
        <v>0.46</v>
      </c>
      <c r="O171" s="129">
        <f t="shared" si="51"/>
        <v>0.46</v>
      </c>
      <c r="P171" s="129">
        <f t="shared" si="51"/>
        <v>0.46</v>
      </c>
      <c r="Q171" s="129">
        <f t="shared" si="51"/>
        <v>0.46</v>
      </c>
      <c r="R171" s="129">
        <f t="shared" si="51"/>
        <v>0.46</v>
      </c>
      <c r="S171" s="129">
        <f t="shared" si="52"/>
        <v>0.46</v>
      </c>
      <c r="T171" s="129">
        <f t="shared" si="52"/>
        <v>0.46</v>
      </c>
      <c r="U171" s="129">
        <f t="shared" si="52"/>
        <v>0.46</v>
      </c>
      <c r="V171" s="129">
        <f t="shared" si="52"/>
        <v>0.46</v>
      </c>
      <c r="W171" s="129">
        <f t="shared" si="52"/>
        <v>0.46</v>
      </c>
      <c r="X171" s="129">
        <f t="shared" si="52"/>
        <v>0.46</v>
      </c>
      <c r="Y171" s="129">
        <f t="shared" si="52"/>
        <v>0.46</v>
      </c>
      <c r="Z171" s="129">
        <f t="shared" si="52"/>
        <v>0.46</v>
      </c>
      <c r="AA171" s="129">
        <f t="shared" si="52"/>
        <v>0.46</v>
      </c>
      <c r="AB171" s="129">
        <f t="shared" si="52"/>
        <v>0.46</v>
      </c>
      <c r="AC171" s="129">
        <f t="shared" si="52"/>
        <v>0.46</v>
      </c>
      <c r="AD171" s="129">
        <f t="shared" si="52"/>
        <v>0.46</v>
      </c>
      <c r="AE171" s="129">
        <f t="shared" si="52"/>
        <v>0.46</v>
      </c>
      <c r="AF171" s="129">
        <f t="shared" si="52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50"/>
        <v>0.85</v>
      </c>
      <c r="C172" s="130">
        <v>0.85</v>
      </c>
      <c r="D172" s="129">
        <f t="shared" si="51"/>
        <v>0.85</v>
      </c>
      <c r="E172" s="129">
        <f t="shared" si="51"/>
        <v>0.85</v>
      </c>
      <c r="F172" s="129">
        <f t="shared" si="51"/>
        <v>0.85</v>
      </c>
      <c r="G172" s="129">
        <f t="shared" si="51"/>
        <v>0.85</v>
      </c>
      <c r="H172" s="129">
        <f t="shared" si="51"/>
        <v>0.85</v>
      </c>
      <c r="I172" s="129">
        <f t="shared" si="51"/>
        <v>0.85</v>
      </c>
      <c r="J172" s="129">
        <f t="shared" si="51"/>
        <v>0.85</v>
      </c>
      <c r="K172" s="129">
        <f t="shared" si="51"/>
        <v>0.85</v>
      </c>
      <c r="L172" s="129">
        <f t="shared" si="51"/>
        <v>0.85</v>
      </c>
      <c r="M172" s="129">
        <f t="shared" si="51"/>
        <v>0.85</v>
      </c>
      <c r="N172" s="129">
        <f t="shared" si="51"/>
        <v>0.85</v>
      </c>
      <c r="O172" s="129">
        <f t="shared" si="51"/>
        <v>0.85</v>
      </c>
      <c r="P172" s="129">
        <f t="shared" si="51"/>
        <v>0.85</v>
      </c>
      <c r="Q172" s="129">
        <f t="shared" si="51"/>
        <v>0.85</v>
      </c>
      <c r="R172" s="129">
        <f t="shared" si="51"/>
        <v>0.85</v>
      </c>
      <c r="S172" s="129">
        <f t="shared" si="52"/>
        <v>0.85</v>
      </c>
      <c r="T172" s="129">
        <f t="shared" si="52"/>
        <v>0.85</v>
      </c>
      <c r="U172" s="129">
        <f t="shared" si="52"/>
        <v>0.85</v>
      </c>
      <c r="V172" s="129">
        <f t="shared" si="52"/>
        <v>0.85</v>
      </c>
      <c r="W172" s="129">
        <f t="shared" si="52"/>
        <v>0.85</v>
      </c>
      <c r="X172" s="129">
        <f t="shared" si="52"/>
        <v>0.85</v>
      </c>
      <c r="Y172" s="129">
        <f t="shared" si="52"/>
        <v>0.85</v>
      </c>
      <c r="Z172" s="129">
        <f t="shared" si="52"/>
        <v>0.85</v>
      </c>
      <c r="AA172" s="129">
        <f t="shared" si="52"/>
        <v>0.85</v>
      </c>
      <c r="AB172" s="129">
        <f t="shared" si="52"/>
        <v>0.85</v>
      </c>
      <c r="AC172" s="129">
        <f t="shared" si="52"/>
        <v>0.85</v>
      </c>
      <c r="AD172" s="129">
        <f t="shared" si="52"/>
        <v>0.85</v>
      </c>
      <c r="AE172" s="129">
        <f t="shared" si="52"/>
        <v>0.85</v>
      </c>
      <c r="AF172" s="129">
        <f t="shared" si="52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50"/>
        <v>0.9</v>
      </c>
      <c r="C173" s="130">
        <v>0.9</v>
      </c>
      <c r="D173" s="129">
        <f t="shared" si="51"/>
        <v>0.9</v>
      </c>
      <c r="E173" s="129">
        <f t="shared" si="51"/>
        <v>0.9</v>
      </c>
      <c r="F173" s="129">
        <f t="shared" si="51"/>
        <v>0.9</v>
      </c>
      <c r="G173" s="129">
        <f t="shared" si="51"/>
        <v>0.9</v>
      </c>
      <c r="H173" s="129">
        <f t="shared" si="51"/>
        <v>0.9</v>
      </c>
      <c r="I173" s="129">
        <f t="shared" si="51"/>
        <v>0.9</v>
      </c>
      <c r="J173" s="129">
        <f t="shared" si="51"/>
        <v>0.9</v>
      </c>
      <c r="K173" s="129">
        <f t="shared" si="51"/>
        <v>0.9</v>
      </c>
      <c r="L173" s="129">
        <f t="shared" si="51"/>
        <v>0.9</v>
      </c>
      <c r="M173" s="129">
        <f t="shared" si="51"/>
        <v>0.9</v>
      </c>
      <c r="N173" s="129">
        <f t="shared" si="51"/>
        <v>0.9</v>
      </c>
      <c r="O173" s="129">
        <f t="shared" si="51"/>
        <v>0.9</v>
      </c>
      <c r="P173" s="129">
        <f t="shared" si="51"/>
        <v>0.9</v>
      </c>
      <c r="Q173" s="129">
        <f t="shared" si="51"/>
        <v>0.9</v>
      </c>
      <c r="R173" s="129">
        <f t="shared" si="51"/>
        <v>0.9</v>
      </c>
      <c r="S173" s="129">
        <f t="shared" si="52"/>
        <v>0.9</v>
      </c>
      <c r="T173" s="129">
        <f t="shared" si="52"/>
        <v>0.9</v>
      </c>
      <c r="U173" s="129">
        <f t="shared" si="52"/>
        <v>0.9</v>
      </c>
      <c r="V173" s="129">
        <f t="shared" si="52"/>
        <v>0.9</v>
      </c>
      <c r="W173" s="129">
        <f t="shared" si="52"/>
        <v>0.9</v>
      </c>
      <c r="X173" s="129">
        <f t="shared" si="52"/>
        <v>0.9</v>
      </c>
      <c r="Y173" s="129">
        <f t="shared" si="52"/>
        <v>0.9</v>
      </c>
      <c r="Z173" s="129">
        <f t="shared" si="52"/>
        <v>0.9</v>
      </c>
      <c r="AA173" s="129">
        <f t="shared" si="52"/>
        <v>0.9</v>
      </c>
      <c r="AB173" s="129">
        <f t="shared" si="52"/>
        <v>0.9</v>
      </c>
      <c r="AC173" s="129">
        <f t="shared" si="52"/>
        <v>0.9</v>
      </c>
      <c r="AD173" s="129">
        <f t="shared" si="52"/>
        <v>0.9</v>
      </c>
      <c r="AE173" s="129">
        <f t="shared" si="52"/>
        <v>0.9</v>
      </c>
      <c r="AF173" s="129">
        <f t="shared" si="52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50"/>
        <v>0.44</v>
      </c>
      <c r="C174" s="130">
        <v>0.44</v>
      </c>
      <c r="D174" s="129">
        <f t="shared" si="51"/>
        <v>0.44</v>
      </c>
      <c r="E174" s="129">
        <f t="shared" si="51"/>
        <v>0.44</v>
      </c>
      <c r="F174" s="129">
        <f t="shared" si="51"/>
        <v>0.44</v>
      </c>
      <c r="G174" s="129">
        <f t="shared" si="51"/>
        <v>0.44</v>
      </c>
      <c r="H174" s="129">
        <f t="shared" si="51"/>
        <v>0.44</v>
      </c>
      <c r="I174" s="129">
        <f t="shared" si="51"/>
        <v>0.44</v>
      </c>
      <c r="J174" s="129">
        <f t="shared" si="51"/>
        <v>0.44</v>
      </c>
      <c r="K174" s="129">
        <f t="shared" si="51"/>
        <v>0.44</v>
      </c>
      <c r="L174" s="129">
        <f t="shared" si="51"/>
        <v>0.44</v>
      </c>
      <c r="M174" s="129">
        <f t="shared" si="51"/>
        <v>0.44</v>
      </c>
      <c r="N174" s="129">
        <f t="shared" si="51"/>
        <v>0.44</v>
      </c>
      <c r="O174" s="129">
        <f t="shared" si="51"/>
        <v>0.44</v>
      </c>
      <c r="P174" s="129">
        <f t="shared" si="51"/>
        <v>0.44</v>
      </c>
      <c r="Q174" s="129">
        <f t="shared" si="51"/>
        <v>0.44</v>
      </c>
      <c r="R174" s="129">
        <f t="shared" si="51"/>
        <v>0.44</v>
      </c>
      <c r="S174" s="129">
        <f t="shared" si="52"/>
        <v>0.44</v>
      </c>
      <c r="T174" s="129">
        <f t="shared" si="52"/>
        <v>0.44</v>
      </c>
      <c r="U174" s="129">
        <f t="shared" si="52"/>
        <v>0.44</v>
      </c>
      <c r="V174" s="129">
        <f t="shared" si="52"/>
        <v>0.44</v>
      </c>
      <c r="W174" s="129">
        <f t="shared" si="52"/>
        <v>0.44</v>
      </c>
      <c r="X174" s="129">
        <f t="shared" si="52"/>
        <v>0.44</v>
      </c>
      <c r="Y174" s="129">
        <f t="shared" si="52"/>
        <v>0.44</v>
      </c>
      <c r="Z174" s="129">
        <f t="shared" si="52"/>
        <v>0.44</v>
      </c>
      <c r="AA174" s="129">
        <f t="shared" si="52"/>
        <v>0.44</v>
      </c>
      <c r="AB174" s="129">
        <f t="shared" si="52"/>
        <v>0.44</v>
      </c>
      <c r="AC174" s="129">
        <f t="shared" si="52"/>
        <v>0.44</v>
      </c>
      <c r="AD174" s="129">
        <f t="shared" si="52"/>
        <v>0.44</v>
      </c>
      <c r="AE174" s="129">
        <f t="shared" si="52"/>
        <v>0.44</v>
      </c>
      <c r="AF174" s="129">
        <f t="shared" si="52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50"/>
        <v>2.1</v>
      </c>
      <c r="C175" s="130">
        <v>2.1</v>
      </c>
      <c r="D175" s="129">
        <f t="shared" si="51"/>
        <v>2.1</v>
      </c>
      <c r="E175" s="129">
        <f t="shared" si="51"/>
        <v>2.1</v>
      </c>
      <c r="F175" s="129">
        <f t="shared" si="51"/>
        <v>2.1</v>
      </c>
      <c r="G175" s="129">
        <f t="shared" si="51"/>
        <v>2.1</v>
      </c>
      <c r="H175" s="129">
        <f t="shared" si="51"/>
        <v>2.1</v>
      </c>
      <c r="I175" s="129">
        <f t="shared" si="51"/>
        <v>2.1</v>
      </c>
      <c r="J175" s="129">
        <f t="shared" si="51"/>
        <v>2.1</v>
      </c>
      <c r="K175" s="129">
        <f t="shared" si="51"/>
        <v>2.1</v>
      </c>
      <c r="L175" s="129">
        <f t="shared" si="51"/>
        <v>2.1</v>
      </c>
      <c r="M175" s="129">
        <f t="shared" si="51"/>
        <v>2.1</v>
      </c>
      <c r="N175" s="129">
        <f t="shared" si="51"/>
        <v>2.1</v>
      </c>
      <c r="O175" s="129">
        <f t="shared" si="51"/>
        <v>2.1</v>
      </c>
      <c r="P175" s="129">
        <f t="shared" si="51"/>
        <v>2.1</v>
      </c>
      <c r="Q175" s="129">
        <f t="shared" si="51"/>
        <v>2.1</v>
      </c>
      <c r="R175" s="129">
        <f t="shared" si="51"/>
        <v>2.1</v>
      </c>
      <c r="S175" s="129">
        <f t="shared" si="52"/>
        <v>2.1</v>
      </c>
      <c r="T175" s="129">
        <f t="shared" si="52"/>
        <v>2.1</v>
      </c>
      <c r="U175" s="129">
        <f t="shared" si="52"/>
        <v>2.1</v>
      </c>
      <c r="V175" s="129">
        <f t="shared" si="52"/>
        <v>2.1</v>
      </c>
      <c r="W175" s="129">
        <f t="shared" si="52"/>
        <v>2.1</v>
      </c>
      <c r="X175" s="129">
        <f t="shared" si="52"/>
        <v>2.1</v>
      </c>
      <c r="Y175" s="129">
        <f t="shared" si="52"/>
        <v>2.1</v>
      </c>
      <c r="Z175" s="129">
        <f t="shared" si="52"/>
        <v>2.1</v>
      </c>
      <c r="AA175" s="129">
        <f t="shared" si="52"/>
        <v>2.1</v>
      </c>
      <c r="AB175" s="129">
        <f t="shared" si="52"/>
        <v>2.1</v>
      </c>
      <c r="AC175" s="129">
        <f t="shared" si="52"/>
        <v>2.1</v>
      </c>
      <c r="AD175" s="129">
        <f t="shared" si="52"/>
        <v>2.1</v>
      </c>
      <c r="AE175" s="129">
        <f t="shared" si="52"/>
        <v>2.1</v>
      </c>
      <c r="AF175" s="129">
        <f t="shared" si="52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50"/>
        <v>0.9</v>
      </c>
      <c r="C176" s="130">
        <v>0.9</v>
      </c>
      <c r="D176" s="129">
        <f t="shared" si="51"/>
        <v>0.9</v>
      </c>
      <c r="E176" s="129">
        <f t="shared" si="51"/>
        <v>0.9</v>
      </c>
      <c r="F176" s="129">
        <f t="shared" si="51"/>
        <v>0.9</v>
      </c>
      <c r="G176" s="129">
        <f t="shared" si="51"/>
        <v>0.9</v>
      </c>
      <c r="H176" s="129">
        <f t="shared" si="51"/>
        <v>0.9</v>
      </c>
      <c r="I176" s="129">
        <f t="shared" si="51"/>
        <v>0.9</v>
      </c>
      <c r="J176" s="129">
        <f t="shared" si="51"/>
        <v>0.9</v>
      </c>
      <c r="K176" s="129">
        <f t="shared" si="51"/>
        <v>0.9</v>
      </c>
      <c r="L176" s="129">
        <f t="shared" si="51"/>
        <v>0.9</v>
      </c>
      <c r="M176" s="129">
        <f t="shared" si="51"/>
        <v>0.9</v>
      </c>
      <c r="N176" s="129">
        <f t="shared" si="51"/>
        <v>0.9</v>
      </c>
      <c r="O176" s="129">
        <f t="shared" si="51"/>
        <v>0.9</v>
      </c>
      <c r="P176" s="129">
        <f t="shared" si="51"/>
        <v>0.9</v>
      </c>
      <c r="Q176" s="129">
        <f t="shared" si="51"/>
        <v>0.9</v>
      </c>
      <c r="R176" s="129">
        <f t="shared" si="51"/>
        <v>0.9</v>
      </c>
      <c r="S176" s="129">
        <f t="shared" si="52"/>
        <v>0.9</v>
      </c>
      <c r="T176" s="129">
        <f t="shared" si="52"/>
        <v>0.9</v>
      </c>
      <c r="U176" s="129">
        <f t="shared" si="52"/>
        <v>0.9</v>
      </c>
      <c r="V176" s="129">
        <f t="shared" si="52"/>
        <v>0.9</v>
      </c>
      <c r="W176" s="129">
        <f t="shared" si="52"/>
        <v>0.9</v>
      </c>
      <c r="X176" s="129">
        <f t="shared" si="52"/>
        <v>0.9</v>
      </c>
      <c r="Y176" s="129">
        <f t="shared" si="52"/>
        <v>0.9</v>
      </c>
      <c r="Z176" s="129">
        <f t="shared" si="52"/>
        <v>0.9</v>
      </c>
      <c r="AA176" s="129">
        <f t="shared" si="52"/>
        <v>0.9</v>
      </c>
      <c r="AB176" s="129">
        <f t="shared" si="52"/>
        <v>0.9</v>
      </c>
      <c r="AC176" s="129">
        <f t="shared" si="52"/>
        <v>0.9</v>
      </c>
      <c r="AD176" s="129">
        <f t="shared" si="52"/>
        <v>0.9</v>
      </c>
      <c r="AE176" s="129">
        <f t="shared" si="52"/>
        <v>0.9</v>
      </c>
      <c r="AF176" s="129">
        <f t="shared" si="52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3">AF178</f>
        <v>0.57999999999999996</v>
      </c>
      <c r="C178" s="130">
        <v>0.57999999999999996</v>
      </c>
      <c r="D178" s="129">
        <f t="shared" ref="D178:S190" si="54">C178</f>
        <v>0.57999999999999996</v>
      </c>
      <c r="E178" s="129">
        <f t="shared" si="54"/>
        <v>0.57999999999999996</v>
      </c>
      <c r="F178" s="129">
        <f t="shared" si="54"/>
        <v>0.57999999999999996</v>
      </c>
      <c r="G178" s="129">
        <f t="shared" si="54"/>
        <v>0.57999999999999996</v>
      </c>
      <c r="H178" s="129">
        <f t="shared" si="54"/>
        <v>0.57999999999999996</v>
      </c>
      <c r="I178" s="129">
        <f t="shared" si="54"/>
        <v>0.57999999999999996</v>
      </c>
      <c r="J178" s="129">
        <f t="shared" si="54"/>
        <v>0.57999999999999996</v>
      </c>
      <c r="K178" s="129">
        <f t="shared" si="54"/>
        <v>0.57999999999999996</v>
      </c>
      <c r="L178" s="129">
        <f t="shared" si="54"/>
        <v>0.57999999999999996</v>
      </c>
      <c r="M178" s="129">
        <f t="shared" si="54"/>
        <v>0.57999999999999996</v>
      </c>
      <c r="N178" s="129">
        <f t="shared" si="54"/>
        <v>0.57999999999999996</v>
      </c>
      <c r="O178" s="129">
        <f t="shared" si="54"/>
        <v>0.57999999999999996</v>
      </c>
      <c r="P178" s="129">
        <f t="shared" si="54"/>
        <v>0.57999999999999996</v>
      </c>
      <c r="Q178" s="129">
        <f t="shared" si="54"/>
        <v>0.57999999999999996</v>
      </c>
      <c r="R178" s="129">
        <f t="shared" si="54"/>
        <v>0.57999999999999996</v>
      </c>
      <c r="S178" s="129">
        <f t="shared" si="54"/>
        <v>0.57999999999999996</v>
      </c>
      <c r="T178" s="129">
        <f t="shared" ref="S178:AF190" si="55">S178</f>
        <v>0.57999999999999996</v>
      </c>
      <c r="U178" s="129">
        <f t="shared" si="55"/>
        <v>0.57999999999999996</v>
      </c>
      <c r="V178" s="129">
        <f t="shared" si="55"/>
        <v>0.57999999999999996</v>
      </c>
      <c r="W178" s="129">
        <f t="shared" si="55"/>
        <v>0.57999999999999996</v>
      </c>
      <c r="X178" s="129">
        <f t="shared" si="55"/>
        <v>0.57999999999999996</v>
      </c>
      <c r="Y178" s="129">
        <f t="shared" si="55"/>
        <v>0.57999999999999996</v>
      </c>
      <c r="Z178" s="129">
        <f t="shared" si="55"/>
        <v>0.57999999999999996</v>
      </c>
      <c r="AA178" s="129">
        <f t="shared" si="55"/>
        <v>0.57999999999999996</v>
      </c>
      <c r="AB178" s="129">
        <f t="shared" si="55"/>
        <v>0.57999999999999996</v>
      </c>
      <c r="AC178" s="129">
        <f t="shared" si="55"/>
        <v>0.57999999999999996</v>
      </c>
      <c r="AD178" s="129">
        <f t="shared" si="55"/>
        <v>0.57999999999999996</v>
      </c>
      <c r="AE178" s="129">
        <f t="shared" si="55"/>
        <v>0.57999999999999996</v>
      </c>
      <c r="AF178" s="129">
        <f t="shared" si="55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3"/>
        <v>0.8</v>
      </c>
      <c r="C179" s="130">
        <v>0.8</v>
      </c>
      <c r="D179" s="129">
        <f t="shared" si="54"/>
        <v>0.8</v>
      </c>
      <c r="E179" s="129">
        <f t="shared" si="54"/>
        <v>0.8</v>
      </c>
      <c r="F179" s="129">
        <f t="shared" si="54"/>
        <v>0.8</v>
      </c>
      <c r="G179" s="129">
        <f t="shared" si="54"/>
        <v>0.8</v>
      </c>
      <c r="H179" s="129">
        <f t="shared" si="54"/>
        <v>0.8</v>
      </c>
      <c r="I179" s="129">
        <f t="shared" si="54"/>
        <v>0.8</v>
      </c>
      <c r="J179" s="129">
        <f t="shared" si="54"/>
        <v>0.8</v>
      </c>
      <c r="K179" s="129">
        <f t="shared" si="54"/>
        <v>0.8</v>
      </c>
      <c r="L179" s="129">
        <f t="shared" si="54"/>
        <v>0.8</v>
      </c>
      <c r="M179" s="129">
        <f t="shared" si="54"/>
        <v>0.8</v>
      </c>
      <c r="N179" s="129">
        <f t="shared" si="54"/>
        <v>0.8</v>
      </c>
      <c r="O179" s="129">
        <f t="shared" si="54"/>
        <v>0.8</v>
      </c>
      <c r="P179" s="129">
        <f t="shared" si="54"/>
        <v>0.8</v>
      </c>
      <c r="Q179" s="129">
        <f t="shared" si="54"/>
        <v>0.8</v>
      </c>
      <c r="R179" s="129">
        <f t="shared" si="54"/>
        <v>0.8</v>
      </c>
      <c r="S179" s="129">
        <f t="shared" si="54"/>
        <v>0.8</v>
      </c>
      <c r="T179" s="129">
        <f t="shared" si="55"/>
        <v>0.8</v>
      </c>
      <c r="U179" s="129">
        <f t="shared" si="55"/>
        <v>0.8</v>
      </c>
      <c r="V179" s="129">
        <f t="shared" si="55"/>
        <v>0.8</v>
      </c>
      <c r="W179" s="129">
        <f t="shared" si="55"/>
        <v>0.8</v>
      </c>
      <c r="X179" s="129">
        <f t="shared" si="55"/>
        <v>0.8</v>
      </c>
      <c r="Y179" s="129">
        <f t="shared" si="55"/>
        <v>0.8</v>
      </c>
      <c r="Z179" s="129">
        <f t="shared" si="55"/>
        <v>0.8</v>
      </c>
      <c r="AA179" s="129">
        <f t="shared" si="55"/>
        <v>0.8</v>
      </c>
      <c r="AB179" s="129">
        <f t="shared" si="55"/>
        <v>0.8</v>
      </c>
      <c r="AC179" s="129">
        <f t="shared" si="55"/>
        <v>0.8</v>
      </c>
      <c r="AD179" s="129">
        <f t="shared" si="55"/>
        <v>0.8</v>
      </c>
      <c r="AE179" s="129">
        <f t="shared" si="55"/>
        <v>0.8</v>
      </c>
      <c r="AF179" s="129">
        <f t="shared" si="55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3"/>
        <v>0</v>
      </c>
      <c r="C180" s="130">
        <v>0</v>
      </c>
      <c r="D180" s="129">
        <f t="shared" si="54"/>
        <v>0</v>
      </c>
      <c r="E180" s="129">
        <f t="shared" si="54"/>
        <v>0</v>
      </c>
      <c r="F180" s="129">
        <f t="shared" si="54"/>
        <v>0</v>
      </c>
      <c r="G180" s="129">
        <f t="shared" si="54"/>
        <v>0</v>
      </c>
      <c r="H180" s="129">
        <f t="shared" si="54"/>
        <v>0</v>
      </c>
      <c r="I180" s="129">
        <f t="shared" si="54"/>
        <v>0</v>
      </c>
      <c r="J180" s="129">
        <f t="shared" si="54"/>
        <v>0</v>
      </c>
      <c r="K180" s="129">
        <f t="shared" si="54"/>
        <v>0</v>
      </c>
      <c r="L180" s="129">
        <f t="shared" si="54"/>
        <v>0</v>
      </c>
      <c r="M180" s="129">
        <f t="shared" si="54"/>
        <v>0</v>
      </c>
      <c r="N180" s="129">
        <f t="shared" si="54"/>
        <v>0</v>
      </c>
      <c r="O180" s="129">
        <f t="shared" si="54"/>
        <v>0</v>
      </c>
      <c r="P180" s="129">
        <f t="shared" si="54"/>
        <v>0</v>
      </c>
      <c r="Q180" s="129">
        <f t="shared" si="54"/>
        <v>0</v>
      </c>
      <c r="R180" s="129">
        <f t="shared" si="54"/>
        <v>0</v>
      </c>
      <c r="S180" s="129">
        <f t="shared" si="54"/>
        <v>0</v>
      </c>
      <c r="T180" s="129">
        <f t="shared" si="55"/>
        <v>0</v>
      </c>
      <c r="U180" s="129">
        <f t="shared" si="55"/>
        <v>0</v>
      </c>
      <c r="V180" s="129">
        <f t="shared" si="55"/>
        <v>0</v>
      </c>
      <c r="W180" s="129">
        <f t="shared" si="55"/>
        <v>0</v>
      </c>
      <c r="X180" s="129">
        <f t="shared" si="55"/>
        <v>0</v>
      </c>
      <c r="Y180" s="129">
        <f t="shared" si="55"/>
        <v>0</v>
      </c>
      <c r="Z180" s="129">
        <f t="shared" si="55"/>
        <v>0</v>
      </c>
      <c r="AA180" s="129">
        <f t="shared" si="55"/>
        <v>0</v>
      </c>
      <c r="AB180" s="129">
        <f t="shared" si="55"/>
        <v>0</v>
      </c>
      <c r="AC180" s="129">
        <f t="shared" si="55"/>
        <v>0</v>
      </c>
      <c r="AD180" s="129">
        <f t="shared" si="55"/>
        <v>0</v>
      </c>
      <c r="AE180" s="129">
        <f t="shared" si="55"/>
        <v>0</v>
      </c>
      <c r="AF180" s="129">
        <f t="shared" si="55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3"/>
        <v>0.6</v>
      </c>
      <c r="C181" s="130">
        <v>0.6</v>
      </c>
      <c r="D181" s="129">
        <f t="shared" si="54"/>
        <v>0.6</v>
      </c>
      <c r="E181" s="129">
        <f t="shared" si="54"/>
        <v>0.6</v>
      </c>
      <c r="F181" s="129">
        <f t="shared" si="54"/>
        <v>0.6</v>
      </c>
      <c r="G181" s="129">
        <f t="shared" si="54"/>
        <v>0.6</v>
      </c>
      <c r="H181" s="129">
        <f t="shared" si="54"/>
        <v>0.6</v>
      </c>
      <c r="I181" s="129">
        <f t="shared" si="54"/>
        <v>0.6</v>
      </c>
      <c r="J181" s="129">
        <f t="shared" si="54"/>
        <v>0.6</v>
      </c>
      <c r="K181" s="129">
        <f t="shared" si="54"/>
        <v>0.6</v>
      </c>
      <c r="L181" s="129">
        <f t="shared" si="54"/>
        <v>0.6</v>
      </c>
      <c r="M181" s="129">
        <f t="shared" si="54"/>
        <v>0.6</v>
      </c>
      <c r="N181" s="129">
        <f t="shared" si="54"/>
        <v>0.6</v>
      </c>
      <c r="O181" s="129">
        <f t="shared" si="54"/>
        <v>0.6</v>
      </c>
      <c r="P181" s="129">
        <f t="shared" si="54"/>
        <v>0.6</v>
      </c>
      <c r="Q181" s="129">
        <f t="shared" si="54"/>
        <v>0.6</v>
      </c>
      <c r="R181" s="129">
        <f t="shared" si="54"/>
        <v>0.6</v>
      </c>
      <c r="S181" s="129">
        <f t="shared" si="54"/>
        <v>0.6</v>
      </c>
      <c r="T181" s="129">
        <f t="shared" si="55"/>
        <v>0.6</v>
      </c>
      <c r="U181" s="129">
        <f t="shared" si="55"/>
        <v>0.6</v>
      </c>
      <c r="V181" s="129">
        <f t="shared" si="55"/>
        <v>0.6</v>
      </c>
      <c r="W181" s="129">
        <f t="shared" si="55"/>
        <v>0.6</v>
      </c>
      <c r="X181" s="129">
        <f t="shared" si="55"/>
        <v>0.6</v>
      </c>
      <c r="Y181" s="129">
        <f t="shared" si="55"/>
        <v>0.6</v>
      </c>
      <c r="Z181" s="129">
        <f t="shared" si="55"/>
        <v>0.6</v>
      </c>
      <c r="AA181" s="129">
        <f t="shared" si="55"/>
        <v>0.6</v>
      </c>
      <c r="AB181" s="129">
        <f t="shared" si="55"/>
        <v>0.6</v>
      </c>
      <c r="AC181" s="129">
        <f t="shared" si="55"/>
        <v>0.6</v>
      </c>
      <c r="AD181" s="129">
        <f t="shared" si="55"/>
        <v>0.6</v>
      </c>
      <c r="AE181" s="129">
        <f t="shared" si="55"/>
        <v>0.6</v>
      </c>
      <c r="AF181" s="129">
        <f t="shared" si="55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3"/>
        <v>0.6</v>
      </c>
      <c r="C182" s="130">
        <v>0.6</v>
      </c>
      <c r="D182" s="129">
        <f t="shared" si="54"/>
        <v>0.6</v>
      </c>
      <c r="E182" s="129">
        <f t="shared" si="54"/>
        <v>0.6</v>
      </c>
      <c r="F182" s="129">
        <f t="shared" si="54"/>
        <v>0.6</v>
      </c>
      <c r="G182" s="129">
        <f t="shared" si="54"/>
        <v>0.6</v>
      </c>
      <c r="H182" s="129">
        <f t="shared" si="54"/>
        <v>0.6</v>
      </c>
      <c r="I182" s="129">
        <f t="shared" si="54"/>
        <v>0.6</v>
      </c>
      <c r="J182" s="129">
        <f t="shared" si="54"/>
        <v>0.6</v>
      </c>
      <c r="K182" s="129">
        <f t="shared" si="54"/>
        <v>0.6</v>
      </c>
      <c r="L182" s="129">
        <f t="shared" si="54"/>
        <v>0.6</v>
      </c>
      <c r="M182" s="129">
        <f t="shared" si="54"/>
        <v>0.6</v>
      </c>
      <c r="N182" s="129">
        <f t="shared" si="54"/>
        <v>0.6</v>
      </c>
      <c r="O182" s="129">
        <f t="shared" si="54"/>
        <v>0.6</v>
      </c>
      <c r="P182" s="129">
        <f t="shared" si="54"/>
        <v>0.6</v>
      </c>
      <c r="Q182" s="129">
        <f t="shared" si="54"/>
        <v>0.6</v>
      </c>
      <c r="R182" s="129">
        <f t="shared" si="54"/>
        <v>0.6</v>
      </c>
      <c r="S182" s="129">
        <f t="shared" si="54"/>
        <v>0.6</v>
      </c>
      <c r="T182" s="129">
        <f t="shared" si="55"/>
        <v>0.6</v>
      </c>
      <c r="U182" s="129">
        <f t="shared" si="55"/>
        <v>0.6</v>
      </c>
      <c r="V182" s="129">
        <f t="shared" si="55"/>
        <v>0.6</v>
      </c>
      <c r="W182" s="129">
        <f t="shared" si="55"/>
        <v>0.6</v>
      </c>
      <c r="X182" s="129">
        <f t="shared" si="55"/>
        <v>0.6</v>
      </c>
      <c r="Y182" s="129">
        <f t="shared" si="55"/>
        <v>0.6</v>
      </c>
      <c r="Z182" s="129">
        <f t="shared" si="55"/>
        <v>0.6</v>
      </c>
      <c r="AA182" s="129">
        <f t="shared" si="55"/>
        <v>0.6</v>
      </c>
      <c r="AB182" s="129">
        <f t="shared" si="55"/>
        <v>0.6</v>
      </c>
      <c r="AC182" s="129">
        <f t="shared" si="55"/>
        <v>0.6</v>
      </c>
      <c r="AD182" s="129">
        <f t="shared" si="55"/>
        <v>0.6</v>
      </c>
      <c r="AE182" s="129">
        <f t="shared" si="55"/>
        <v>0.6</v>
      </c>
      <c r="AF182" s="129">
        <f t="shared" si="55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3"/>
        <v>0.35</v>
      </c>
      <c r="C183" s="130">
        <v>0.35</v>
      </c>
      <c r="D183" s="129">
        <f t="shared" si="54"/>
        <v>0.35</v>
      </c>
      <c r="E183" s="129">
        <f t="shared" si="54"/>
        <v>0.35</v>
      </c>
      <c r="F183" s="129">
        <f t="shared" si="54"/>
        <v>0.35</v>
      </c>
      <c r="G183" s="129">
        <f t="shared" si="54"/>
        <v>0.35</v>
      </c>
      <c r="H183" s="129">
        <f t="shared" si="54"/>
        <v>0.35</v>
      </c>
      <c r="I183" s="129">
        <f t="shared" si="54"/>
        <v>0.35</v>
      </c>
      <c r="J183" s="129">
        <f t="shared" si="54"/>
        <v>0.35</v>
      </c>
      <c r="K183" s="129">
        <f t="shared" si="54"/>
        <v>0.35</v>
      </c>
      <c r="L183" s="129">
        <f t="shared" si="54"/>
        <v>0.35</v>
      </c>
      <c r="M183" s="129">
        <f t="shared" si="54"/>
        <v>0.35</v>
      </c>
      <c r="N183" s="129">
        <f t="shared" si="54"/>
        <v>0.35</v>
      </c>
      <c r="O183" s="129">
        <f t="shared" si="54"/>
        <v>0.35</v>
      </c>
      <c r="P183" s="129">
        <f t="shared" si="54"/>
        <v>0.35</v>
      </c>
      <c r="Q183" s="129">
        <f t="shared" si="54"/>
        <v>0.35</v>
      </c>
      <c r="R183" s="129">
        <f t="shared" si="54"/>
        <v>0.35</v>
      </c>
      <c r="S183" s="129">
        <f t="shared" si="54"/>
        <v>0.35</v>
      </c>
      <c r="T183" s="129">
        <f t="shared" si="55"/>
        <v>0.35</v>
      </c>
      <c r="U183" s="129">
        <f t="shared" si="55"/>
        <v>0.35</v>
      </c>
      <c r="V183" s="129">
        <f t="shared" si="55"/>
        <v>0.35</v>
      </c>
      <c r="W183" s="129">
        <f t="shared" si="55"/>
        <v>0.35</v>
      </c>
      <c r="X183" s="129">
        <f t="shared" si="55"/>
        <v>0.35</v>
      </c>
      <c r="Y183" s="129">
        <f t="shared" si="55"/>
        <v>0.35</v>
      </c>
      <c r="Z183" s="129">
        <f t="shared" si="55"/>
        <v>0.35</v>
      </c>
      <c r="AA183" s="129">
        <f t="shared" si="55"/>
        <v>0.35</v>
      </c>
      <c r="AB183" s="129">
        <f t="shared" si="55"/>
        <v>0.35</v>
      </c>
      <c r="AC183" s="129">
        <f t="shared" si="55"/>
        <v>0.35</v>
      </c>
      <c r="AD183" s="129">
        <f t="shared" si="55"/>
        <v>0.35</v>
      </c>
      <c r="AE183" s="129">
        <f t="shared" si="55"/>
        <v>0.35</v>
      </c>
      <c r="AF183" s="129">
        <f t="shared" si="55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3"/>
        <v>0.28999999999999998</v>
      </c>
      <c r="C184" s="130">
        <v>0.28999999999999998</v>
      </c>
      <c r="D184" s="129">
        <f t="shared" si="54"/>
        <v>0.28999999999999998</v>
      </c>
      <c r="E184" s="129">
        <f t="shared" si="54"/>
        <v>0.28999999999999998</v>
      </c>
      <c r="F184" s="129">
        <f t="shared" si="54"/>
        <v>0.28999999999999998</v>
      </c>
      <c r="G184" s="129">
        <f t="shared" si="54"/>
        <v>0.28999999999999998</v>
      </c>
      <c r="H184" s="129">
        <f t="shared" si="54"/>
        <v>0.28999999999999998</v>
      </c>
      <c r="I184" s="129">
        <f t="shared" si="54"/>
        <v>0.28999999999999998</v>
      </c>
      <c r="J184" s="129">
        <f t="shared" si="54"/>
        <v>0.28999999999999998</v>
      </c>
      <c r="K184" s="129">
        <f t="shared" si="54"/>
        <v>0.28999999999999998</v>
      </c>
      <c r="L184" s="129">
        <f t="shared" si="54"/>
        <v>0.28999999999999998</v>
      </c>
      <c r="M184" s="129">
        <f t="shared" si="54"/>
        <v>0.28999999999999998</v>
      </c>
      <c r="N184" s="129">
        <f t="shared" si="54"/>
        <v>0.28999999999999998</v>
      </c>
      <c r="O184" s="129">
        <f t="shared" si="54"/>
        <v>0.28999999999999998</v>
      </c>
      <c r="P184" s="129">
        <f t="shared" si="54"/>
        <v>0.28999999999999998</v>
      </c>
      <c r="Q184" s="129">
        <f t="shared" si="54"/>
        <v>0.28999999999999998</v>
      </c>
      <c r="R184" s="129">
        <f t="shared" si="54"/>
        <v>0.28999999999999998</v>
      </c>
      <c r="S184" s="129">
        <f t="shared" si="54"/>
        <v>0.28999999999999998</v>
      </c>
      <c r="T184" s="129">
        <f t="shared" si="55"/>
        <v>0.28999999999999998</v>
      </c>
      <c r="U184" s="129">
        <f t="shared" si="55"/>
        <v>0.28999999999999998</v>
      </c>
      <c r="V184" s="129">
        <f t="shared" si="55"/>
        <v>0.28999999999999998</v>
      </c>
      <c r="W184" s="129">
        <f t="shared" si="55"/>
        <v>0.28999999999999998</v>
      </c>
      <c r="X184" s="129">
        <f t="shared" si="55"/>
        <v>0.28999999999999998</v>
      </c>
      <c r="Y184" s="129">
        <f t="shared" si="55"/>
        <v>0.28999999999999998</v>
      </c>
      <c r="Z184" s="129">
        <f t="shared" si="55"/>
        <v>0.28999999999999998</v>
      </c>
      <c r="AA184" s="129">
        <f t="shared" si="55"/>
        <v>0.28999999999999998</v>
      </c>
      <c r="AB184" s="129">
        <f t="shared" si="55"/>
        <v>0.28999999999999998</v>
      </c>
      <c r="AC184" s="129">
        <f t="shared" si="55"/>
        <v>0.28999999999999998</v>
      </c>
      <c r="AD184" s="129">
        <f t="shared" si="55"/>
        <v>0.28999999999999998</v>
      </c>
      <c r="AE184" s="129">
        <f t="shared" si="55"/>
        <v>0.28999999999999998</v>
      </c>
      <c r="AF184" s="129">
        <f t="shared" si="55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3"/>
        <v>0.06</v>
      </c>
      <c r="C185" s="130">
        <v>0.06</v>
      </c>
      <c r="D185" s="129">
        <f t="shared" si="54"/>
        <v>0.06</v>
      </c>
      <c r="E185" s="129">
        <f t="shared" si="54"/>
        <v>0.06</v>
      </c>
      <c r="F185" s="129">
        <f t="shared" si="54"/>
        <v>0.06</v>
      </c>
      <c r="G185" s="129">
        <f t="shared" si="54"/>
        <v>0.06</v>
      </c>
      <c r="H185" s="129">
        <f t="shared" si="54"/>
        <v>0.06</v>
      </c>
      <c r="I185" s="129">
        <f t="shared" si="54"/>
        <v>0.06</v>
      </c>
      <c r="J185" s="129">
        <f t="shared" si="54"/>
        <v>0.06</v>
      </c>
      <c r="K185" s="129">
        <f t="shared" si="54"/>
        <v>0.06</v>
      </c>
      <c r="L185" s="129">
        <f t="shared" si="54"/>
        <v>0.06</v>
      </c>
      <c r="M185" s="129">
        <f t="shared" si="54"/>
        <v>0.06</v>
      </c>
      <c r="N185" s="129">
        <f t="shared" si="54"/>
        <v>0.06</v>
      </c>
      <c r="O185" s="129">
        <f t="shared" si="54"/>
        <v>0.06</v>
      </c>
      <c r="P185" s="129">
        <f t="shared" si="54"/>
        <v>0.06</v>
      </c>
      <c r="Q185" s="129">
        <f t="shared" si="54"/>
        <v>0.06</v>
      </c>
      <c r="R185" s="129">
        <f t="shared" si="54"/>
        <v>0.06</v>
      </c>
      <c r="S185" s="129">
        <f t="shared" si="54"/>
        <v>0.06</v>
      </c>
      <c r="T185" s="129">
        <f t="shared" si="55"/>
        <v>0.06</v>
      </c>
      <c r="U185" s="129">
        <f t="shared" si="55"/>
        <v>0.06</v>
      </c>
      <c r="V185" s="129">
        <f t="shared" si="55"/>
        <v>0.06</v>
      </c>
      <c r="W185" s="129">
        <f t="shared" si="55"/>
        <v>0.06</v>
      </c>
      <c r="X185" s="129">
        <f t="shared" si="55"/>
        <v>0.06</v>
      </c>
      <c r="Y185" s="129">
        <f t="shared" si="55"/>
        <v>0.06</v>
      </c>
      <c r="Z185" s="129">
        <f t="shared" si="55"/>
        <v>0.06</v>
      </c>
      <c r="AA185" s="129">
        <f t="shared" si="55"/>
        <v>0.06</v>
      </c>
      <c r="AB185" s="129">
        <f t="shared" si="55"/>
        <v>0.06</v>
      </c>
      <c r="AC185" s="129">
        <f t="shared" si="55"/>
        <v>0.06</v>
      </c>
      <c r="AD185" s="129">
        <f t="shared" si="55"/>
        <v>0.06</v>
      </c>
      <c r="AE185" s="129">
        <f t="shared" si="55"/>
        <v>0.06</v>
      </c>
      <c r="AF185" s="129">
        <f t="shared" si="55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3"/>
        <v>0.11</v>
      </c>
      <c r="C186" s="130">
        <v>0.11</v>
      </c>
      <c r="D186" s="129">
        <f t="shared" si="54"/>
        <v>0.11</v>
      </c>
      <c r="E186" s="129">
        <f t="shared" si="54"/>
        <v>0.11</v>
      </c>
      <c r="F186" s="129">
        <f t="shared" si="54"/>
        <v>0.11</v>
      </c>
      <c r="G186" s="129">
        <f t="shared" si="54"/>
        <v>0.11</v>
      </c>
      <c r="H186" s="129">
        <f t="shared" si="54"/>
        <v>0.11</v>
      </c>
      <c r="I186" s="129">
        <f t="shared" si="54"/>
        <v>0.11</v>
      </c>
      <c r="J186" s="129">
        <f t="shared" si="54"/>
        <v>0.11</v>
      </c>
      <c r="K186" s="129">
        <f t="shared" si="54"/>
        <v>0.11</v>
      </c>
      <c r="L186" s="129">
        <f t="shared" si="54"/>
        <v>0.11</v>
      </c>
      <c r="M186" s="129">
        <f t="shared" si="54"/>
        <v>0.11</v>
      </c>
      <c r="N186" s="129">
        <f t="shared" si="54"/>
        <v>0.11</v>
      </c>
      <c r="O186" s="129">
        <f t="shared" si="54"/>
        <v>0.11</v>
      </c>
      <c r="P186" s="129">
        <f t="shared" si="54"/>
        <v>0.11</v>
      </c>
      <c r="Q186" s="129">
        <f t="shared" si="54"/>
        <v>0.11</v>
      </c>
      <c r="R186" s="129">
        <f t="shared" si="54"/>
        <v>0.11</v>
      </c>
      <c r="S186" s="129">
        <f t="shared" si="54"/>
        <v>0.11</v>
      </c>
      <c r="T186" s="129">
        <f t="shared" si="55"/>
        <v>0.11</v>
      </c>
      <c r="U186" s="129">
        <f t="shared" si="55"/>
        <v>0.11</v>
      </c>
      <c r="V186" s="129">
        <f t="shared" si="55"/>
        <v>0.11</v>
      </c>
      <c r="W186" s="129">
        <f t="shared" si="55"/>
        <v>0.11</v>
      </c>
      <c r="X186" s="129">
        <f t="shared" si="55"/>
        <v>0.11</v>
      </c>
      <c r="Y186" s="129">
        <f t="shared" si="55"/>
        <v>0.11</v>
      </c>
      <c r="Z186" s="129">
        <f t="shared" si="55"/>
        <v>0.11</v>
      </c>
      <c r="AA186" s="129">
        <f t="shared" si="55"/>
        <v>0.11</v>
      </c>
      <c r="AB186" s="129">
        <f t="shared" si="55"/>
        <v>0.11</v>
      </c>
      <c r="AC186" s="129">
        <f t="shared" si="55"/>
        <v>0.11</v>
      </c>
      <c r="AD186" s="129">
        <f t="shared" si="55"/>
        <v>0.11</v>
      </c>
      <c r="AE186" s="129">
        <f t="shared" si="55"/>
        <v>0.11</v>
      </c>
      <c r="AF186" s="129">
        <f t="shared" si="55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3"/>
        <v>0.1</v>
      </c>
      <c r="C187" s="130">
        <v>0.1</v>
      </c>
      <c r="D187" s="129">
        <f t="shared" si="54"/>
        <v>0.1</v>
      </c>
      <c r="E187" s="129">
        <f t="shared" si="54"/>
        <v>0.1</v>
      </c>
      <c r="F187" s="129">
        <f t="shared" si="54"/>
        <v>0.1</v>
      </c>
      <c r="G187" s="129">
        <f t="shared" si="54"/>
        <v>0.1</v>
      </c>
      <c r="H187" s="129">
        <f t="shared" si="54"/>
        <v>0.1</v>
      </c>
      <c r="I187" s="129">
        <f t="shared" si="54"/>
        <v>0.1</v>
      </c>
      <c r="J187" s="129">
        <f t="shared" si="54"/>
        <v>0.1</v>
      </c>
      <c r="K187" s="129">
        <f t="shared" si="54"/>
        <v>0.1</v>
      </c>
      <c r="L187" s="129">
        <f t="shared" si="54"/>
        <v>0.1</v>
      </c>
      <c r="M187" s="129">
        <f t="shared" si="54"/>
        <v>0.1</v>
      </c>
      <c r="N187" s="129">
        <f t="shared" si="54"/>
        <v>0.1</v>
      </c>
      <c r="O187" s="129">
        <f t="shared" si="54"/>
        <v>0.1</v>
      </c>
      <c r="P187" s="129">
        <f t="shared" si="54"/>
        <v>0.1</v>
      </c>
      <c r="Q187" s="129">
        <f t="shared" si="54"/>
        <v>0.1</v>
      </c>
      <c r="R187" s="129">
        <f t="shared" si="54"/>
        <v>0.1</v>
      </c>
      <c r="S187" s="129">
        <f t="shared" si="55"/>
        <v>0.1</v>
      </c>
      <c r="T187" s="129">
        <f t="shared" si="55"/>
        <v>0.1</v>
      </c>
      <c r="U187" s="129">
        <f t="shared" si="55"/>
        <v>0.1</v>
      </c>
      <c r="V187" s="129">
        <f t="shared" si="55"/>
        <v>0.1</v>
      </c>
      <c r="W187" s="129">
        <f t="shared" si="55"/>
        <v>0.1</v>
      </c>
      <c r="X187" s="129">
        <f t="shared" si="55"/>
        <v>0.1</v>
      </c>
      <c r="Y187" s="129">
        <f t="shared" si="55"/>
        <v>0.1</v>
      </c>
      <c r="Z187" s="129">
        <f t="shared" si="55"/>
        <v>0.1</v>
      </c>
      <c r="AA187" s="129">
        <f t="shared" si="55"/>
        <v>0.1</v>
      </c>
      <c r="AB187" s="129">
        <f t="shared" si="55"/>
        <v>0.1</v>
      </c>
      <c r="AC187" s="129">
        <f t="shared" si="55"/>
        <v>0.1</v>
      </c>
      <c r="AD187" s="129">
        <f t="shared" si="55"/>
        <v>0.1</v>
      </c>
      <c r="AE187" s="129">
        <f t="shared" si="55"/>
        <v>0.1</v>
      </c>
      <c r="AF187" s="129">
        <f t="shared" si="55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3"/>
        <v>0.09</v>
      </c>
      <c r="C188" s="130">
        <v>0.09</v>
      </c>
      <c r="D188" s="129">
        <f t="shared" si="54"/>
        <v>0.09</v>
      </c>
      <c r="E188" s="129">
        <f t="shared" si="54"/>
        <v>0.09</v>
      </c>
      <c r="F188" s="129">
        <f t="shared" si="54"/>
        <v>0.09</v>
      </c>
      <c r="G188" s="129">
        <f t="shared" si="54"/>
        <v>0.09</v>
      </c>
      <c r="H188" s="129">
        <f t="shared" si="54"/>
        <v>0.09</v>
      </c>
      <c r="I188" s="129">
        <f t="shared" si="54"/>
        <v>0.09</v>
      </c>
      <c r="J188" s="129">
        <f t="shared" si="54"/>
        <v>0.09</v>
      </c>
      <c r="K188" s="129">
        <f t="shared" si="54"/>
        <v>0.09</v>
      </c>
      <c r="L188" s="129">
        <f t="shared" si="54"/>
        <v>0.09</v>
      </c>
      <c r="M188" s="129">
        <f t="shared" si="54"/>
        <v>0.09</v>
      </c>
      <c r="N188" s="129">
        <f t="shared" si="54"/>
        <v>0.09</v>
      </c>
      <c r="O188" s="129">
        <f t="shared" si="54"/>
        <v>0.09</v>
      </c>
      <c r="P188" s="129">
        <f t="shared" si="54"/>
        <v>0.09</v>
      </c>
      <c r="Q188" s="129">
        <f t="shared" si="54"/>
        <v>0.09</v>
      </c>
      <c r="R188" s="129">
        <f t="shared" si="54"/>
        <v>0.09</v>
      </c>
      <c r="S188" s="129">
        <f t="shared" si="55"/>
        <v>0.09</v>
      </c>
      <c r="T188" s="129">
        <f t="shared" si="55"/>
        <v>0.09</v>
      </c>
      <c r="U188" s="129">
        <f t="shared" si="55"/>
        <v>0.09</v>
      </c>
      <c r="V188" s="129">
        <f t="shared" si="55"/>
        <v>0.09</v>
      </c>
      <c r="W188" s="129">
        <f t="shared" si="55"/>
        <v>0.09</v>
      </c>
      <c r="X188" s="129">
        <f t="shared" si="55"/>
        <v>0.09</v>
      </c>
      <c r="Y188" s="129">
        <f t="shared" si="55"/>
        <v>0.09</v>
      </c>
      <c r="Z188" s="129">
        <f t="shared" si="55"/>
        <v>0.09</v>
      </c>
      <c r="AA188" s="129">
        <f t="shared" si="55"/>
        <v>0.09</v>
      </c>
      <c r="AB188" s="129">
        <f t="shared" si="55"/>
        <v>0.09</v>
      </c>
      <c r="AC188" s="129">
        <f t="shared" si="55"/>
        <v>0.09</v>
      </c>
      <c r="AD188" s="129">
        <f t="shared" si="55"/>
        <v>0.09</v>
      </c>
      <c r="AE188" s="129">
        <f t="shared" si="55"/>
        <v>0.09</v>
      </c>
      <c r="AF188" s="129">
        <f t="shared" si="55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3"/>
        <v>0.04</v>
      </c>
      <c r="C189" s="53">
        <v>0.04</v>
      </c>
      <c r="D189" s="129">
        <f t="shared" si="54"/>
        <v>0.04</v>
      </c>
      <c r="E189" s="129">
        <f t="shared" si="54"/>
        <v>0.04</v>
      </c>
      <c r="F189" s="129">
        <f t="shared" si="54"/>
        <v>0.04</v>
      </c>
      <c r="G189" s="129">
        <f t="shared" si="54"/>
        <v>0.04</v>
      </c>
      <c r="H189" s="129">
        <f t="shared" si="54"/>
        <v>0.04</v>
      </c>
      <c r="I189" s="129">
        <f t="shared" si="54"/>
        <v>0.04</v>
      </c>
      <c r="J189" s="129">
        <f t="shared" si="54"/>
        <v>0.04</v>
      </c>
      <c r="K189" s="129">
        <f t="shared" si="54"/>
        <v>0.04</v>
      </c>
      <c r="L189" s="129">
        <f t="shared" si="54"/>
        <v>0.04</v>
      </c>
      <c r="M189" s="129">
        <f t="shared" si="54"/>
        <v>0.04</v>
      </c>
      <c r="N189" s="129">
        <f t="shared" si="54"/>
        <v>0.04</v>
      </c>
      <c r="O189" s="129">
        <f t="shared" si="54"/>
        <v>0.04</v>
      </c>
      <c r="P189" s="129">
        <f t="shared" si="54"/>
        <v>0.04</v>
      </c>
      <c r="Q189" s="129">
        <f t="shared" si="54"/>
        <v>0.04</v>
      </c>
      <c r="R189" s="129">
        <f t="shared" si="54"/>
        <v>0.04</v>
      </c>
      <c r="S189" s="129">
        <f t="shared" si="55"/>
        <v>0.04</v>
      </c>
      <c r="T189" s="129">
        <f t="shared" si="55"/>
        <v>0.04</v>
      </c>
      <c r="U189" s="129">
        <f t="shared" si="55"/>
        <v>0.04</v>
      </c>
      <c r="V189" s="129">
        <f t="shared" si="55"/>
        <v>0.04</v>
      </c>
      <c r="W189" s="129">
        <f t="shared" si="55"/>
        <v>0.04</v>
      </c>
      <c r="X189" s="129">
        <f t="shared" si="55"/>
        <v>0.04</v>
      </c>
      <c r="Y189" s="129">
        <f t="shared" si="55"/>
        <v>0.04</v>
      </c>
      <c r="Z189" s="129">
        <f t="shared" si="55"/>
        <v>0.04</v>
      </c>
      <c r="AA189" s="129">
        <f t="shared" si="55"/>
        <v>0.04</v>
      </c>
      <c r="AB189" s="129">
        <f t="shared" si="55"/>
        <v>0.04</v>
      </c>
      <c r="AC189" s="129">
        <f t="shared" si="55"/>
        <v>0.04</v>
      </c>
      <c r="AD189" s="129">
        <f t="shared" si="55"/>
        <v>0.04</v>
      </c>
      <c r="AE189" s="129">
        <f t="shared" si="55"/>
        <v>0.04</v>
      </c>
      <c r="AF189" s="129">
        <f t="shared" si="55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3"/>
        <v>2.3E-2</v>
      </c>
      <c r="C190" s="53">
        <v>2.3E-2</v>
      </c>
      <c r="D190" s="129">
        <f>C190</f>
        <v>2.3E-2</v>
      </c>
      <c r="E190" s="129">
        <f t="shared" si="54"/>
        <v>2.3E-2</v>
      </c>
      <c r="F190" s="129">
        <f t="shared" si="54"/>
        <v>2.3E-2</v>
      </c>
      <c r="G190" s="129">
        <f t="shared" si="54"/>
        <v>2.3E-2</v>
      </c>
      <c r="H190" s="129">
        <f t="shared" si="54"/>
        <v>2.3E-2</v>
      </c>
      <c r="I190" s="129">
        <f t="shared" si="54"/>
        <v>2.3E-2</v>
      </c>
      <c r="J190" s="129">
        <f t="shared" si="54"/>
        <v>2.3E-2</v>
      </c>
      <c r="K190" s="129">
        <f t="shared" si="54"/>
        <v>2.3E-2</v>
      </c>
      <c r="L190" s="129">
        <f t="shared" si="54"/>
        <v>2.3E-2</v>
      </c>
      <c r="M190" s="129">
        <f t="shared" si="54"/>
        <v>2.3E-2</v>
      </c>
      <c r="N190" s="129">
        <f t="shared" si="54"/>
        <v>2.3E-2</v>
      </c>
      <c r="O190" s="129">
        <f t="shared" si="54"/>
        <v>2.3E-2</v>
      </c>
      <c r="P190" s="129">
        <f t="shared" si="54"/>
        <v>2.3E-2</v>
      </c>
      <c r="Q190" s="129">
        <f t="shared" si="54"/>
        <v>2.3E-2</v>
      </c>
      <c r="R190" s="129">
        <f t="shared" si="54"/>
        <v>2.3E-2</v>
      </c>
      <c r="S190" s="129">
        <f t="shared" si="55"/>
        <v>2.3E-2</v>
      </c>
      <c r="T190" s="129">
        <f t="shared" si="55"/>
        <v>2.3E-2</v>
      </c>
      <c r="U190" s="129">
        <f t="shared" si="55"/>
        <v>2.3E-2</v>
      </c>
      <c r="V190" s="129">
        <f t="shared" si="55"/>
        <v>2.3E-2</v>
      </c>
      <c r="W190" s="129">
        <f t="shared" si="55"/>
        <v>2.3E-2</v>
      </c>
      <c r="X190" s="129">
        <f t="shared" si="55"/>
        <v>2.3E-2</v>
      </c>
      <c r="Y190" s="129">
        <f t="shared" si="55"/>
        <v>2.3E-2</v>
      </c>
      <c r="Z190" s="129">
        <f t="shared" si="55"/>
        <v>2.3E-2</v>
      </c>
      <c r="AA190" s="129">
        <f t="shared" si="55"/>
        <v>2.3E-2</v>
      </c>
      <c r="AB190" s="129">
        <f t="shared" si="55"/>
        <v>2.3E-2</v>
      </c>
      <c r="AC190" s="129">
        <f t="shared" si="55"/>
        <v>2.3E-2</v>
      </c>
      <c r="AD190" s="129">
        <f t="shared" si="55"/>
        <v>2.3E-2</v>
      </c>
      <c r="AE190" s="129">
        <f t="shared" si="55"/>
        <v>2.3E-2</v>
      </c>
      <c r="AF190" s="129">
        <f t="shared" si="55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6">SUM(C101:C190)</f>
        <v>194.70600000000002</v>
      </c>
      <c r="D191" s="134">
        <f t="shared" si="56"/>
        <v>194.70600000000002</v>
      </c>
      <c r="E191" s="134">
        <f t="shared" si="56"/>
        <v>194.70600000000002</v>
      </c>
      <c r="F191" s="134">
        <f t="shared" si="56"/>
        <v>194.70600000000002</v>
      </c>
      <c r="G191" s="134">
        <f t="shared" si="56"/>
        <v>194.70600000000002</v>
      </c>
      <c r="H191" s="134">
        <f t="shared" si="56"/>
        <v>194.70600000000002</v>
      </c>
      <c r="I191" s="134">
        <f t="shared" si="56"/>
        <v>194.70600000000002</v>
      </c>
      <c r="J191" s="134">
        <f t="shared" si="56"/>
        <v>192.10600000000005</v>
      </c>
      <c r="K191" s="134">
        <f t="shared" si="56"/>
        <v>192.10600000000005</v>
      </c>
      <c r="L191" s="134">
        <f t="shared" si="56"/>
        <v>192.10600000000005</v>
      </c>
      <c r="M191" s="134">
        <f t="shared" si="56"/>
        <v>192.10600000000005</v>
      </c>
      <c r="N191" s="134">
        <f t="shared" si="56"/>
        <v>192.10600000000005</v>
      </c>
      <c r="O191" s="134">
        <f t="shared" si="56"/>
        <v>192.10600000000005</v>
      </c>
      <c r="P191" s="134">
        <f t="shared" si="56"/>
        <v>192.10600000000005</v>
      </c>
      <c r="Q191" s="134">
        <f t="shared" si="56"/>
        <v>192.10600000000005</v>
      </c>
      <c r="R191" s="134">
        <f t="shared" si="56"/>
        <v>192.10600000000005</v>
      </c>
      <c r="S191" s="134">
        <f t="shared" si="56"/>
        <v>192.10600000000005</v>
      </c>
      <c r="T191" s="134">
        <f t="shared" si="56"/>
        <v>192.10600000000005</v>
      </c>
      <c r="U191" s="134">
        <f t="shared" si="56"/>
        <v>192.10600000000005</v>
      </c>
      <c r="V191" s="134">
        <f t="shared" si="56"/>
        <v>192.10600000000005</v>
      </c>
      <c r="W191" s="134">
        <f t="shared" si="56"/>
        <v>192.10600000000005</v>
      </c>
      <c r="X191" s="134">
        <f t="shared" si="56"/>
        <v>192.10600000000005</v>
      </c>
      <c r="Y191" s="134">
        <f t="shared" si="56"/>
        <v>192.10600000000005</v>
      </c>
      <c r="Z191" s="134">
        <f t="shared" si="56"/>
        <v>192.10600000000005</v>
      </c>
      <c r="AA191" s="134">
        <f t="shared" si="56"/>
        <v>192.10600000000005</v>
      </c>
      <c r="AB191" s="134">
        <f t="shared" si="56"/>
        <v>192.10600000000005</v>
      </c>
      <c r="AC191" s="134">
        <f t="shared" si="56"/>
        <v>192.10600000000005</v>
      </c>
      <c r="AD191" s="134">
        <f t="shared" si="56"/>
        <v>192.10600000000005</v>
      </c>
      <c r="AE191" s="134">
        <f t="shared" si="56"/>
        <v>192.10600000000005</v>
      </c>
      <c r="AF191" s="134">
        <f t="shared" si="56"/>
        <v>192.10600000000005</v>
      </c>
      <c r="AG191" s="135">
        <f t="shared" si="56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7">AF193</f>
        <v>0.3</v>
      </c>
      <c r="C193" s="136">
        <v>0.3</v>
      </c>
      <c r="D193" s="136">
        <f t="shared" ref="D193:S198" si="58">C193</f>
        <v>0.3</v>
      </c>
      <c r="E193" s="136">
        <f t="shared" si="58"/>
        <v>0.3</v>
      </c>
      <c r="F193" s="136">
        <f t="shared" si="58"/>
        <v>0.3</v>
      </c>
      <c r="G193" s="136">
        <f t="shared" si="58"/>
        <v>0.3</v>
      </c>
      <c r="H193" s="136">
        <f t="shared" si="58"/>
        <v>0.3</v>
      </c>
      <c r="I193" s="136">
        <f t="shared" si="58"/>
        <v>0.3</v>
      </c>
      <c r="J193" s="136">
        <f t="shared" si="58"/>
        <v>0.3</v>
      </c>
      <c r="K193" s="136">
        <f t="shared" si="58"/>
        <v>0.3</v>
      </c>
      <c r="L193" s="136">
        <f t="shared" si="58"/>
        <v>0.3</v>
      </c>
      <c r="M193" s="136">
        <f t="shared" si="58"/>
        <v>0.3</v>
      </c>
      <c r="N193" s="136">
        <f t="shared" si="58"/>
        <v>0.3</v>
      </c>
      <c r="O193" s="136">
        <f t="shared" si="58"/>
        <v>0.3</v>
      </c>
      <c r="P193" s="136">
        <f t="shared" si="58"/>
        <v>0.3</v>
      </c>
      <c r="Q193" s="136">
        <f t="shared" si="58"/>
        <v>0.3</v>
      </c>
      <c r="R193" s="136">
        <f t="shared" si="58"/>
        <v>0.3</v>
      </c>
      <c r="S193" s="136">
        <f t="shared" si="58"/>
        <v>0.3</v>
      </c>
      <c r="T193" s="136">
        <f t="shared" ref="T193:AF198" si="59">S193</f>
        <v>0.3</v>
      </c>
      <c r="U193" s="136">
        <f t="shared" si="59"/>
        <v>0.3</v>
      </c>
      <c r="V193" s="136">
        <f t="shared" si="59"/>
        <v>0.3</v>
      </c>
      <c r="W193" s="136">
        <f t="shared" si="59"/>
        <v>0.3</v>
      </c>
      <c r="X193" s="136">
        <f t="shared" si="59"/>
        <v>0.3</v>
      </c>
      <c r="Y193" s="136">
        <f t="shared" si="59"/>
        <v>0.3</v>
      </c>
      <c r="Z193" s="136">
        <f t="shared" si="59"/>
        <v>0.3</v>
      </c>
      <c r="AA193" s="136">
        <f t="shared" si="59"/>
        <v>0.3</v>
      </c>
      <c r="AB193" s="136">
        <f t="shared" si="59"/>
        <v>0.3</v>
      </c>
      <c r="AC193" s="136">
        <f t="shared" si="59"/>
        <v>0.3</v>
      </c>
      <c r="AD193" s="136">
        <f t="shared" si="59"/>
        <v>0.3</v>
      </c>
      <c r="AE193" s="136">
        <f t="shared" si="59"/>
        <v>0.3</v>
      </c>
      <c r="AF193" s="136">
        <f t="shared" si="59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7"/>
        <v>0.4</v>
      </c>
      <c r="C194" s="129">
        <v>0.4</v>
      </c>
      <c r="D194" s="129">
        <f t="shared" si="58"/>
        <v>0.4</v>
      </c>
      <c r="E194" s="129">
        <f t="shared" si="58"/>
        <v>0.4</v>
      </c>
      <c r="F194" s="129">
        <f t="shared" si="58"/>
        <v>0.4</v>
      </c>
      <c r="G194" s="129">
        <f t="shared" si="58"/>
        <v>0.4</v>
      </c>
      <c r="H194" s="129">
        <f t="shared" si="58"/>
        <v>0.4</v>
      </c>
      <c r="I194" s="129">
        <f t="shared" si="58"/>
        <v>0.4</v>
      </c>
      <c r="J194" s="129">
        <f t="shared" si="58"/>
        <v>0.4</v>
      </c>
      <c r="K194" s="129">
        <f t="shared" si="58"/>
        <v>0.4</v>
      </c>
      <c r="L194" s="129">
        <f t="shared" si="58"/>
        <v>0.4</v>
      </c>
      <c r="M194" s="129">
        <f t="shared" si="58"/>
        <v>0.4</v>
      </c>
      <c r="N194" s="129">
        <f t="shared" si="58"/>
        <v>0.4</v>
      </c>
      <c r="O194" s="129">
        <f t="shared" si="58"/>
        <v>0.4</v>
      </c>
      <c r="P194" s="129">
        <f t="shared" si="58"/>
        <v>0.4</v>
      </c>
      <c r="Q194" s="129">
        <f t="shared" si="58"/>
        <v>0.4</v>
      </c>
      <c r="R194" s="129">
        <f t="shared" si="58"/>
        <v>0.4</v>
      </c>
      <c r="S194" s="129">
        <f t="shared" si="58"/>
        <v>0.4</v>
      </c>
      <c r="T194" s="129">
        <f t="shared" si="59"/>
        <v>0.4</v>
      </c>
      <c r="U194" s="129">
        <f t="shared" si="59"/>
        <v>0.4</v>
      </c>
      <c r="V194" s="129">
        <f t="shared" si="59"/>
        <v>0.4</v>
      </c>
      <c r="W194" s="129">
        <f>V194</f>
        <v>0.4</v>
      </c>
      <c r="X194" s="129">
        <f>W194</f>
        <v>0.4</v>
      </c>
      <c r="Y194" s="129">
        <f t="shared" si="59"/>
        <v>0.4</v>
      </c>
      <c r="Z194" s="129">
        <f t="shared" si="59"/>
        <v>0.4</v>
      </c>
      <c r="AA194" s="129">
        <f t="shared" si="59"/>
        <v>0.4</v>
      </c>
      <c r="AB194" s="129">
        <f t="shared" si="59"/>
        <v>0.4</v>
      </c>
      <c r="AC194" s="129">
        <f t="shared" si="59"/>
        <v>0.4</v>
      </c>
      <c r="AD194" s="129">
        <f t="shared" si="59"/>
        <v>0.4</v>
      </c>
      <c r="AE194" s="129">
        <f t="shared" si="59"/>
        <v>0.4</v>
      </c>
      <c r="AF194" s="129">
        <f t="shared" si="59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7"/>
        <v>1.5</v>
      </c>
      <c r="C195" s="129">
        <v>1.5</v>
      </c>
      <c r="D195" s="129">
        <f t="shared" si="58"/>
        <v>1.5</v>
      </c>
      <c r="E195" s="129">
        <f t="shared" si="58"/>
        <v>1.5</v>
      </c>
      <c r="F195" s="129">
        <f t="shared" si="58"/>
        <v>1.5</v>
      </c>
      <c r="G195" s="129">
        <f t="shared" si="58"/>
        <v>1.5</v>
      </c>
      <c r="H195" s="129">
        <f t="shared" si="58"/>
        <v>1.5</v>
      </c>
      <c r="I195" s="129">
        <f t="shared" si="58"/>
        <v>1.5</v>
      </c>
      <c r="J195" s="129">
        <f t="shared" si="58"/>
        <v>1.5</v>
      </c>
      <c r="K195" s="129">
        <f t="shared" si="58"/>
        <v>1.5</v>
      </c>
      <c r="L195" s="129">
        <f t="shared" si="58"/>
        <v>1.5</v>
      </c>
      <c r="M195" s="129">
        <f t="shared" si="58"/>
        <v>1.5</v>
      </c>
      <c r="N195" s="129">
        <f t="shared" si="58"/>
        <v>1.5</v>
      </c>
      <c r="O195" s="129">
        <f t="shared" si="58"/>
        <v>1.5</v>
      </c>
      <c r="P195" s="129">
        <f t="shared" si="58"/>
        <v>1.5</v>
      </c>
      <c r="Q195" s="129">
        <f t="shared" si="58"/>
        <v>1.5</v>
      </c>
      <c r="R195" s="129">
        <f t="shared" si="58"/>
        <v>1.5</v>
      </c>
      <c r="S195" s="129">
        <f t="shared" si="58"/>
        <v>1.5</v>
      </c>
      <c r="T195" s="129">
        <f t="shared" si="59"/>
        <v>1.5</v>
      </c>
      <c r="U195" s="129">
        <f t="shared" si="59"/>
        <v>1.5</v>
      </c>
      <c r="V195" s="129">
        <f t="shared" si="59"/>
        <v>1.5</v>
      </c>
      <c r="W195" s="129">
        <f t="shared" si="59"/>
        <v>1.5</v>
      </c>
      <c r="X195" s="129">
        <f t="shared" si="59"/>
        <v>1.5</v>
      </c>
      <c r="Y195" s="129">
        <f t="shared" si="59"/>
        <v>1.5</v>
      </c>
      <c r="Z195" s="129">
        <f t="shared" si="59"/>
        <v>1.5</v>
      </c>
      <c r="AA195" s="129">
        <f t="shared" si="59"/>
        <v>1.5</v>
      </c>
      <c r="AB195" s="129">
        <f t="shared" si="59"/>
        <v>1.5</v>
      </c>
      <c r="AC195" s="129">
        <f t="shared" si="59"/>
        <v>1.5</v>
      </c>
      <c r="AD195" s="129">
        <f t="shared" si="59"/>
        <v>1.5</v>
      </c>
      <c r="AE195" s="129">
        <f t="shared" si="59"/>
        <v>1.5</v>
      </c>
      <c r="AF195" s="129">
        <f t="shared" si="59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7"/>
        <v>0.3</v>
      </c>
      <c r="C196" s="129">
        <v>0.3</v>
      </c>
      <c r="D196" s="129">
        <f t="shared" si="58"/>
        <v>0.3</v>
      </c>
      <c r="E196" s="129">
        <f t="shared" si="58"/>
        <v>0.3</v>
      </c>
      <c r="F196" s="129">
        <f t="shared" si="58"/>
        <v>0.3</v>
      </c>
      <c r="G196" s="129">
        <f t="shared" si="58"/>
        <v>0.3</v>
      </c>
      <c r="H196" s="129">
        <f t="shared" si="58"/>
        <v>0.3</v>
      </c>
      <c r="I196" s="129">
        <f t="shared" si="58"/>
        <v>0.3</v>
      </c>
      <c r="J196" s="129">
        <f t="shared" si="58"/>
        <v>0.3</v>
      </c>
      <c r="K196" s="129">
        <f t="shared" si="58"/>
        <v>0.3</v>
      </c>
      <c r="L196" s="129">
        <f t="shared" si="58"/>
        <v>0.3</v>
      </c>
      <c r="M196" s="129">
        <f t="shared" si="58"/>
        <v>0.3</v>
      </c>
      <c r="N196" s="129">
        <f t="shared" si="58"/>
        <v>0.3</v>
      </c>
      <c r="O196" s="129">
        <f t="shared" si="58"/>
        <v>0.3</v>
      </c>
      <c r="P196" s="129">
        <f t="shared" si="58"/>
        <v>0.3</v>
      </c>
      <c r="Q196" s="129">
        <f t="shared" si="58"/>
        <v>0.3</v>
      </c>
      <c r="R196" s="129">
        <f t="shared" si="58"/>
        <v>0.3</v>
      </c>
      <c r="S196" s="129">
        <f t="shared" si="58"/>
        <v>0.3</v>
      </c>
      <c r="T196" s="129">
        <f t="shared" si="59"/>
        <v>0.3</v>
      </c>
      <c r="U196" s="129">
        <f t="shared" si="59"/>
        <v>0.3</v>
      </c>
      <c r="V196" s="129">
        <f t="shared" si="59"/>
        <v>0.3</v>
      </c>
      <c r="W196" s="129">
        <f t="shared" si="59"/>
        <v>0.3</v>
      </c>
      <c r="X196" s="129">
        <f t="shared" si="59"/>
        <v>0.3</v>
      </c>
      <c r="Y196" s="129">
        <f t="shared" si="59"/>
        <v>0.3</v>
      </c>
      <c r="Z196" s="129">
        <f t="shared" si="59"/>
        <v>0.3</v>
      </c>
      <c r="AA196" s="129">
        <f t="shared" si="59"/>
        <v>0.3</v>
      </c>
      <c r="AB196" s="129">
        <f t="shared" si="59"/>
        <v>0.3</v>
      </c>
      <c r="AC196" s="129">
        <f t="shared" si="59"/>
        <v>0.3</v>
      </c>
      <c r="AD196" s="129">
        <f t="shared" si="59"/>
        <v>0.3</v>
      </c>
      <c r="AE196" s="129">
        <f t="shared" si="59"/>
        <v>0.3</v>
      </c>
      <c r="AF196" s="129">
        <f t="shared" si="59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7"/>
        <v>0.4</v>
      </c>
      <c r="C197" s="129">
        <v>0.4</v>
      </c>
      <c r="D197" s="129">
        <f t="shared" si="58"/>
        <v>0.4</v>
      </c>
      <c r="E197" s="129">
        <f t="shared" si="58"/>
        <v>0.4</v>
      </c>
      <c r="F197" s="129">
        <f t="shared" si="58"/>
        <v>0.4</v>
      </c>
      <c r="G197" s="129">
        <f t="shared" si="58"/>
        <v>0.4</v>
      </c>
      <c r="H197" s="129">
        <f t="shared" si="58"/>
        <v>0.4</v>
      </c>
      <c r="I197" s="129">
        <f t="shared" si="58"/>
        <v>0.4</v>
      </c>
      <c r="J197" s="129">
        <f t="shared" si="58"/>
        <v>0.4</v>
      </c>
      <c r="K197" s="129">
        <f t="shared" si="58"/>
        <v>0.4</v>
      </c>
      <c r="L197" s="129">
        <f t="shared" si="58"/>
        <v>0.4</v>
      </c>
      <c r="M197" s="129">
        <f t="shared" si="58"/>
        <v>0.4</v>
      </c>
      <c r="N197" s="129">
        <f t="shared" si="58"/>
        <v>0.4</v>
      </c>
      <c r="O197" s="129">
        <f t="shared" si="58"/>
        <v>0.4</v>
      </c>
      <c r="P197" s="129">
        <f t="shared" si="58"/>
        <v>0.4</v>
      </c>
      <c r="Q197" s="129">
        <f t="shared" si="58"/>
        <v>0.4</v>
      </c>
      <c r="R197" s="129">
        <f t="shared" si="58"/>
        <v>0.4</v>
      </c>
      <c r="S197" s="129">
        <f t="shared" si="58"/>
        <v>0.4</v>
      </c>
      <c r="T197" s="129">
        <f t="shared" si="59"/>
        <v>0.4</v>
      </c>
      <c r="U197" s="129">
        <f t="shared" si="59"/>
        <v>0.4</v>
      </c>
      <c r="V197" s="129">
        <f t="shared" si="59"/>
        <v>0.4</v>
      </c>
      <c r="W197" s="129">
        <f t="shared" si="59"/>
        <v>0.4</v>
      </c>
      <c r="X197" s="129">
        <f t="shared" si="59"/>
        <v>0.4</v>
      </c>
      <c r="Y197" s="129">
        <f t="shared" si="59"/>
        <v>0.4</v>
      </c>
      <c r="Z197" s="129">
        <f t="shared" si="59"/>
        <v>0.4</v>
      </c>
      <c r="AA197" s="129">
        <f t="shared" si="59"/>
        <v>0.4</v>
      </c>
      <c r="AB197" s="129">
        <f t="shared" si="59"/>
        <v>0.4</v>
      </c>
      <c r="AC197" s="129">
        <f t="shared" si="59"/>
        <v>0.4</v>
      </c>
      <c r="AD197" s="129">
        <f t="shared" si="59"/>
        <v>0.4</v>
      </c>
      <c r="AE197" s="129">
        <f t="shared" si="59"/>
        <v>0.4</v>
      </c>
      <c r="AF197" s="129">
        <f t="shared" si="59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7"/>
        <v>0.64</v>
      </c>
      <c r="C198" s="139">
        <v>0.64</v>
      </c>
      <c r="D198" s="139">
        <f t="shared" si="58"/>
        <v>0.64</v>
      </c>
      <c r="E198" s="139">
        <f t="shared" si="58"/>
        <v>0.64</v>
      </c>
      <c r="F198" s="139">
        <f t="shared" si="58"/>
        <v>0.64</v>
      </c>
      <c r="G198" s="139">
        <f t="shared" si="58"/>
        <v>0.64</v>
      </c>
      <c r="H198" s="139">
        <f t="shared" si="58"/>
        <v>0.64</v>
      </c>
      <c r="I198" s="139">
        <f t="shared" si="58"/>
        <v>0.64</v>
      </c>
      <c r="J198" s="139">
        <f t="shared" si="58"/>
        <v>0.64</v>
      </c>
      <c r="K198" s="139">
        <f t="shared" si="58"/>
        <v>0.64</v>
      </c>
      <c r="L198" s="139">
        <f t="shared" si="58"/>
        <v>0.64</v>
      </c>
      <c r="M198" s="139">
        <f t="shared" si="58"/>
        <v>0.64</v>
      </c>
      <c r="N198" s="139">
        <f t="shared" si="58"/>
        <v>0.64</v>
      </c>
      <c r="O198" s="139">
        <f t="shared" si="58"/>
        <v>0.64</v>
      </c>
      <c r="P198" s="139">
        <f t="shared" si="58"/>
        <v>0.64</v>
      </c>
      <c r="Q198" s="139">
        <f t="shared" si="58"/>
        <v>0.64</v>
      </c>
      <c r="R198" s="139">
        <f t="shared" si="58"/>
        <v>0.64</v>
      </c>
      <c r="S198" s="139">
        <f t="shared" si="58"/>
        <v>0.64</v>
      </c>
      <c r="T198" s="139">
        <f t="shared" si="59"/>
        <v>0.64</v>
      </c>
      <c r="U198" s="139">
        <f t="shared" si="59"/>
        <v>0.64</v>
      </c>
      <c r="V198" s="139">
        <f t="shared" si="59"/>
        <v>0.64</v>
      </c>
      <c r="W198" s="139">
        <f t="shared" si="59"/>
        <v>0.64</v>
      </c>
      <c r="X198" s="139">
        <f t="shared" si="59"/>
        <v>0.64</v>
      </c>
      <c r="Y198" s="139">
        <f t="shared" si="59"/>
        <v>0.64</v>
      </c>
      <c r="Z198" s="139">
        <f t="shared" si="59"/>
        <v>0.64</v>
      </c>
      <c r="AA198" s="139">
        <f t="shared" si="59"/>
        <v>0.64</v>
      </c>
      <c r="AB198" s="139">
        <f t="shared" si="59"/>
        <v>0.64</v>
      </c>
      <c r="AC198" s="139">
        <f t="shared" si="59"/>
        <v>0.64</v>
      </c>
      <c r="AD198" s="139">
        <f t="shared" si="59"/>
        <v>0.64</v>
      </c>
      <c r="AE198" s="139">
        <f t="shared" si="59"/>
        <v>0.64</v>
      </c>
      <c r="AF198" s="139">
        <f t="shared" si="59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60">SUM(D193:D198)</f>
        <v>3.54</v>
      </c>
      <c r="E199" s="142">
        <f t="shared" si="60"/>
        <v>3.54</v>
      </c>
      <c r="F199" s="142">
        <f t="shared" si="60"/>
        <v>3.54</v>
      </c>
      <c r="G199" s="142">
        <f t="shared" si="60"/>
        <v>3.54</v>
      </c>
      <c r="H199" s="142">
        <f t="shared" si="60"/>
        <v>3.54</v>
      </c>
      <c r="I199" s="142">
        <f t="shared" si="60"/>
        <v>3.54</v>
      </c>
      <c r="J199" s="142">
        <f t="shared" si="60"/>
        <v>3.54</v>
      </c>
      <c r="K199" s="142">
        <f t="shared" si="60"/>
        <v>3.54</v>
      </c>
      <c r="L199" s="142">
        <f t="shared" si="60"/>
        <v>3.54</v>
      </c>
      <c r="M199" s="142">
        <f>SUM(M193:M198)</f>
        <v>3.54</v>
      </c>
      <c r="N199" s="142">
        <f t="shared" ref="N199:S199" si="61">SUM(N193:N198)</f>
        <v>3.54</v>
      </c>
      <c r="O199" s="142">
        <f t="shared" si="61"/>
        <v>3.54</v>
      </c>
      <c r="P199" s="142">
        <f t="shared" si="61"/>
        <v>3.54</v>
      </c>
      <c r="Q199" s="142">
        <f t="shared" si="61"/>
        <v>3.54</v>
      </c>
      <c r="R199" s="142">
        <f t="shared" si="61"/>
        <v>3.54</v>
      </c>
      <c r="S199" s="142">
        <f t="shared" si="61"/>
        <v>3.54</v>
      </c>
      <c r="T199" s="142">
        <f>SUM(T193:T198)</f>
        <v>3.54</v>
      </c>
      <c r="U199" s="142">
        <f t="shared" ref="U199:AG199" si="62">SUM(U193:U198)</f>
        <v>3.54</v>
      </c>
      <c r="V199" s="142">
        <f t="shared" si="62"/>
        <v>3.54</v>
      </c>
      <c r="W199" s="142">
        <f t="shared" si="62"/>
        <v>3.54</v>
      </c>
      <c r="X199" s="142">
        <f t="shared" si="62"/>
        <v>3.54</v>
      </c>
      <c r="Y199" s="142">
        <f t="shared" si="62"/>
        <v>3.54</v>
      </c>
      <c r="Z199" s="142">
        <f t="shared" si="62"/>
        <v>3.54</v>
      </c>
      <c r="AA199" s="142">
        <f t="shared" si="62"/>
        <v>3.54</v>
      </c>
      <c r="AB199" s="142">
        <f t="shared" si="62"/>
        <v>3.54</v>
      </c>
      <c r="AC199" s="142">
        <f t="shared" si="62"/>
        <v>3.54</v>
      </c>
      <c r="AD199" s="142">
        <f t="shared" si="62"/>
        <v>3.54</v>
      </c>
      <c r="AE199" s="142">
        <f t="shared" si="62"/>
        <v>3.54</v>
      </c>
      <c r="AF199" s="142">
        <f t="shared" si="62"/>
        <v>3.54</v>
      </c>
      <c r="AG199" s="143">
        <f t="shared" si="62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1504.64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19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2078/09/19)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2078/09/19)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3">B75</f>
        <v>893.83999999999992</v>
      </c>
      <c r="U213" s="167">
        <f t="shared" si="63"/>
        <v>873.33999999999992</v>
      </c>
      <c r="V213" s="167">
        <f t="shared" si="63"/>
        <v>865.54</v>
      </c>
      <c r="W213" s="167">
        <f t="shared" si="63"/>
        <v>850.54</v>
      </c>
      <c r="X213" s="167">
        <f t="shared" si="63"/>
        <v>874.64</v>
      </c>
      <c r="Y213" s="167">
        <f t="shared" si="63"/>
        <v>929.84</v>
      </c>
      <c r="Z213" s="167">
        <f t="shared" si="63"/>
        <v>988.74</v>
      </c>
      <c r="AA213" s="167">
        <f t="shared" si="63"/>
        <v>1092.1399999999999</v>
      </c>
      <c r="AB213" s="167">
        <f t="shared" si="63"/>
        <v>1209.1399999999999</v>
      </c>
      <c r="AC213" s="167">
        <f t="shared" si="63"/>
        <v>1355.1399999999999</v>
      </c>
      <c r="AD213" s="167">
        <f t="shared" si="63"/>
        <v>1475.2400000000002</v>
      </c>
      <c r="AE213" s="167">
        <f t="shared" si="63"/>
        <v>1504.64</v>
      </c>
      <c r="AF213" s="167">
        <f t="shared" si="63"/>
        <v>1469.64</v>
      </c>
      <c r="AG213" s="167">
        <f t="shared" si="63"/>
        <v>1399.64</v>
      </c>
      <c r="AH213" s="167">
        <f t="shared" si="63"/>
        <v>1301.8399999999999</v>
      </c>
      <c r="AI213" s="167">
        <f t="shared" si="63"/>
        <v>1264.44</v>
      </c>
      <c r="AJ213" s="167">
        <f t="shared" si="63"/>
        <v>1256.94</v>
      </c>
      <c r="AK213" s="167">
        <f t="shared" si="63"/>
        <v>1258.24</v>
      </c>
      <c r="AL213" s="167">
        <f t="shared" si="63"/>
        <v>1276.8399999999999</v>
      </c>
      <c r="AM213" s="167">
        <f t="shared" si="63"/>
        <v>1315.54</v>
      </c>
      <c r="AN213" s="167">
        <f t="shared" si="63"/>
        <v>1382.44</v>
      </c>
      <c r="AO213" s="167">
        <f t="shared" si="63"/>
        <v>1480.8400000000001</v>
      </c>
      <c r="AP213" s="167">
        <f t="shared" si="63"/>
        <v>1610.2399999999998</v>
      </c>
      <c r="AQ213" s="167">
        <f t="shared" si="63"/>
        <v>1603.14</v>
      </c>
      <c r="AR213" s="167">
        <f t="shared" si="63"/>
        <v>1577.04</v>
      </c>
      <c r="AS213" s="167">
        <f t="shared" si="63"/>
        <v>1555.1399999999999</v>
      </c>
      <c r="AT213" s="167">
        <f t="shared" si="63"/>
        <v>1484.04</v>
      </c>
      <c r="AU213" s="167">
        <f t="shared" si="63"/>
        <v>1414.94</v>
      </c>
      <c r="AV213" s="167">
        <f t="shared" si="63"/>
        <v>1300.1399999999999</v>
      </c>
      <c r="AW213" s="167">
        <f t="shared" si="63"/>
        <v>1116.1399999999999</v>
      </c>
      <c r="AX213" s="167">
        <f t="shared" si="63"/>
        <v>993.14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4">C198</f>
        <v>0.64</v>
      </c>
      <c r="C234" s="170">
        <f t="shared" si="64"/>
        <v>0.64</v>
      </c>
      <c r="D234" s="170">
        <f t="shared" si="64"/>
        <v>0.64</v>
      </c>
      <c r="E234" s="170">
        <f t="shared" si="64"/>
        <v>0.64</v>
      </c>
      <c r="F234" s="170">
        <f t="shared" si="64"/>
        <v>0.64</v>
      </c>
      <c r="G234" s="170">
        <f t="shared" si="64"/>
        <v>0.64</v>
      </c>
      <c r="H234" s="170">
        <f t="shared" si="64"/>
        <v>0.64</v>
      </c>
      <c r="I234" s="170">
        <f t="shared" si="64"/>
        <v>0.64</v>
      </c>
      <c r="J234" s="170">
        <f t="shared" si="64"/>
        <v>0.64</v>
      </c>
      <c r="K234" s="170">
        <f t="shared" si="64"/>
        <v>0.64</v>
      </c>
      <c r="L234" s="170">
        <f t="shared" si="64"/>
        <v>0.64</v>
      </c>
      <c r="M234" s="170">
        <f t="shared" si="64"/>
        <v>0.64</v>
      </c>
      <c r="N234" s="170">
        <f t="shared" si="64"/>
        <v>0.64</v>
      </c>
      <c r="O234" s="170">
        <f t="shared" si="64"/>
        <v>0.64</v>
      </c>
      <c r="P234" s="170">
        <f t="shared" si="64"/>
        <v>0.64</v>
      </c>
      <c r="Q234" s="170">
        <f t="shared" si="64"/>
        <v>0.64</v>
      </c>
      <c r="R234" s="170">
        <f t="shared" si="64"/>
        <v>0.64</v>
      </c>
      <c r="S234" s="170">
        <f t="shared" si="64"/>
        <v>0.64</v>
      </c>
      <c r="T234" s="170">
        <f t="shared" si="64"/>
        <v>0.64</v>
      </c>
      <c r="U234" s="170">
        <f t="shared" si="64"/>
        <v>0.64</v>
      </c>
      <c r="V234" s="170">
        <f t="shared" si="64"/>
        <v>0.64</v>
      </c>
      <c r="W234" s="170">
        <f t="shared" si="64"/>
        <v>0.64</v>
      </c>
      <c r="X234" s="170">
        <f t="shared" si="64"/>
        <v>0.64</v>
      </c>
      <c r="Y234" s="170">
        <f t="shared" si="64"/>
        <v>0.64</v>
      </c>
      <c r="Z234" s="170">
        <f t="shared" si="64"/>
        <v>0.64</v>
      </c>
      <c r="AA234" s="170">
        <f t="shared" si="64"/>
        <v>0.64</v>
      </c>
      <c r="AB234" s="170">
        <f t="shared" si="64"/>
        <v>0.64</v>
      </c>
      <c r="AC234" s="170">
        <f t="shared" si="64"/>
        <v>0.64</v>
      </c>
      <c r="AD234" s="170">
        <f t="shared" si="64"/>
        <v>0.64</v>
      </c>
      <c r="AE234" s="170">
        <f t="shared" si="64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5">IF(C202&lt;100,"",C202-520)</f>
        <v/>
      </c>
      <c r="D235" s="115" t="str">
        <f t="shared" si="65"/>
        <v/>
      </c>
      <c r="E235" s="115" t="str">
        <f t="shared" si="65"/>
        <v/>
      </c>
      <c r="F235" s="115" t="str">
        <f t="shared" si="65"/>
        <v/>
      </c>
      <c r="G235" s="115" t="str">
        <f t="shared" si="65"/>
        <v/>
      </c>
      <c r="H235" s="115" t="str">
        <f t="shared" si="65"/>
        <v/>
      </c>
      <c r="I235" s="115" t="str">
        <f t="shared" si="65"/>
        <v/>
      </c>
      <c r="J235" s="115" t="str">
        <f t="shared" si="65"/>
        <v/>
      </c>
      <c r="K235" s="115" t="str">
        <f t="shared" si="65"/>
        <v/>
      </c>
      <c r="L235" s="115" t="str">
        <f t="shared" si="65"/>
        <v/>
      </c>
      <c r="M235" s="115" t="str">
        <f t="shared" si="65"/>
        <v/>
      </c>
      <c r="N235" s="115" t="str">
        <f t="shared" si="65"/>
        <v/>
      </c>
      <c r="O235" s="115" t="str">
        <f t="shared" si="65"/>
        <v/>
      </c>
      <c r="P235" s="115" t="str">
        <f t="shared" si="65"/>
        <v/>
      </c>
      <c r="Q235" s="115" t="str">
        <f t="shared" si="65"/>
        <v/>
      </c>
      <c r="R235" s="115" t="str">
        <f t="shared" si="65"/>
        <v/>
      </c>
      <c r="S235" s="115" t="str">
        <f t="shared" si="65"/>
        <v/>
      </c>
      <c r="T235" s="115" t="str">
        <f t="shared" si="65"/>
        <v/>
      </c>
      <c r="U235" s="115" t="str">
        <f t="shared" si="65"/>
        <v/>
      </c>
      <c r="V235" s="115" t="str">
        <f t="shared" si="65"/>
        <v/>
      </c>
      <c r="W235" s="115" t="str">
        <f t="shared" si="65"/>
        <v/>
      </c>
      <c r="X235" s="115" t="str">
        <f t="shared" si="65"/>
        <v/>
      </c>
      <c r="Y235" s="115" t="str">
        <f t="shared" si="65"/>
        <v/>
      </c>
      <c r="Z235" s="115" t="str">
        <f t="shared" si="65"/>
        <v/>
      </c>
      <c r="AA235" s="115" t="str">
        <f t="shared" si="65"/>
        <v/>
      </c>
      <c r="AB235" s="115" t="str">
        <f t="shared" si="65"/>
        <v/>
      </c>
      <c r="AC235" s="115" t="str">
        <f t="shared" si="65"/>
        <v/>
      </c>
      <c r="AD235" s="115" t="str">
        <f t="shared" si="65"/>
        <v/>
      </c>
      <c r="AE235" s="115" t="str">
        <f t="shared" si="65"/>
        <v/>
      </c>
      <c r="AF235" s="115" t="str">
        <f t="shared" si="65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6">IF(B203&lt;100,"",B203-620)</f>
        <v/>
      </c>
      <c r="C236" s="115" t="str">
        <f t="shared" si="66"/>
        <v/>
      </c>
      <c r="D236" s="115" t="str">
        <f t="shared" si="66"/>
        <v/>
      </c>
      <c r="E236" s="115" t="str">
        <f t="shared" si="66"/>
        <v/>
      </c>
      <c r="F236" s="115" t="str">
        <f t="shared" si="66"/>
        <v/>
      </c>
      <c r="G236" s="115" t="str">
        <f t="shared" si="66"/>
        <v/>
      </c>
      <c r="H236" s="115" t="str">
        <f t="shared" si="66"/>
        <v/>
      </c>
      <c r="I236" s="115" t="str">
        <f t="shared" si="66"/>
        <v/>
      </c>
      <c r="J236" s="115" t="str">
        <f t="shared" si="66"/>
        <v/>
      </c>
      <c r="K236" s="115" t="str">
        <f t="shared" si="66"/>
        <v/>
      </c>
      <c r="L236" s="115" t="str">
        <f t="shared" si="66"/>
        <v/>
      </c>
      <c r="M236" s="115" t="str">
        <f t="shared" si="66"/>
        <v/>
      </c>
      <c r="N236" s="115" t="str">
        <f t="shared" si="66"/>
        <v/>
      </c>
      <c r="O236" s="115" t="str">
        <f t="shared" si="66"/>
        <v/>
      </c>
      <c r="P236" s="115" t="str">
        <f t="shared" si="66"/>
        <v/>
      </c>
      <c r="Q236" s="115" t="str">
        <f t="shared" si="66"/>
        <v/>
      </c>
      <c r="R236" s="115" t="str">
        <f t="shared" si="66"/>
        <v/>
      </c>
      <c r="S236" s="115" t="str">
        <f t="shared" si="66"/>
        <v/>
      </c>
      <c r="T236" s="115" t="str">
        <f t="shared" si="66"/>
        <v/>
      </c>
      <c r="U236" s="115" t="str">
        <f t="shared" si="66"/>
        <v/>
      </c>
      <c r="V236" s="115" t="str">
        <f t="shared" si="66"/>
        <v/>
      </c>
      <c r="W236" s="115" t="str">
        <f t="shared" si="66"/>
        <v/>
      </c>
      <c r="X236" s="115" t="str">
        <f t="shared" si="66"/>
        <v/>
      </c>
      <c r="Y236" s="115" t="str">
        <f t="shared" si="66"/>
        <v/>
      </c>
      <c r="Z236" s="115" t="str">
        <f t="shared" si="66"/>
        <v/>
      </c>
      <c r="AA236" s="115" t="str">
        <f t="shared" si="66"/>
        <v/>
      </c>
      <c r="AB236" s="115" t="str">
        <f t="shared" si="66"/>
        <v/>
      </c>
      <c r="AC236" s="115" t="str">
        <f t="shared" si="66"/>
        <v/>
      </c>
      <c r="AD236" s="115" t="str">
        <f t="shared" si="66"/>
        <v/>
      </c>
      <c r="AE236" s="115" t="str">
        <f t="shared" si="66"/>
        <v/>
      </c>
      <c r="AF236" s="115" t="str">
        <f t="shared" si="66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7">IF(B204&lt;100,"",B204-330)</f>
        <v/>
      </c>
      <c r="C237" s="115" t="str">
        <f t="shared" si="67"/>
        <v/>
      </c>
      <c r="D237" s="115" t="str">
        <f t="shared" si="67"/>
        <v/>
      </c>
      <c r="E237" s="115" t="str">
        <f t="shared" si="67"/>
        <v/>
      </c>
      <c r="F237" s="115" t="str">
        <f t="shared" si="67"/>
        <v/>
      </c>
      <c r="G237" s="115" t="str">
        <f t="shared" si="67"/>
        <v/>
      </c>
      <c r="H237" s="115" t="str">
        <f t="shared" si="67"/>
        <v/>
      </c>
      <c r="I237" s="115" t="str">
        <f t="shared" si="67"/>
        <v/>
      </c>
      <c r="J237" s="115" t="str">
        <f t="shared" si="67"/>
        <v/>
      </c>
      <c r="K237" s="115" t="str">
        <f t="shared" si="67"/>
        <v/>
      </c>
      <c r="L237" s="115" t="str">
        <f t="shared" si="67"/>
        <v/>
      </c>
      <c r="M237" s="115" t="str">
        <f t="shared" si="67"/>
        <v/>
      </c>
      <c r="N237" s="115" t="str">
        <f t="shared" si="67"/>
        <v/>
      </c>
      <c r="O237" s="115" t="str">
        <f t="shared" si="67"/>
        <v/>
      </c>
      <c r="P237" s="115" t="str">
        <f t="shared" si="67"/>
        <v/>
      </c>
      <c r="Q237" s="115" t="str">
        <f t="shared" si="67"/>
        <v/>
      </c>
      <c r="R237" s="115" t="str">
        <f t="shared" si="67"/>
        <v/>
      </c>
      <c r="S237" s="115" t="str">
        <f t="shared" si="67"/>
        <v/>
      </c>
      <c r="T237" s="115" t="str">
        <f t="shared" si="67"/>
        <v/>
      </c>
      <c r="U237" s="115" t="str">
        <f t="shared" si="67"/>
        <v/>
      </c>
      <c r="V237" s="115" t="str">
        <f t="shared" si="67"/>
        <v/>
      </c>
      <c r="W237" s="115" t="str">
        <f t="shared" si="67"/>
        <v/>
      </c>
      <c r="X237" s="115" t="str">
        <f t="shared" si="67"/>
        <v/>
      </c>
      <c r="Y237" s="115" t="str">
        <f t="shared" si="67"/>
        <v/>
      </c>
      <c r="Z237" s="115" t="str">
        <f t="shared" si="67"/>
        <v/>
      </c>
      <c r="AA237" s="115" t="str">
        <f t="shared" si="67"/>
        <v/>
      </c>
      <c r="AB237" s="115" t="str">
        <f t="shared" si="67"/>
        <v/>
      </c>
      <c r="AC237" s="115" t="str">
        <f t="shared" si="67"/>
        <v/>
      </c>
      <c r="AD237" s="115" t="str">
        <f t="shared" si="67"/>
        <v/>
      </c>
      <c r="AE237" s="115" t="str">
        <f t="shared" si="67"/>
        <v/>
      </c>
      <c r="AF237" s="115" t="str">
        <f t="shared" si="67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8">IF(C205&lt;100,"",C205-1500)</f>
        <v/>
      </c>
      <c r="D238" s="115" t="str">
        <f t="shared" si="68"/>
        <v/>
      </c>
      <c r="E238" s="115" t="str">
        <f t="shared" si="68"/>
        <v/>
      </c>
      <c r="F238" s="115" t="str">
        <f t="shared" si="68"/>
        <v/>
      </c>
      <c r="G238" s="115" t="str">
        <f t="shared" si="68"/>
        <v/>
      </c>
      <c r="H238" s="115" t="str">
        <f t="shared" si="68"/>
        <v/>
      </c>
      <c r="I238" s="115" t="str">
        <f t="shared" si="68"/>
        <v/>
      </c>
      <c r="J238" s="115" t="str">
        <f t="shared" si="68"/>
        <v/>
      </c>
      <c r="K238" s="115" t="str">
        <f t="shared" si="68"/>
        <v/>
      </c>
      <c r="L238" s="115" t="str">
        <f t="shared" si="68"/>
        <v/>
      </c>
      <c r="M238" s="115" t="str">
        <f t="shared" si="68"/>
        <v/>
      </c>
      <c r="N238" s="115" t="str">
        <f t="shared" si="68"/>
        <v/>
      </c>
      <c r="O238" s="115" t="str">
        <f t="shared" si="68"/>
        <v/>
      </c>
      <c r="P238" s="115" t="str">
        <f t="shared" si="68"/>
        <v/>
      </c>
      <c r="Q238" s="115" t="str">
        <f t="shared" si="68"/>
        <v/>
      </c>
      <c r="R238" s="115" t="str">
        <f t="shared" si="68"/>
        <v/>
      </c>
      <c r="S238" s="115" t="str">
        <f t="shared" si="68"/>
        <v/>
      </c>
      <c r="T238" s="115" t="str">
        <f t="shared" si="68"/>
        <v/>
      </c>
      <c r="U238" s="115" t="str">
        <f t="shared" si="68"/>
        <v/>
      </c>
      <c r="V238" s="115" t="str">
        <f t="shared" si="68"/>
        <v/>
      </c>
      <c r="W238" s="115" t="str">
        <f t="shared" si="68"/>
        <v/>
      </c>
      <c r="X238" s="115" t="str">
        <f t="shared" si="68"/>
        <v/>
      </c>
      <c r="Y238" s="115" t="str">
        <f t="shared" si="68"/>
        <v/>
      </c>
      <c r="Z238" s="115" t="str">
        <f t="shared" si="68"/>
        <v/>
      </c>
      <c r="AA238" s="115" t="str">
        <f t="shared" si="68"/>
        <v/>
      </c>
      <c r="AB238" s="115" t="str">
        <f t="shared" si="68"/>
        <v/>
      </c>
      <c r="AC238" s="115" t="str">
        <f t="shared" si="68"/>
        <v/>
      </c>
      <c r="AD238" s="115" t="str">
        <f t="shared" si="68"/>
        <v/>
      </c>
      <c r="AE238" s="115" t="str">
        <f t="shared" si="68"/>
        <v/>
      </c>
      <c r="AF238" s="115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M37:N37 D57:L57 M60:O60 P39:R39 R40:T41 X85:AA91 AB81:AF81 B81:R81 B82:AF83 D193:AF199 B193:B199 B84:B91 B9:AF10 B191:AF191 AF57:AF67 B56:AF56 AG73 AB94:AF99 B94:B99 U212:AF212 B68:AF80 D59:L59 B58:L58 C85:F91 B36:N36 M39:O42 P40:Q42 R42 P60:R67 S39:T42 O36:U37 M58:W59 N45:W48 U40:Y42 M16:AA32 M53:AF55 Z40:AE43 AB84:AF91 M11:AE14 AB28:AF31 V36:AF36 AB16:AF26">
    <cfRule type="expression" dxfId="4064" priority="268">
      <formula>B$9&gt;=20/24</formula>
    </cfRule>
    <cfRule type="expression" dxfId="4063" priority="269">
      <formula>AND(B$9&gt;=14/24,B$9&lt;20/24)</formula>
    </cfRule>
    <cfRule type="expression" dxfId="4062" priority="270">
      <formula>AND(B$9&gt;=8/24,B$9&lt;14/24)</formula>
    </cfRule>
    <cfRule type="expression" dxfId="4061" priority="271">
      <formula>B$9&lt;8/24</formula>
    </cfRule>
  </conditionalFormatting>
  <conditionalFormatting sqref="AL4:AL6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060" priority="263">
      <formula>M$9&gt;=20/24</formula>
    </cfRule>
    <cfRule type="expression" dxfId="4059" priority="264">
      <formula>AND(M$9&gt;=14/24,M$9&lt;20/24)</formula>
    </cfRule>
    <cfRule type="expression" dxfId="4058" priority="265">
      <formula>AND(M$9&gt;=8/24,M$9&lt;14/24)</formula>
    </cfRule>
    <cfRule type="expression" dxfId="4057" priority="266">
      <formula>M$9&lt;8/24</formula>
    </cfRule>
  </conditionalFormatting>
  <conditionalFormatting sqref="M43:W43">
    <cfRule type="expression" dxfId="4056" priority="259">
      <formula>M$9&gt;=20/24</formula>
    </cfRule>
    <cfRule type="expression" dxfId="4055" priority="260">
      <formula>AND(M$9&gt;=14/24,M$9&lt;20/24)</formula>
    </cfRule>
    <cfRule type="expression" dxfId="4054" priority="261">
      <formula>AND(M$9&gt;=8/24,M$9&lt;14/24)</formula>
    </cfRule>
    <cfRule type="expression" dxfId="4053" priority="262">
      <formula>M$9&lt;8/24</formula>
    </cfRule>
  </conditionalFormatting>
  <conditionalFormatting sqref="AB32:AF32">
    <cfRule type="expression" dxfId="4052" priority="255">
      <formula>AB$9&gt;=20/24</formula>
    </cfRule>
    <cfRule type="expression" dxfId="4051" priority="256">
      <formula>AND(AB$9&gt;=14/24,AB$9&lt;20/24)</formula>
    </cfRule>
    <cfRule type="expression" dxfId="4050" priority="257">
      <formula>AND(AB$9&gt;=8/24,AB$9&lt;14/24)</formula>
    </cfRule>
    <cfRule type="expression" dxfId="4049" priority="258">
      <formula>AB$9&lt;8/24</formula>
    </cfRule>
  </conditionalFormatting>
  <conditionalFormatting sqref="S39:AE39">
    <cfRule type="expression" dxfId="4048" priority="251">
      <formula>S$9&gt;=20/24</formula>
    </cfRule>
    <cfRule type="expression" dxfId="4047" priority="252">
      <formula>AND(S$9&gt;=14/24,S$9&lt;20/24)</formula>
    </cfRule>
    <cfRule type="expression" dxfId="4046" priority="253">
      <formula>AND(S$9&gt;=8/24,S$9&lt;14/24)</formula>
    </cfRule>
    <cfRule type="expression" dxfId="4045" priority="254">
      <formula>S$9&lt;8/24</formula>
    </cfRule>
  </conditionalFormatting>
  <conditionalFormatting sqref="S57:AE57">
    <cfRule type="expression" dxfId="4044" priority="247">
      <formula>S$9&gt;=20/24</formula>
    </cfRule>
    <cfRule type="expression" dxfId="4043" priority="248">
      <formula>AND(S$9&gt;=14/24,S$9&lt;20/24)</formula>
    </cfRule>
    <cfRule type="expression" dxfId="4042" priority="249">
      <formula>AND(S$9&gt;=8/24,S$9&lt;14/24)</formula>
    </cfRule>
    <cfRule type="expression" dxfId="4041" priority="250">
      <formula>S$9&lt;8/24</formula>
    </cfRule>
  </conditionalFormatting>
  <conditionalFormatting sqref="S81:AA81">
    <cfRule type="expression" dxfId="4040" priority="243">
      <formula>S$9&gt;=20/24</formula>
    </cfRule>
    <cfRule type="expression" dxfId="4039" priority="244">
      <formula>AND(S$9&gt;=14/24,S$9&lt;20/24)</formula>
    </cfRule>
    <cfRule type="expression" dxfId="4038" priority="245">
      <formula>AND(S$9&gt;=8/24,S$9&lt;14/24)</formula>
    </cfRule>
    <cfRule type="expression" dxfId="4037" priority="246">
      <formula>S$9&lt;8/24</formula>
    </cfRule>
  </conditionalFormatting>
  <conditionalFormatting sqref="U84:AA84">
    <cfRule type="expression" dxfId="4036" priority="239">
      <formula>U$9&gt;=20/24</formula>
    </cfRule>
    <cfRule type="expression" dxfId="4035" priority="240">
      <formula>AND(U$9&gt;=14/24,U$9&lt;20/24)</formula>
    </cfRule>
    <cfRule type="expression" dxfId="4034" priority="241">
      <formula>AND(U$9&gt;=8/24,U$9&lt;14/24)</formula>
    </cfRule>
    <cfRule type="expression" dxfId="4033" priority="242">
      <formula>U$9&lt;8/24</formula>
    </cfRule>
  </conditionalFormatting>
  <conditionalFormatting sqref="M35:AA35">
    <cfRule type="expression" dxfId="4032" priority="235">
      <formula>M$9&gt;=20/24</formula>
    </cfRule>
    <cfRule type="expression" dxfId="4031" priority="236">
      <formula>AND(M$9&gt;=14/24,M$9&lt;20/24)</formula>
    </cfRule>
    <cfRule type="expression" dxfId="4030" priority="237">
      <formula>AND(M$9&gt;=8/24,M$9&lt;14/24)</formula>
    </cfRule>
    <cfRule type="expression" dxfId="4029" priority="238">
      <formula>M$9&lt;8/24</formula>
    </cfRule>
  </conditionalFormatting>
  <conditionalFormatting sqref="M49:W49">
    <cfRule type="expression" dxfId="4028" priority="231">
      <formula>M$9&gt;=20/24</formula>
    </cfRule>
    <cfRule type="expression" dxfId="4027" priority="232">
      <formula>AND(M$9&gt;=14/24,M$9&lt;20/24)</formula>
    </cfRule>
    <cfRule type="expression" dxfId="4026" priority="233">
      <formula>AND(M$9&gt;=8/24,M$9&lt;14/24)</formula>
    </cfRule>
    <cfRule type="expression" dxfId="4025" priority="234">
      <formula>M$9&lt;8/24</formula>
    </cfRule>
  </conditionalFormatting>
  <conditionalFormatting sqref="M50:W50">
    <cfRule type="expression" dxfId="4024" priority="227">
      <formula>M$9&gt;=20/24</formula>
    </cfRule>
    <cfRule type="expression" dxfId="4023" priority="228">
      <formula>AND(M$9&gt;=14/24,M$9&lt;20/24)</formula>
    </cfRule>
    <cfRule type="expression" dxfId="4022" priority="229">
      <formula>AND(M$9&gt;=8/24,M$9&lt;14/24)</formula>
    </cfRule>
    <cfRule type="expression" dxfId="4021" priority="230">
      <formula>M$9&lt;8/24</formula>
    </cfRule>
  </conditionalFormatting>
  <conditionalFormatting sqref="M45:W48">
    <cfRule type="expression" dxfId="4020" priority="223">
      <formula>M$9&gt;=20/24</formula>
    </cfRule>
    <cfRule type="expression" dxfId="4019" priority="224">
      <formula>AND(M$9&gt;=14/24,M$9&lt;20/24)</formula>
    </cfRule>
    <cfRule type="expression" dxfId="4018" priority="225">
      <formula>AND(M$9&gt;=8/24,M$9&lt;14/24)</formula>
    </cfRule>
    <cfRule type="expression" dxfId="4017" priority="226">
      <formula>M$9&lt;8/24</formula>
    </cfRule>
  </conditionalFormatting>
  <conditionalFormatting sqref="V37:AE37">
    <cfRule type="expression" dxfId="4016" priority="219">
      <formula>V$9&gt;=20/24</formula>
    </cfRule>
    <cfRule type="expression" dxfId="4015" priority="220">
      <formula>AND(V$9&gt;=14/24,V$9&lt;20/24)</formula>
    </cfRule>
    <cfRule type="expression" dxfId="4014" priority="221">
      <formula>AND(V$9&gt;=8/24,V$9&lt;14/24)</formula>
    </cfRule>
    <cfRule type="expression" dxfId="4013" priority="222">
      <formula>V$9&lt;8/24</formula>
    </cfRule>
  </conditionalFormatting>
  <conditionalFormatting sqref="AB35:AF35">
    <cfRule type="expression" dxfId="4012" priority="215">
      <formula>AB$9&gt;=20/24</formula>
    </cfRule>
    <cfRule type="expression" dxfId="4011" priority="216">
      <formula>AND(AB$9&gt;=14/24,AB$9&lt;20/24)</formula>
    </cfRule>
    <cfRule type="expression" dxfId="4010" priority="217">
      <formula>AND(AB$9&gt;=8/24,AB$9&lt;14/24)</formula>
    </cfRule>
    <cfRule type="expression" dxfId="4009" priority="218">
      <formula>AB$9&lt;8/24</formula>
    </cfRule>
  </conditionalFormatting>
  <conditionalFormatting sqref="S42:T43 U43:AA43 S45:AF48">
    <cfRule type="expression" dxfId="4008" priority="211">
      <formula>S$9&gt;=20/24</formula>
    </cfRule>
    <cfRule type="expression" dxfId="4007" priority="212">
      <formula>AND(S$9&gt;=14/24,S$9&lt;20/24)</formula>
    </cfRule>
    <cfRule type="expression" dxfId="4006" priority="213">
      <formula>AND(S$9&gt;=8/24,S$9&lt;14/24)</formula>
    </cfRule>
    <cfRule type="expression" dxfId="4005" priority="214">
      <formula>S$9&lt;8/24</formula>
    </cfRule>
  </conditionalFormatting>
  <conditionalFormatting sqref="S49:AF49">
    <cfRule type="expression" dxfId="4004" priority="207">
      <formula>S$9&gt;=20/24</formula>
    </cfRule>
    <cfRule type="expression" dxfId="4003" priority="208">
      <formula>AND(S$9&gt;=14/24,S$9&lt;20/24)</formula>
    </cfRule>
    <cfRule type="expression" dxfId="4002" priority="209">
      <formula>AND(S$9&gt;=8/24,S$9&lt;14/24)</formula>
    </cfRule>
    <cfRule type="expression" dxfId="4001" priority="210">
      <formula>S$9&lt;8/24</formula>
    </cfRule>
  </conditionalFormatting>
  <conditionalFormatting sqref="S50:AF50">
    <cfRule type="expression" dxfId="4000" priority="203">
      <formula>S$9&gt;=20/24</formula>
    </cfRule>
    <cfRule type="expression" dxfId="3999" priority="204">
      <formula>AND(S$9&gt;=14/24,S$9&lt;20/24)</formula>
    </cfRule>
    <cfRule type="expression" dxfId="3998" priority="205">
      <formula>AND(S$9&gt;=8/24,S$9&lt;14/24)</formula>
    </cfRule>
    <cfRule type="expression" dxfId="3997" priority="206">
      <formula>S$9&lt;8/24</formula>
    </cfRule>
  </conditionalFormatting>
  <conditionalFormatting sqref="S60:V67 W61:W67 X60:AE67">
    <cfRule type="expression" dxfId="3996" priority="199">
      <formula>S$9&gt;=20/24</formula>
    </cfRule>
    <cfRule type="expression" dxfId="3995" priority="200">
      <formula>AND(S$9&gt;=14/24,S$9&lt;20/24)</formula>
    </cfRule>
    <cfRule type="expression" dxfId="3994" priority="201">
      <formula>AND(S$9&gt;=8/24,S$9&lt;14/24)</formula>
    </cfRule>
    <cfRule type="expression" dxfId="3993" priority="202">
      <formula>S$9&lt;8/24</formula>
    </cfRule>
  </conditionalFormatting>
  <conditionalFormatting sqref="U94:AA97">
    <cfRule type="expression" dxfId="3992" priority="191">
      <formula>U$9&gt;=20/24</formula>
    </cfRule>
    <cfRule type="expression" dxfId="3991" priority="192">
      <formula>AND(U$9&gt;=14/24,U$9&lt;20/24)</formula>
    </cfRule>
    <cfRule type="expression" dxfId="3990" priority="193">
      <formula>AND(U$9&gt;=8/24,U$9&lt;14/24)</formula>
    </cfRule>
    <cfRule type="expression" dxfId="3989" priority="194">
      <formula>U$9&lt;8/24</formula>
    </cfRule>
  </conditionalFormatting>
  <conditionalFormatting sqref="AG51 F11:P11 B56:AF56 F12:F15 B11:E15 B16:F32 G12:L32 M12:P14 Q11:AA14 C53:AF55 AB11:AF15 M16:AF32 B34:AF52">
    <cfRule type="expression" dxfId="3988" priority="190">
      <formula>B11&gt;$AG11</formula>
    </cfRule>
  </conditionalFormatting>
  <conditionalFormatting sqref="A100:A156 A84:A97 A11:A14 A16:A32 A45:A72 A80:A82 A74:A78 A35:A43 A169:A199">
    <cfRule type="expression" dxfId="3987" priority="189">
      <formula>$AH11=0</formula>
    </cfRule>
  </conditionalFormatting>
  <conditionalFormatting sqref="U98:AA98">
    <cfRule type="expression" dxfId="3986" priority="185">
      <formula>U$9&gt;=20/24</formula>
    </cfRule>
    <cfRule type="expression" dxfId="3985" priority="186">
      <formula>AND(U$9&gt;=14/24,U$9&lt;20/24)</formula>
    </cfRule>
    <cfRule type="expression" dxfId="3984" priority="187">
      <formula>AND(U$9&gt;=8/24,U$9&lt;14/24)</formula>
    </cfRule>
    <cfRule type="expression" dxfId="3983" priority="188">
      <formula>U$9&lt;8/24</formula>
    </cfRule>
  </conditionalFormatting>
  <conditionalFormatting sqref="A98">
    <cfRule type="expression" dxfId="3982" priority="184">
      <formula>$AH98=0</formula>
    </cfRule>
  </conditionalFormatting>
  <conditionalFormatting sqref="AL32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3981" priority="167">
      <formula>AB$9&gt;=20/24</formula>
    </cfRule>
    <cfRule type="expression" dxfId="3980" priority="168">
      <formula>AND(AB$9&gt;=14/24,AB$9&lt;20/24)</formula>
    </cfRule>
    <cfRule type="expression" dxfId="3979" priority="169">
      <formula>AND(AB$9&gt;=8/24,AB$9&lt;14/24)</formula>
    </cfRule>
    <cfRule type="expression" dxfId="3978" priority="170">
      <formula>AB$9&lt;8/24</formula>
    </cfRule>
  </conditionalFormatting>
  <conditionalFormatting sqref="M34:AA34">
    <cfRule type="expression" dxfId="3977" priority="163">
      <formula>M$9&gt;=20/24</formula>
    </cfRule>
    <cfRule type="expression" dxfId="3976" priority="164">
      <formula>AND(M$9&gt;=14/24,M$9&lt;20/24)</formula>
    </cfRule>
    <cfRule type="expression" dxfId="3975" priority="165">
      <formula>AND(M$9&gt;=8/24,M$9&lt;14/24)</formula>
    </cfRule>
    <cfRule type="expression" dxfId="3974" priority="166">
      <formula>M$9&lt;8/24</formula>
    </cfRule>
  </conditionalFormatting>
  <conditionalFormatting sqref="A34">
    <cfRule type="expression" dxfId="3973" priority="158">
      <formula>$AH34=0</formula>
    </cfRule>
  </conditionalFormatting>
  <conditionalFormatting sqref="A83">
    <cfRule type="expression" dxfId="3972" priority="157">
      <formula>$AH83=0</formula>
    </cfRule>
  </conditionalFormatting>
  <conditionalFormatting sqref="AB15:AE15">
    <cfRule type="expression" dxfId="3971" priority="153">
      <formula>AB$9&gt;=20/24</formula>
    </cfRule>
    <cfRule type="expression" dxfId="3970" priority="154">
      <formula>AND(AB$9&gt;=14/24,AB$9&lt;20/24)</formula>
    </cfRule>
    <cfRule type="expression" dxfId="3969" priority="155">
      <formula>AND(AB$9&gt;=8/24,AB$9&lt;14/24)</formula>
    </cfRule>
    <cfRule type="expression" dxfId="3968" priority="156">
      <formula>AB$9&lt;8/24</formula>
    </cfRule>
  </conditionalFormatting>
  <conditionalFormatting sqref="M15:AA15">
    <cfRule type="expression" dxfId="3967" priority="149">
      <formula>M$9&gt;=20/24</formula>
    </cfRule>
    <cfRule type="expression" dxfId="3966" priority="150">
      <formula>AND(M$9&gt;=14/24,M$9&lt;20/24)</formula>
    </cfRule>
    <cfRule type="expression" dxfId="3965" priority="151">
      <formula>AND(M$9&gt;=8/24,M$9&lt;14/24)</formula>
    </cfRule>
    <cfRule type="expression" dxfId="3964" priority="152">
      <formula>M$9&lt;8/24</formula>
    </cfRule>
  </conditionalFormatting>
  <conditionalFormatting sqref="M15:AA15">
    <cfRule type="expression" dxfId="3963" priority="148">
      <formula>M15&gt;$AG15</formula>
    </cfRule>
  </conditionalFormatting>
  <conditionalFormatting sqref="A15">
    <cfRule type="expression" dxfId="3962" priority="147">
      <formula>$AH15=0</formula>
    </cfRule>
  </conditionalFormatting>
  <conditionalFormatting sqref="A163:A168">
    <cfRule type="expression" dxfId="3961" priority="146">
      <formula>$AH163=0</formula>
    </cfRule>
  </conditionalFormatting>
  <conditionalFormatting sqref="A157:A162">
    <cfRule type="expression" dxfId="3960" priority="145">
      <formula>$AH157=0</formula>
    </cfRule>
  </conditionalFormatting>
  <conditionalFormatting sqref="Z44:AE44">
    <cfRule type="expression" dxfId="3959" priority="141">
      <formula>Z$9&gt;=20/24</formula>
    </cfRule>
    <cfRule type="expression" dxfId="3958" priority="142">
      <formula>AND(Z$9&gt;=14/24,Z$9&lt;20/24)</formula>
    </cfRule>
    <cfRule type="expression" dxfId="3957" priority="143">
      <formula>AND(Z$9&gt;=8/24,Z$9&lt;14/24)</formula>
    </cfRule>
    <cfRule type="expression" dxfId="3956" priority="144">
      <formula>Z$9&lt;8/24</formula>
    </cfRule>
  </conditionalFormatting>
  <conditionalFormatting sqref="M44:W44">
    <cfRule type="expression" dxfId="3955" priority="137">
      <formula>M$9&gt;=20/24</formula>
    </cfRule>
    <cfRule type="expression" dxfId="3954" priority="138">
      <formula>AND(M$9&gt;=14/24,M$9&lt;20/24)</formula>
    </cfRule>
    <cfRule type="expression" dxfId="3953" priority="139">
      <formula>AND(M$9&gt;=8/24,M$9&lt;14/24)</formula>
    </cfRule>
    <cfRule type="expression" dxfId="3952" priority="140">
      <formula>M$9&lt;8/24</formula>
    </cfRule>
  </conditionalFormatting>
  <conditionalFormatting sqref="S44:AA44">
    <cfRule type="expression" dxfId="3951" priority="133">
      <formula>S$9&gt;=20/24</formula>
    </cfRule>
    <cfRule type="expression" dxfId="3950" priority="134">
      <formula>AND(S$9&gt;=14/24,S$9&lt;20/24)</formula>
    </cfRule>
    <cfRule type="expression" dxfId="3949" priority="135">
      <formula>AND(S$9&gt;=8/24,S$9&lt;14/24)</formula>
    </cfRule>
    <cfRule type="expression" dxfId="3948" priority="136">
      <formula>S$9&lt;8/24</formula>
    </cfRule>
  </conditionalFormatting>
  <conditionalFormatting sqref="A44">
    <cfRule type="expression" dxfId="3947" priority="132">
      <formula>$AH44=0</formula>
    </cfRule>
  </conditionalFormatting>
  <conditionalFormatting sqref="A79">
    <cfRule type="expression" dxfId="3946" priority="131">
      <formula>$AH79=0</formula>
    </cfRule>
  </conditionalFormatting>
  <conditionalFormatting sqref="A73">
    <cfRule type="expression" dxfId="3945" priority="130">
      <formula>$AH73=0</formula>
    </cfRule>
  </conditionalFormatting>
  <conditionalFormatting sqref="AL34:AL35 AL7:AL31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W60">
    <cfRule type="expression" dxfId="3944" priority="126">
      <formula>W$9&gt;=20/24</formula>
    </cfRule>
    <cfRule type="expression" dxfId="3943" priority="127">
      <formula>AND(W$9&gt;=14/24,W$9&lt;20/24)</formula>
    </cfRule>
    <cfRule type="expression" dxfId="3942" priority="128">
      <formula>AND(W$9&gt;=8/24,W$9&lt;14/24)</formula>
    </cfRule>
    <cfRule type="expression" dxfId="3941" priority="129">
      <formula>W$9&lt;8/24</formula>
    </cfRule>
  </conditionalFormatting>
  <conditionalFormatting sqref="U85:W91">
    <cfRule type="expression" dxfId="3940" priority="122">
      <formula>U$9&gt;=20/24</formula>
    </cfRule>
    <cfRule type="expression" dxfId="3939" priority="123">
      <formula>AND(U$9&gt;=14/24,U$9&lt;20/24)</formula>
    </cfRule>
    <cfRule type="expression" dxfId="3938" priority="124">
      <formula>AND(U$9&gt;=8/24,U$9&lt;14/24)</formula>
    </cfRule>
    <cfRule type="expression" dxfId="3937" priority="125">
      <formula>U$9&lt;8/24</formula>
    </cfRule>
  </conditionalFormatting>
  <conditionalFormatting sqref="C84:L84 G85:L91 N84:R84 M84:M91 N85:T91">
    <cfRule type="expression" dxfId="3936" priority="118">
      <formula>C$9&gt;=20/24</formula>
    </cfRule>
    <cfRule type="expression" dxfId="3935" priority="119">
      <formula>AND(C$9&gt;=14/24,C$9&lt;20/24)</formula>
    </cfRule>
    <cfRule type="expression" dxfId="3934" priority="120">
      <formula>AND(C$9&gt;=8/24,C$9&lt;14/24)</formula>
    </cfRule>
    <cfRule type="expression" dxfId="3933" priority="121">
      <formula>C$9&lt;8/24</formula>
    </cfRule>
  </conditionalFormatting>
  <conditionalFormatting sqref="S84:T84">
    <cfRule type="expression" dxfId="3932" priority="114">
      <formula>S$9&gt;=20/24</formula>
    </cfRule>
    <cfRule type="expression" dxfId="3931" priority="115">
      <formula>AND(S$9&gt;=14/24,S$9&lt;20/24)</formula>
    </cfRule>
    <cfRule type="expression" dxfId="3930" priority="116">
      <formula>AND(S$9&gt;=8/24,S$9&lt;14/24)</formula>
    </cfRule>
    <cfRule type="expression" dxfId="3929" priority="117">
      <formula>S$9&lt;8/24</formula>
    </cfRule>
  </conditionalFormatting>
  <conditionalFormatting sqref="C95:M97 C94:F94">
    <cfRule type="expression" dxfId="3928" priority="110">
      <formula>C$9&gt;=20/24</formula>
    </cfRule>
    <cfRule type="expression" dxfId="3927" priority="111">
      <formula>AND(C$9&gt;=14/24,C$9&lt;20/24)</formula>
    </cfRule>
    <cfRule type="expression" dxfId="3926" priority="112">
      <formula>AND(C$9&gt;=8/24,C$9&lt;14/24)</formula>
    </cfRule>
    <cfRule type="expression" dxfId="3925" priority="113">
      <formula>C$9&lt;8/24</formula>
    </cfRule>
  </conditionalFormatting>
  <conditionalFormatting sqref="N95:R97 O94:R94">
    <cfRule type="expression" dxfId="3924" priority="106">
      <formula>N$9&gt;=20/24</formula>
    </cfRule>
    <cfRule type="expression" dxfId="3923" priority="107">
      <formula>AND(N$9&gt;=14/24,N$9&lt;20/24)</formula>
    </cfRule>
    <cfRule type="expression" dxfId="3922" priority="108">
      <formula>AND(N$9&gt;=8/24,N$9&lt;14/24)</formula>
    </cfRule>
    <cfRule type="expression" dxfId="3921" priority="109">
      <formula>N$9&lt;8/24</formula>
    </cfRule>
  </conditionalFormatting>
  <conditionalFormatting sqref="S94:T97">
    <cfRule type="expression" dxfId="3920" priority="102">
      <formula>S$9&gt;=20/24</formula>
    </cfRule>
    <cfRule type="expression" dxfId="3919" priority="103">
      <formula>AND(S$9&gt;=14/24,S$9&lt;20/24)</formula>
    </cfRule>
    <cfRule type="expression" dxfId="3918" priority="104">
      <formula>AND(S$9&gt;=8/24,S$9&lt;14/24)</formula>
    </cfRule>
    <cfRule type="expression" dxfId="3917" priority="105">
      <formula>S$9&lt;8/24</formula>
    </cfRule>
  </conditionalFormatting>
  <conditionalFormatting sqref="C98:M98">
    <cfRule type="expression" dxfId="3916" priority="98">
      <formula>C$9&gt;=20/24</formula>
    </cfRule>
    <cfRule type="expression" dxfId="3915" priority="99">
      <formula>AND(C$9&gt;=14/24,C$9&lt;20/24)</formula>
    </cfRule>
    <cfRule type="expression" dxfId="3914" priority="100">
      <formula>AND(C$9&gt;=8/24,C$9&lt;14/24)</formula>
    </cfRule>
    <cfRule type="expression" dxfId="3913" priority="101">
      <formula>C$9&lt;8/24</formula>
    </cfRule>
  </conditionalFormatting>
  <conditionalFormatting sqref="N98:R98">
    <cfRule type="expression" dxfId="3912" priority="94">
      <formula>N$9&gt;=20/24</formula>
    </cfRule>
    <cfRule type="expression" dxfId="3911" priority="95">
      <formula>AND(N$9&gt;=14/24,N$9&lt;20/24)</formula>
    </cfRule>
    <cfRule type="expression" dxfId="3910" priority="96">
      <formula>AND(N$9&gt;=8/24,N$9&lt;14/24)</formula>
    </cfRule>
    <cfRule type="expression" dxfId="3909" priority="97">
      <formula>N$9&lt;8/24</formula>
    </cfRule>
  </conditionalFormatting>
  <conditionalFormatting sqref="S98:T98">
    <cfRule type="expression" dxfId="3908" priority="90">
      <formula>S$9&gt;=20/24</formula>
    </cfRule>
    <cfRule type="expression" dxfId="3907" priority="91">
      <formula>AND(S$9&gt;=14/24,S$9&lt;20/24)</formula>
    </cfRule>
    <cfRule type="expression" dxfId="3906" priority="92">
      <formula>AND(S$9&gt;=8/24,S$9&lt;14/24)</formula>
    </cfRule>
    <cfRule type="expression" dxfId="3905" priority="93">
      <formula>S$9&lt;8/24</formula>
    </cfRule>
  </conditionalFormatting>
  <conditionalFormatting sqref="M94:N94">
    <cfRule type="expression" dxfId="3904" priority="86">
      <formula>M$9&gt;=20/24</formula>
    </cfRule>
    <cfRule type="expression" dxfId="3903" priority="87">
      <formula>AND(M$9&gt;=14/24,M$9&lt;20/24)</formula>
    </cfRule>
    <cfRule type="expression" dxfId="3902" priority="88">
      <formula>AND(M$9&gt;=8/24,M$9&lt;14/24)</formula>
    </cfRule>
    <cfRule type="expression" dxfId="3901" priority="89">
      <formula>M$9&lt;8/24</formula>
    </cfRule>
  </conditionalFormatting>
  <conditionalFormatting sqref="G94:L94">
    <cfRule type="expression" dxfId="3900" priority="82">
      <formula>G$9&gt;=20/24</formula>
    </cfRule>
    <cfRule type="expression" dxfId="3899" priority="83">
      <formula>AND(G$9&gt;=14/24,G$9&lt;20/24)</formula>
    </cfRule>
    <cfRule type="expression" dxfId="3898" priority="84">
      <formula>AND(G$9&gt;=8/24,G$9&lt;14/24)</formula>
    </cfRule>
    <cfRule type="expression" dxfId="3897" priority="85">
      <formula>G$9&lt;8/24</formula>
    </cfRule>
  </conditionalFormatting>
  <conditionalFormatting sqref="U94:W94">
    <cfRule type="expression" dxfId="3896" priority="78">
      <formula>U$9&gt;=20/24</formula>
    </cfRule>
    <cfRule type="expression" dxfId="3895" priority="79">
      <formula>AND(U$9&gt;=14/24,U$9&lt;20/24)</formula>
    </cfRule>
    <cfRule type="expression" dxfId="3894" priority="80">
      <formula>AND(U$9&gt;=8/24,U$9&lt;14/24)</formula>
    </cfRule>
    <cfRule type="expression" dxfId="3893" priority="81">
      <formula>U$9&lt;8/24</formula>
    </cfRule>
  </conditionalFormatting>
  <conditionalFormatting sqref="N94:T94">
    <cfRule type="expression" dxfId="3892" priority="74">
      <formula>N$9&gt;=20/24</formula>
    </cfRule>
    <cfRule type="expression" dxfId="3891" priority="75">
      <formula>AND(N$9&gt;=14/24,N$9&lt;20/24)</formula>
    </cfRule>
    <cfRule type="expression" dxfId="3890" priority="76">
      <formula>AND(N$9&gt;=8/24,N$9&lt;14/24)</formula>
    </cfRule>
    <cfRule type="expression" dxfId="3889" priority="77">
      <formula>N$9&lt;8/24</formula>
    </cfRule>
  </conditionalFormatting>
  <conditionalFormatting sqref="U99:AA99">
    <cfRule type="expression" dxfId="3888" priority="70">
      <formula>U$9&gt;=20/24</formula>
    </cfRule>
    <cfRule type="expression" dxfId="3887" priority="71">
      <formula>AND(U$9&gt;=14/24,U$9&lt;20/24)</formula>
    </cfRule>
    <cfRule type="expression" dxfId="3886" priority="72">
      <formula>AND(U$9&gt;=8/24,U$9&lt;14/24)</formula>
    </cfRule>
    <cfRule type="expression" dxfId="3885" priority="73">
      <formula>U$9&lt;8/24</formula>
    </cfRule>
  </conditionalFormatting>
  <conditionalFormatting sqref="C99:M99">
    <cfRule type="expression" dxfId="3884" priority="66">
      <formula>C$9&gt;=20/24</formula>
    </cfRule>
    <cfRule type="expression" dxfId="3883" priority="67">
      <formula>AND(C$9&gt;=14/24,C$9&lt;20/24)</formula>
    </cfRule>
    <cfRule type="expression" dxfId="3882" priority="68">
      <formula>AND(C$9&gt;=8/24,C$9&lt;14/24)</formula>
    </cfRule>
    <cfRule type="expression" dxfId="3881" priority="69">
      <formula>C$9&lt;8/24</formula>
    </cfRule>
  </conditionalFormatting>
  <conditionalFormatting sqref="N99:R99">
    <cfRule type="expression" dxfId="3880" priority="62">
      <formula>N$9&gt;=20/24</formula>
    </cfRule>
    <cfRule type="expression" dxfId="3879" priority="63">
      <formula>AND(N$9&gt;=14/24,N$9&lt;20/24)</formula>
    </cfRule>
    <cfRule type="expression" dxfId="3878" priority="64">
      <formula>AND(N$9&gt;=8/24,N$9&lt;14/24)</formula>
    </cfRule>
    <cfRule type="expression" dxfId="3877" priority="65">
      <formula>N$9&lt;8/24</formula>
    </cfRule>
  </conditionalFormatting>
  <conditionalFormatting sqref="S99:T99">
    <cfRule type="expression" dxfId="3876" priority="58">
      <formula>S$9&gt;=20/24</formula>
    </cfRule>
    <cfRule type="expression" dxfId="3875" priority="59">
      <formula>AND(S$9&gt;=14/24,S$9&lt;20/24)</formula>
    </cfRule>
    <cfRule type="expression" dxfId="3874" priority="60">
      <formula>AND(S$9&gt;=8/24,S$9&lt;14/24)</formula>
    </cfRule>
    <cfRule type="expression" dxfId="3873" priority="61">
      <formula>S$9&lt;8/24</formula>
    </cfRule>
  </conditionalFormatting>
  <conditionalFormatting sqref="AB58:AE59">
    <cfRule type="expression" dxfId="3872" priority="42">
      <formula>AB$9&gt;=20/24</formula>
    </cfRule>
    <cfRule type="expression" dxfId="3871" priority="43">
      <formula>AND(AB$9&gt;=14/24,AB$9&lt;20/24)</formula>
    </cfRule>
    <cfRule type="expression" dxfId="3870" priority="44">
      <formula>AND(AB$9&gt;=8/24,AB$9&lt;14/24)</formula>
    </cfRule>
    <cfRule type="expression" dxfId="3869" priority="45">
      <formula>AB$9&lt;8/24</formula>
    </cfRule>
  </conditionalFormatting>
  <conditionalFormatting sqref="AL33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68" priority="275">
      <formula>C$9&gt;=20/24</formula>
    </cfRule>
    <cfRule type="expression" dxfId="3867" priority="276">
      <formula>AND(C$9&gt;=14/24,C$9&lt;20/24)</formula>
    </cfRule>
    <cfRule type="expression" dxfId="3866" priority="277">
      <formula>AND(C$9&gt;=8/24,C$9&lt;14/24)</formula>
    </cfRule>
    <cfRule type="expression" dxfId="3865" priority="278">
      <formula>C$9&lt;8/24</formula>
    </cfRule>
  </conditionalFormatting>
  <conditionalFormatting sqref="A200">
    <cfRule type="expression" dxfId="3864" priority="279">
      <formula>$AH200=0</formula>
    </cfRule>
  </conditionalFormatting>
  <conditionalFormatting sqref="AG212">
    <cfRule type="expression" dxfId="3863" priority="280">
      <formula>B$9&gt;=20/24</formula>
    </cfRule>
    <cfRule type="expression" dxfId="3862" priority="281">
      <formula>AND(B$9&gt;=14/24,B$9&lt;20/24)</formula>
    </cfRule>
    <cfRule type="expression" dxfId="3861" priority="282">
      <formula>AND(B$9&gt;=8/24,B$9&lt;14/24)</formula>
    </cfRule>
    <cfRule type="expression" dxfId="3860" priority="283">
      <formula>B$9&lt;8/24</formula>
    </cfRule>
  </conditionalFormatting>
  <conditionalFormatting sqref="S8">
    <cfRule type="expression" dxfId="3859" priority="36">
      <formula>U$9&gt;=20/24</formula>
    </cfRule>
    <cfRule type="expression" dxfId="3858" priority="37">
      <formula>AND(U$9&gt;=14/24,U$9&lt;20/24)</formula>
    </cfRule>
    <cfRule type="expression" dxfId="3857" priority="38">
      <formula>AND(U$9&gt;=8/24,U$9&lt;14/24)</formula>
    </cfRule>
    <cfRule type="expression" dxfId="3856" priority="39">
      <formula>U$9&lt;8/24</formula>
    </cfRule>
  </conditionalFormatting>
  <conditionalFormatting sqref="AB8">
    <cfRule type="expression" dxfId="3855" priority="32">
      <formula>AD$9&gt;=20/24</formula>
    </cfRule>
    <cfRule type="expression" dxfId="3854" priority="33">
      <formula>AND(AD$9&gt;=14/24,AD$9&lt;20/24)</formula>
    </cfRule>
    <cfRule type="expression" dxfId="3853" priority="34">
      <formula>AND(AD$9&gt;=8/24,AD$9&lt;14/24)</formula>
    </cfRule>
    <cfRule type="expression" dxfId="3852" priority="35">
      <formula>AD$9&lt;8/24</formula>
    </cfRule>
  </conditionalFormatting>
  <conditionalFormatting sqref="AH212:AX212">
    <cfRule type="expression" dxfId="3851" priority="284">
      <formula>AG$9&gt;=20/24</formula>
    </cfRule>
    <cfRule type="expression" dxfId="3850" priority="285">
      <formula>AND(AG$9&gt;=14/24,AG$9&lt;20/24)</formula>
    </cfRule>
    <cfRule type="expression" dxfId="3849" priority="286">
      <formula>AND(AG$9&gt;=8/24,AG$9&lt;14/24)</formula>
    </cfRule>
    <cfRule type="expression" dxfId="3848" priority="287">
      <formula>AG$9&lt;8/24</formula>
    </cfRule>
  </conditionalFormatting>
  <conditionalFormatting sqref="T212">
    <cfRule type="expression" dxfId="3847" priority="288">
      <formula>AX$9&gt;=20/24</formula>
    </cfRule>
    <cfRule type="expression" dxfId="3846" priority="289">
      <formula>AND(AX$9&gt;=14/24,AX$9&lt;20/24)</formula>
    </cfRule>
    <cfRule type="expression" dxfId="3845" priority="290">
      <formula>AND(AX$9&gt;=8/24,AX$9&lt;14/24)</formula>
    </cfRule>
    <cfRule type="expression" dxfId="3844" priority="291">
      <formula>AX$9&lt;8/24</formula>
    </cfRule>
  </conditionalFormatting>
  <conditionalFormatting sqref="A99">
    <cfRule type="expression" dxfId="3843" priority="31">
      <formula>$AH99=0</formula>
    </cfRule>
  </conditionalFormatting>
  <conditionalFormatting sqref="M33:AA33">
    <cfRule type="expression" dxfId="3842" priority="27">
      <formula>M$9&gt;=20/24</formula>
    </cfRule>
    <cfRule type="expression" dxfId="3841" priority="28">
      <formula>AND(M$9&gt;=14/24,M$9&lt;20/24)</formula>
    </cfRule>
    <cfRule type="expression" dxfId="3840" priority="29">
      <formula>AND(M$9&gt;=8/24,M$9&lt;14/24)</formula>
    </cfRule>
    <cfRule type="expression" dxfId="3839" priority="30">
      <formula>M$9&lt;8/24</formula>
    </cfRule>
  </conditionalFormatting>
  <conditionalFormatting sqref="AB33:AF33">
    <cfRule type="expression" dxfId="3838" priority="23">
      <formula>AB$9&gt;=20/24</formula>
    </cfRule>
    <cfRule type="expression" dxfId="3837" priority="24">
      <formula>AND(AB$9&gt;=14/24,AB$9&lt;20/24)</formula>
    </cfRule>
    <cfRule type="expression" dxfId="3836" priority="25">
      <formula>AND(AB$9&gt;=8/24,AB$9&lt;14/24)</formula>
    </cfRule>
    <cfRule type="expression" dxfId="3835" priority="26">
      <formula>AB$9&lt;8/24</formula>
    </cfRule>
  </conditionalFormatting>
  <conditionalFormatting sqref="B33:AF33">
    <cfRule type="expression" dxfId="3834" priority="18">
      <formula>B33&gt;$AG33</formula>
    </cfRule>
  </conditionalFormatting>
  <conditionalFormatting sqref="B53:B55">
    <cfRule type="expression" dxfId="3833" priority="14">
      <formula>B$9&gt;=20/24</formula>
    </cfRule>
    <cfRule type="expression" dxfId="3832" priority="15">
      <formula>AND(B$9&gt;=14/24,B$9&lt;20/24)</formula>
    </cfRule>
    <cfRule type="expression" dxfId="3831" priority="16">
      <formula>AND(B$9&gt;=8/24,B$9&lt;14/24)</formula>
    </cfRule>
    <cfRule type="expression" dxfId="3830" priority="17">
      <formula>B$9&lt;8/24</formula>
    </cfRule>
  </conditionalFormatting>
  <conditionalFormatting sqref="B53:B55">
    <cfRule type="expression" dxfId="3829" priority="13">
      <formula>B53&gt;$AG53</formula>
    </cfRule>
  </conditionalFormatting>
  <conditionalFormatting sqref="B57:C57">
    <cfRule type="expression" dxfId="3828" priority="9">
      <formula>B$9&gt;=20/24</formula>
    </cfRule>
    <cfRule type="expression" dxfId="3827" priority="10">
      <formula>AND(B$9&gt;=14/24,B$9&lt;20/24)</formula>
    </cfRule>
    <cfRule type="expression" dxfId="3826" priority="11">
      <formula>AND(B$9&gt;=8/24,B$9&lt;14/24)</formula>
    </cfRule>
    <cfRule type="expression" dxfId="3825" priority="12">
      <formula>B$9&lt;8/24</formula>
    </cfRule>
  </conditionalFormatting>
  <conditionalFormatting sqref="B60:L67 M61:O67">
    <cfRule type="expression" dxfId="3824" priority="5">
      <formula>B$9&gt;=20/24</formula>
    </cfRule>
    <cfRule type="expression" dxfId="3823" priority="6">
      <formula>AND(B$9&gt;=14/24,B$9&lt;20/24)</formula>
    </cfRule>
    <cfRule type="expression" dxfId="3822" priority="7">
      <formula>AND(B$9&gt;=8/24,B$9&lt;14/24)</formula>
    </cfRule>
    <cfRule type="expression" dxfId="3821" priority="8">
      <formula>B$9&lt;8/24</formula>
    </cfRule>
  </conditionalFormatting>
  <conditionalFormatting sqref="B59:C59">
    <cfRule type="expression" dxfId="3820" priority="1">
      <formula>B$9&gt;=20/24</formula>
    </cfRule>
    <cfRule type="expression" dxfId="3819" priority="2">
      <formula>AND(B$9&gt;=14/24,B$9&lt;20/24)</formula>
    </cfRule>
    <cfRule type="expression" dxfId="3818" priority="3">
      <formula>AND(B$9&gt;=8/24,B$9&lt;14/24)</formula>
    </cfRule>
    <cfRule type="expression" dxfId="3817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1" id="{23EA429F-0981-4C19-8381-6F817CD6CD6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AD11" sqref="AD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2078/09/20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155.4</v>
      </c>
      <c r="C5" s="32">
        <f t="shared" si="0"/>
        <v>145.30000000000001</v>
      </c>
      <c r="D5" s="32">
        <f t="shared" si="0"/>
        <v>141.30000000000001</v>
      </c>
      <c r="E5" s="32">
        <f t="shared" si="0"/>
        <v>192</v>
      </c>
      <c r="F5" s="32">
        <f t="shared" si="0"/>
        <v>258</v>
      </c>
      <c r="G5" s="32">
        <f t="shared" si="0"/>
        <v>253</v>
      </c>
      <c r="H5" s="32">
        <f t="shared" si="0"/>
        <v>315</v>
      </c>
      <c r="I5" s="32">
        <f t="shared" si="0"/>
        <v>280.8</v>
      </c>
      <c r="J5" s="32">
        <f t="shared" si="0"/>
        <v>297</v>
      </c>
      <c r="K5" s="32">
        <f t="shared" si="0"/>
        <v>135.6</v>
      </c>
      <c r="L5" s="32">
        <f t="shared" si="0"/>
        <v>207.5</v>
      </c>
      <c r="M5" s="32">
        <f t="shared" si="0"/>
        <v>136.4</v>
      </c>
      <c r="N5" s="32">
        <f t="shared" si="0"/>
        <v>341</v>
      </c>
      <c r="O5" s="32">
        <f t="shared" si="0"/>
        <v>467.1</v>
      </c>
      <c r="P5" s="32">
        <f t="shared" si="0"/>
        <v>473.7</v>
      </c>
      <c r="Q5" s="32">
        <f t="shared" si="0"/>
        <v>511.1</v>
      </c>
      <c r="R5" s="32">
        <f t="shared" si="0"/>
        <v>495.4</v>
      </c>
      <c r="S5" s="32">
        <f t="shared" si="0"/>
        <v>504.8</v>
      </c>
      <c r="T5" s="32">
        <f t="shared" si="0"/>
        <v>488.40000000000003</v>
      </c>
      <c r="U5" s="32">
        <f t="shared" si="0"/>
        <v>246.2</v>
      </c>
      <c r="V5" s="32">
        <f t="shared" si="0"/>
        <v>213.4</v>
      </c>
      <c r="W5" s="32">
        <f t="shared" si="0"/>
        <v>272.7</v>
      </c>
      <c r="X5" s="32">
        <f t="shared" si="0"/>
        <v>200.6</v>
      </c>
      <c r="Y5" s="32">
        <f t="shared" si="0"/>
        <v>186.5</v>
      </c>
      <c r="Z5" s="32">
        <f t="shared" si="0"/>
        <v>310.3</v>
      </c>
      <c r="AA5" s="32">
        <f t="shared" si="0"/>
        <v>385.7</v>
      </c>
      <c r="AB5" s="32">
        <f t="shared" si="0"/>
        <v>387</v>
      </c>
      <c r="AC5" s="32">
        <f t="shared" si="0"/>
        <v>351</v>
      </c>
      <c r="AD5" s="32">
        <f t="shared" si="0"/>
        <v>293</v>
      </c>
      <c r="AE5" s="32">
        <f t="shared" si="0"/>
        <v>184</v>
      </c>
      <c r="AF5" s="32">
        <f>B68</f>
        <v>154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Load=872</v>
      </c>
      <c r="B7" s="37">
        <f>B75</f>
        <v>930.7399999999999</v>
      </c>
      <c r="C7" s="37">
        <f t="shared" ref="C7:AF7" si="1">C75</f>
        <v>910.74</v>
      </c>
      <c r="D7" s="37">
        <f t="shared" si="1"/>
        <v>889.84</v>
      </c>
      <c r="E7" s="37">
        <f t="shared" si="1"/>
        <v>891.64</v>
      </c>
      <c r="F7" s="37">
        <f t="shared" si="1"/>
        <v>872.14</v>
      </c>
      <c r="G7" s="37">
        <f t="shared" si="1"/>
        <v>941.93999999999983</v>
      </c>
      <c r="H7" s="37">
        <f t="shared" si="1"/>
        <v>983.54</v>
      </c>
      <c r="I7" s="37">
        <f t="shared" si="1"/>
        <v>1120.6399999999999</v>
      </c>
      <c r="J7" s="37">
        <f t="shared" si="1"/>
        <v>1219.3400000000001</v>
      </c>
      <c r="K7" s="37">
        <f t="shared" si="1"/>
        <v>1587.3400000000001</v>
      </c>
      <c r="L7" s="37">
        <f t="shared" si="1"/>
        <v>1480.5400000000002</v>
      </c>
      <c r="M7" s="37">
        <f t="shared" si="1"/>
        <v>1590.1400000000003</v>
      </c>
      <c r="N7" s="37">
        <f t="shared" si="1"/>
        <v>1501.3400000000001</v>
      </c>
      <c r="O7" s="37">
        <f t="shared" si="1"/>
        <v>1449.94</v>
      </c>
      <c r="P7" s="37">
        <f t="shared" si="1"/>
        <v>1413.6399999999999</v>
      </c>
      <c r="Q7" s="37">
        <f t="shared" si="1"/>
        <v>1249.44</v>
      </c>
      <c r="R7" s="37">
        <f t="shared" si="1"/>
        <v>1255.04</v>
      </c>
      <c r="S7" s="37">
        <f t="shared" si="1"/>
        <v>1248.24</v>
      </c>
      <c r="T7" s="37">
        <f t="shared" si="1"/>
        <v>1271.44</v>
      </c>
      <c r="U7" s="37">
        <f t="shared" si="1"/>
        <v>1326.44</v>
      </c>
      <c r="V7" s="37">
        <f t="shared" si="1"/>
        <v>1359.74</v>
      </c>
      <c r="W7" s="37">
        <f t="shared" si="1"/>
        <v>1512.3400000000001</v>
      </c>
      <c r="X7" s="37">
        <f t="shared" si="1"/>
        <v>1628.8400000000001</v>
      </c>
      <c r="Y7" s="37">
        <f t="shared" si="1"/>
        <v>1613.2400000000002</v>
      </c>
      <c r="Z7" s="37">
        <f t="shared" si="1"/>
        <v>1600.9400000000003</v>
      </c>
      <c r="AA7" s="37">
        <f t="shared" si="1"/>
        <v>1542.44</v>
      </c>
      <c r="AB7" s="37">
        <f t="shared" si="1"/>
        <v>1460.14</v>
      </c>
      <c r="AC7" s="37">
        <f t="shared" si="1"/>
        <v>1420.24</v>
      </c>
      <c r="AD7" s="37">
        <f t="shared" si="1"/>
        <v>1289.1400000000001</v>
      </c>
      <c r="AE7" s="37">
        <f t="shared" si="1"/>
        <v>1079.1400000000001</v>
      </c>
      <c r="AF7" s="37">
        <f t="shared" si="1"/>
        <v>971.14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80</v>
      </c>
      <c r="C11" s="49">
        <v>80</v>
      </c>
      <c r="D11" s="49">
        <v>60</v>
      </c>
      <c r="E11" s="49">
        <v>60</v>
      </c>
      <c r="F11" s="49">
        <v>60</v>
      </c>
      <c r="G11" s="49">
        <v>50</v>
      </c>
      <c r="H11" s="49">
        <v>50</v>
      </c>
      <c r="I11" s="49">
        <v>100</v>
      </c>
      <c r="J11" s="49">
        <v>100</v>
      </c>
      <c r="K11" s="49">
        <v>370</v>
      </c>
      <c r="L11" s="49">
        <v>380</v>
      </c>
      <c r="M11" s="50">
        <v>415</v>
      </c>
      <c r="N11" s="50">
        <v>415</v>
      </c>
      <c r="O11" s="50">
        <v>125</v>
      </c>
      <c r="P11" s="50">
        <v>20</v>
      </c>
      <c r="Q11" s="50">
        <v>20</v>
      </c>
      <c r="R11" s="50">
        <v>20</v>
      </c>
      <c r="S11" s="50">
        <v>15.8</v>
      </c>
      <c r="T11" s="50">
        <v>15.1</v>
      </c>
      <c r="U11" s="50">
        <v>16.8</v>
      </c>
      <c r="V11" s="50">
        <v>250</v>
      </c>
      <c r="W11" s="50">
        <v>350</v>
      </c>
      <c r="X11" s="50">
        <v>400</v>
      </c>
      <c r="Y11" s="50">
        <v>456</v>
      </c>
      <c r="Z11" s="50">
        <v>456</v>
      </c>
      <c r="AA11" s="50">
        <v>280</v>
      </c>
      <c r="AB11" s="50">
        <v>130</v>
      </c>
      <c r="AC11" s="50">
        <v>110</v>
      </c>
      <c r="AD11" s="50">
        <v>50</v>
      </c>
      <c r="AE11" s="50">
        <v>40</v>
      </c>
      <c r="AF11" s="49">
        <v>80</v>
      </c>
      <c r="AG11" s="53">
        <v>456</v>
      </c>
      <c r="AH11" s="54">
        <f>MAX(B11:AF11)</f>
        <v>456</v>
      </c>
      <c r="AI11" s="55">
        <f>MIN(B11:AF11)</f>
        <v>15.1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44</v>
      </c>
      <c r="C12" s="49">
        <v>44</v>
      </c>
      <c r="D12" s="49">
        <v>44</v>
      </c>
      <c r="E12" s="49">
        <v>44</v>
      </c>
      <c r="F12" s="49">
        <v>44</v>
      </c>
      <c r="G12" s="49">
        <v>44</v>
      </c>
      <c r="H12" s="49">
        <v>44</v>
      </c>
      <c r="I12" s="49">
        <v>44</v>
      </c>
      <c r="J12" s="49">
        <v>44</v>
      </c>
      <c r="K12" s="49">
        <v>44</v>
      </c>
      <c r="L12" s="49">
        <v>44</v>
      </c>
      <c r="M12" s="49">
        <v>44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58">
        <v>44</v>
      </c>
      <c r="Y12" s="58">
        <v>44</v>
      </c>
      <c r="Z12" s="58">
        <v>44</v>
      </c>
      <c r="AA12" s="58">
        <v>44</v>
      </c>
      <c r="AB12" s="50">
        <v>44</v>
      </c>
      <c r="AC12" s="50">
        <v>44</v>
      </c>
      <c r="AD12" s="50">
        <v>44</v>
      </c>
      <c r="AE12" s="50">
        <v>44</v>
      </c>
      <c r="AF12" s="50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25.3</v>
      </c>
      <c r="C13" s="49">
        <v>25.3</v>
      </c>
      <c r="D13" s="49">
        <v>25.3</v>
      </c>
      <c r="E13" s="49">
        <v>25.3</v>
      </c>
      <c r="F13" s="49">
        <v>25.3</v>
      </c>
      <c r="G13" s="49">
        <v>25.3</v>
      </c>
      <c r="H13" s="49">
        <v>25.3</v>
      </c>
      <c r="I13" s="49">
        <v>25.3</v>
      </c>
      <c r="J13" s="49">
        <v>25.3</v>
      </c>
      <c r="K13" s="49">
        <v>25.3</v>
      </c>
      <c r="L13" s="49">
        <v>25.3</v>
      </c>
      <c r="M13" s="49">
        <v>25.3</v>
      </c>
      <c r="N13" s="49">
        <v>25.3</v>
      </c>
      <c r="O13" s="49">
        <v>25.3</v>
      </c>
      <c r="P13" s="49">
        <v>25.3</v>
      </c>
      <c r="Q13" s="49">
        <v>24.6</v>
      </c>
      <c r="R13" s="49">
        <v>24.6</v>
      </c>
      <c r="S13" s="49">
        <v>24.6</v>
      </c>
      <c r="T13" s="49">
        <v>24.6</v>
      </c>
      <c r="U13" s="49">
        <v>24.6</v>
      </c>
      <c r="V13" s="49">
        <v>24.6</v>
      </c>
      <c r="W13" s="49">
        <v>24.6</v>
      </c>
      <c r="X13" s="58">
        <v>24.6</v>
      </c>
      <c r="Y13" s="58">
        <v>24.6</v>
      </c>
      <c r="Z13" s="58">
        <v>24.6</v>
      </c>
      <c r="AA13" s="58">
        <v>24.6</v>
      </c>
      <c r="AB13" s="58">
        <v>24.6</v>
      </c>
      <c r="AC13" s="58">
        <v>24.6</v>
      </c>
      <c r="AD13" s="58">
        <v>24.6</v>
      </c>
      <c r="AE13" s="58">
        <v>24.6</v>
      </c>
      <c r="AF13" s="58">
        <v>24.6</v>
      </c>
      <c r="AG13" s="59">
        <v>52.4</v>
      </c>
      <c r="AH13" s="54">
        <f t="shared" si="2"/>
        <v>25.3</v>
      </c>
      <c r="AI13" s="55">
        <f t="shared" si="3"/>
        <v>24.6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47.1</v>
      </c>
      <c r="C14" s="49">
        <v>47.4</v>
      </c>
      <c r="D14" s="49">
        <v>47.4</v>
      </c>
      <c r="E14" s="49">
        <v>47.4</v>
      </c>
      <c r="F14" s="49">
        <v>47.4</v>
      </c>
      <c r="G14" s="49">
        <v>47.4</v>
      </c>
      <c r="H14" s="49">
        <v>47.4</v>
      </c>
      <c r="I14" s="49">
        <v>47.4</v>
      </c>
      <c r="J14" s="49">
        <v>47.4</v>
      </c>
      <c r="K14" s="49">
        <v>47.4</v>
      </c>
      <c r="L14" s="49">
        <v>47.4</v>
      </c>
      <c r="M14" s="50">
        <v>47.4</v>
      </c>
      <c r="N14" s="50">
        <v>47.4</v>
      </c>
      <c r="O14" s="50">
        <v>47.4</v>
      </c>
      <c r="P14" s="50">
        <v>46.2</v>
      </c>
      <c r="Q14" s="50">
        <v>45.6</v>
      </c>
      <c r="R14" s="50">
        <v>45.6</v>
      </c>
      <c r="S14" s="50">
        <v>45.6</v>
      </c>
      <c r="T14" s="50">
        <v>45.6</v>
      </c>
      <c r="U14" s="50">
        <v>45.6</v>
      </c>
      <c r="V14" s="50">
        <v>45.6</v>
      </c>
      <c r="W14" s="50">
        <v>45.6</v>
      </c>
      <c r="X14" s="60">
        <v>45.6</v>
      </c>
      <c r="Y14" s="60">
        <v>45.6</v>
      </c>
      <c r="Z14" s="60">
        <v>45.6</v>
      </c>
      <c r="AA14" s="60">
        <v>45.6</v>
      </c>
      <c r="AB14" s="60">
        <v>45.6</v>
      </c>
      <c r="AC14" s="60">
        <v>45.6</v>
      </c>
      <c r="AD14" s="60">
        <v>45.6</v>
      </c>
      <c r="AE14" s="60">
        <v>45.6</v>
      </c>
      <c r="AF14" s="60">
        <v>45.6</v>
      </c>
      <c r="AG14" s="59">
        <v>50</v>
      </c>
      <c r="AH14" s="54">
        <f t="shared" si="2"/>
        <v>47.4</v>
      </c>
      <c r="AI14" s="55">
        <f t="shared" si="3"/>
        <v>45.6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23.4</v>
      </c>
      <c r="C15" s="61">
        <v>24</v>
      </c>
      <c r="D15" s="61">
        <v>24</v>
      </c>
      <c r="E15" s="61">
        <v>24</v>
      </c>
      <c r="F15" s="61">
        <v>24</v>
      </c>
      <c r="G15" s="61">
        <v>24</v>
      </c>
      <c r="H15" s="61">
        <v>24</v>
      </c>
      <c r="I15" s="61">
        <v>24</v>
      </c>
      <c r="J15" s="61">
        <v>24</v>
      </c>
      <c r="K15" s="61">
        <v>24</v>
      </c>
      <c r="L15" s="61">
        <v>24</v>
      </c>
      <c r="M15" s="50">
        <v>24</v>
      </c>
      <c r="N15" s="50">
        <v>24</v>
      </c>
      <c r="O15" s="50">
        <v>24</v>
      </c>
      <c r="P15" s="50">
        <v>23.2</v>
      </c>
      <c r="Q15" s="50">
        <v>23.7</v>
      </c>
      <c r="R15" s="50">
        <v>23.7</v>
      </c>
      <c r="S15" s="50">
        <v>23.7</v>
      </c>
      <c r="T15" s="50">
        <v>23.7</v>
      </c>
      <c r="U15" s="50">
        <v>23.7</v>
      </c>
      <c r="V15" s="50">
        <v>23.7</v>
      </c>
      <c r="W15" s="50">
        <v>23.7</v>
      </c>
      <c r="X15" s="60">
        <v>23.7</v>
      </c>
      <c r="Y15" s="60">
        <v>23.7</v>
      </c>
      <c r="Z15" s="60">
        <v>23.7</v>
      </c>
      <c r="AA15" s="60">
        <v>23.7</v>
      </c>
      <c r="AB15" s="60">
        <v>23.7</v>
      </c>
      <c r="AC15" s="60">
        <v>23.7</v>
      </c>
      <c r="AD15" s="60">
        <v>23.7</v>
      </c>
      <c r="AE15" s="60">
        <v>23.7</v>
      </c>
      <c r="AF15" s="60">
        <v>23.7</v>
      </c>
      <c r="AG15" s="62">
        <v>45</v>
      </c>
      <c r="AH15" s="54">
        <f t="shared" si="2"/>
        <v>24</v>
      </c>
      <c r="AI15" s="55">
        <f t="shared" si="3"/>
        <v>23.2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11.7</v>
      </c>
      <c r="C19" s="49">
        <v>11.7</v>
      </c>
      <c r="D19" s="49">
        <v>11.7</v>
      </c>
      <c r="E19" s="49">
        <v>11.7</v>
      </c>
      <c r="F19" s="49">
        <v>11.7</v>
      </c>
      <c r="G19" s="49">
        <v>11.7</v>
      </c>
      <c r="H19" s="49">
        <v>11.7</v>
      </c>
      <c r="I19" s="49">
        <v>11.7</v>
      </c>
      <c r="J19" s="49">
        <v>11.7</v>
      </c>
      <c r="K19" s="49">
        <v>11.7</v>
      </c>
      <c r="L19" s="49">
        <v>11.7</v>
      </c>
      <c r="M19" s="50">
        <v>11.7</v>
      </c>
      <c r="N19" s="50">
        <v>11.7</v>
      </c>
      <c r="O19" s="50">
        <v>11.7</v>
      </c>
      <c r="P19" s="50">
        <v>11.7</v>
      </c>
      <c r="Q19" s="50">
        <v>11.6</v>
      </c>
      <c r="R19" s="50">
        <v>11.6</v>
      </c>
      <c r="S19" s="50">
        <v>11.6</v>
      </c>
      <c r="T19" s="50">
        <v>11.6</v>
      </c>
      <c r="U19" s="50">
        <v>11.6</v>
      </c>
      <c r="V19" s="50">
        <v>11.6</v>
      </c>
      <c r="W19" s="50">
        <v>11.6</v>
      </c>
      <c r="X19" s="50">
        <v>11.6</v>
      </c>
      <c r="Y19" s="50">
        <v>11.6</v>
      </c>
      <c r="Z19" s="50">
        <v>11.6</v>
      </c>
      <c r="AA19" s="50">
        <v>11.6</v>
      </c>
      <c r="AB19" s="50">
        <v>11.6</v>
      </c>
      <c r="AC19" s="50">
        <v>11.6</v>
      </c>
      <c r="AD19" s="50">
        <v>11.6</v>
      </c>
      <c r="AE19" s="50">
        <v>11.6</v>
      </c>
      <c r="AF19" s="50">
        <v>11.6</v>
      </c>
      <c r="AG19" s="59">
        <v>30</v>
      </c>
      <c r="AH19" s="54">
        <f t="shared" si="2"/>
        <v>11.7</v>
      </c>
      <c r="AI19" s="55">
        <f t="shared" si="3"/>
        <v>11.6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14.7</v>
      </c>
      <c r="C22" s="49">
        <v>14.7</v>
      </c>
      <c r="D22" s="49">
        <v>14.7</v>
      </c>
      <c r="E22" s="49">
        <v>14.7</v>
      </c>
      <c r="F22" s="49">
        <v>14.7</v>
      </c>
      <c r="G22" s="49">
        <v>14.7</v>
      </c>
      <c r="H22" s="49">
        <v>14.7</v>
      </c>
      <c r="I22" s="49">
        <v>14.7</v>
      </c>
      <c r="J22" s="49">
        <v>14.7</v>
      </c>
      <c r="K22" s="49">
        <v>14.7</v>
      </c>
      <c r="L22" s="49">
        <v>14.7</v>
      </c>
      <c r="M22" s="50">
        <v>14.7</v>
      </c>
      <c r="N22" s="50">
        <v>14.7</v>
      </c>
      <c r="O22" s="50">
        <v>14.7</v>
      </c>
      <c r="P22" s="50">
        <v>14.7</v>
      </c>
      <c r="Q22" s="50">
        <v>14.7</v>
      </c>
      <c r="R22" s="50">
        <v>14.7</v>
      </c>
      <c r="S22" s="50">
        <v>14.7</v>
      </c>
      <c r="T22" s="50">
        <v>14.7</v>
      </c>
      <c r="U22" s="50">
        <v>14.7</v>
      </c>
      <c r="V22" s="50">
        <v>14.7</v>
      </c>
      <c r="W22" s="50">
        <v>14.7</v>
      </c>
      <c r="X22" s="50">
        <v>14.7</v>
      </c>
      <c r="Y22" s="50">
        <v>14.7</v>
      </c>
      <c r="Z22" s="50">
        <v>14.7</v>
      </c>
      <c r="AA22" s="50">
        <v>14.7</v>
      </c>
      <c r="AB22" s="50">
        <v>14.7</v>
      </c>
      <c r="AC22" s="50">
        <v>14.7</v>
      </c>
      <c r="AD22" s="50">
        <v>14.7</v>
      </c>
      <c r="AE22" s="50">
        <v>14.7</v>
      </c>
      <c r="AF22" s="50">
        <v>14.7</v>
      </c>
      <c r="AG22" s="59">
        <v>25</v>
      </c>
      <c r="AH22" s="54">
        <f t="shared" si="2"/>
        <v>14.7</v>
      </c>
      <c r="AI22" s="55">
        <f t="shared" si="3"/>
        <v>14.7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16.2</v>
      </c>
      <c r="C24" s="49">
        <v>16.100000000000001</v>
      </c>
      <c r="D24" s="49">
        <v>16.100000000000001</v>
      </c>
      <c r="E24" s="49">
        <v>16.100000000000001</v>
      </c>
      <c r="F24" s="49">
        <v>15.6</v>
      </c>
      <c r="G24" s="49">
        <v>15.4</v>
      </c>
      <c r="H24" s="49">
        <v>14.5</v>
      </c>
      <c r="I24" s="49">
        <v>14.6</v>
      </c>
      <c r="J24" s="49">
        <v>14.5</v>
      </c>
      <c r="K24" s="49">
        <v>14.4</v>
      </c>
      <c r="L24" s="49">
        <v>14.4</v>
      </c>
      <c r="M24" s="50">
        <v>14.4</v>
      </c>
      <c r="N24" s="50">
        <v>14.4</v>
      </c>
      <c r="O24" s="50">
        <v>14.4</v>
      </c>
      <c r="P24" s="50">
        <v>14.4</v>
      </c>
      <c r="Q24" s="50">
        <v>14.4</v>
      </c>
      <c r="R24" s="50">
        <v>14.4</v>
      </c>
      <c r="S24" s="50">
        <v>14.4</v>
      </c>
      <c r="T24" s="50">
        <v>14.4</v>
      </c>
      <c r="U24" s="50">
        <v>14.4</v>
      </c>
      <c r="V24" s="50">
        <v>14.4</v>
      </c>
      <c r="W24" s="50">
        <v>14.4</v>
      </c>
      <c r="X24" s="50">
        <v>14.4</v>
      </c>
      <c r="Y24" s="50">
        <v>14.4</v>
      </c>
      <c r="Z24" s="50">
        <v>14.4</v>
      </c>
      <c r="AA24" s="50">
        <v>14.4</v>
      </c>
      <c r="AB24" s="50">
        <v>16.600000000000001</v>
      </c>
      <c r="AC24" s="50">
        <v>16.600000000000001</v>
      </c>
      <c r="AD24" s="50">
        <v>16.600000000000001</v>
      </c>
      <c r="AE24" s="50">
        <v>16.600000000000001</v>
      </c>
      <c r="AF24" s="50">
        <v>16.600000000000001</v>
      </c>
      <c r="AG24" s="59">
        <v>25</v>
      </c>
      <c r="AH24" s="54">
        <f t="shared" si="2"/>
        <v>16.600000000000001</v>
      </c>
      <c r="AI24" s="55">
        <f t="shared" si="3"/>
        <v>14.4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9.6999999999999993</v>
      </c>
      <c r="C26" s="49">
        <v>9.6999999999999993</v>
      </c>
      <c r="D26" s="49">
        <v>9.6999999999999993</v>
      </c>
      <c r="E26" s="49">
        <v>9.6999999999999993</v>
      </c>
      <c r="F26" s="49">
        <v>9.6999999999999993</v>
      </c>
      <c r="G26" s="49">
        <v>9.6999999999999993</v>
      </c>
      <c r="H26" s="49">
        <v>9.6999999999999993</v>
      </c>
      <c r="I26" s="49">
        <v>9.6999999999999993</v>
      </c>
      <c r="J26" s="49">
        <v>9.6999999999999993</v>
      </c>
      <c r="K26" s="49">
        <v>9.6999999999999993</v>
      </c>
      <c r="L26" s="49">
        <v>9.6999999999999993</v>
      </c>
      <c r="M26" s="50">
        <v>9.6999999999999993</v>
      </c>
      <c r="N26" s="50">
        <v>9.6999999999999993</v>
      </c>
      <c r="O26" s="50">
        <v>9.6999999999999993</v>
      </c>
      <c r="P26" s="50">
        <v>9.6999999999999993</v>
      </c>
      <c r="Q26" s="50">
        <v>9.6999999999999993</v>
      </c>
      <c r="R26" s="50">
        <v>9.6999999999999993</v>
      </c>
      <c r="S26" s="50">
        <v>9.6999999999999993</v>
      </c>
      <c r="T26" s="50">
        <v>9.6999999999999993</v>
      </c>
      <c r="U26" s="50">
        <v>9.6999999999999993</v>
      </c>
      <c r="V26" s="50">
        <v>9.6999999999999993</v>
      </c>
      <c r="W26" s="50">
        <v>9.6999999999999993</v>
      </c>
      <c r="X26" s="50">
        <v>9.6999999999999993</v>
      </c>
      <c r="Y26" s="50">
        <v>9.6999999999999993</v>
      </c>
      <c r="Z26" s="50">
        <v>9.6999999999999993</v>
      </c>
      <c r="AA26" s="50">
        <v>9.6999999999999993</v>
      </c>
      <c r="AB26" s="50">
        <v>9.6999999999999993</v>
      </c>
      <c r="AC26" s="50">
        <v>9.6999999999999993</v>
      </c>
      <c r="AD26" s="50">
        <v>9.6999999999999993</v>
      </c>
      <c r="AE26" s="50">
        <v>9.6999999999999993</v>
      </c>
      <c r="AF26" s="50">
        <v>9.6999999999999993</v>
      </c>
      <c r="AG26" s="59">
        <v>20</v>
      </c>
      <c r="AH26" s="54">
        <f t="shared" si="2"/>
        <v>9.6999999999999993</v>
      </c>
      <c r="AI26" s="55">
        <f t="shared" si="3"/>
        <v>9.6999999999999993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22.8+41.7</f>
        <v>64.5</v>
      </c>
      <c r="C37" s="61">
        <f>22.5+41.1</f>
        <v>63.6</v>
      </c>
      <c r="D37" s="61">
        <f>21.8+40.5</f>
        <v>62.3</v>
      </c>
      <c r="E37" s="61">
        <f>21.8+40.5</f>
        <v>62.3</v>
      </c>
      <c r="F37" s="61">
        <v>63.2</v>
      </c>
      <c r="G37" s="61">
        <v>63.6</v>
      </c>
      <c r="H37" s="61">
        <v>63.6</v>
      </c>
      <c r="I37" s="61">
        <v>63.6</v>
      </c>
      <c r="J37" s="61">
        <v>63.6</v>
      </c>
      <c r="K37" s="61">
        <v>63.6</v>
      </c>
      <c r="L37" s="61">
        <f>21.3+38.4</f>
        <v>59.7</v>
      </c>
      <c r="M37" s="70">
        <f>21.2+38.8</f>
        <v>60</v>
      </c>
      <c r="N37" s="70">
        <f>21.2+38.8</f>
        <v>60</v>
      </c>
      <c r="O37" s="70">
        <f>21.2+38.8</f>
        <v>60</v>
      </c>
      <c r="P37" s="70">
        <f>22.3+40.7</f>
        <v>63</v>
      </c>
      <c r="Q37" s="70">
        <f>21.9+40.4</f>
        <v>62.3</v>
      </c>
      <c r="R37" s="70">
        <f>21.9+40.4</f>
        <v>62.3</v>
      </c>
      <c r="S37" s="70">
        <v>62.2</v>
      </c>
      <c r="T37" s="70">
        <v>62.5</v>
      </c>
      <c r="U37" s="70">
        <v>58.2</v>
      </c>
      <c r="V37" s="70">
        <v>60</v>
      </c>
      <c r="W37" s="70">
        <v>60</v>
      </c>
      <c r="X37" s="70">
        <v>56.2</v>
      </c>
      <c r="Y37" s="70">
        <v>56.2</v>
      </c>
      <c r="Z37" s="70">
        <v>56.3</v>
      </c>
      <c r="AA37" s="70">
        <v>56.3</v>
      </c>
      <c r="AB37" s="70">
        <v>56.3</v>
      </c>
      <c r="AC37" s="70">
        <v>56.3</v>
      </c>
      <c r="AD37" s="70">
        <v>56.3</v>
      </c>
      <c r="AE37" s="70">
        <v>56.3</v>
      </c>
      <c r="AF37" s="70">
        <v>56.3</v>
      </c>
      <c r="AG37" s="67">
        <v>240</v>
      </c>
      <c r="AH37" s="54">
        <f t="shared" si="2"/>
        <v>64.5</v>
      </c>
      <c r="AI37" s="55">
        <f t="shared" si="3"/>
        <v>56.2</v>
      </c>
      <c r="AK37" s="56"/>
    </row>
    <row r="38" spans="1:88" ht="15.75" thickBot="1" x14ac:dyDescent="0.3">
      <c r="A38" s="71" t="s">
        <v>46</v>
      </c>
      <c r="B38" s="72">
        <f>SUM(B11:B36)</f>
        <v>536.79999999999995</v>
      </c>
      <c r="C38" s="72">
        <f t="shared" ref="C38:AF38" si="4">SUM(C11:C36)</f>
        <v>537.6</v>
      </c>
      <c r="D38" s="72">
        <f t="shared" si="4"/>
        <v>517.6</v>
      </c>
      <c r="E38" s="72">
        <f t="shared" si="4"/>
        <v>517.6</v>
      </c>
      <c r="F38" s="72">
        <f t="shared" si="4"/>
        <v>517.1</v>
      </c>
      <c r="G38" s="72">
        <f t="shared" si="4"/>
        <v>506.89999999999992</v>
      </c>
      <c r="H38" s="72">
        <f t="shared" ref="H38" si="5">SUM(H11:H36)</f>
        <v>505.99999999999994</v>
      </c>
      <c r="I38" s="72">
        <f t="shared" si="4"/>
        <v>556.1</v>
      </c>
      <c r="J38" s="72">
        <f t="shared" si="4"/>
        <v>556</v>
      </c>
      <c r="K38" s="72">
        <f t="shared" si="4"/>
        <v>825.9000000000002</v>
      </c>
      <c r="L38" s="72">
        <f t="shared" si="4"/>
        <v>835.9000000000002</v>
      </c>
      <c r="M38" s="72">
        <f t="shared" si="4"/>
        <v>870.9000000000002</v>
      </c>
      <c r="N38" s="72">
        <f t="shared" si="4"/>
        <v>870.9000000000002</v>
      </c>
      <c r="O38" s="72">
        <f t="shared" si="4"/>
        <v>580.9</v>
      </c>
      <c r="P38" s="72">
        <f t="shared" si="4"/>
        <v>473.89999999999992</v>
      </c>
      <c r="Q38" s="72">
        <f t="shared" si="4"/>
        <v>472.99999999999994</v>
      </c>
      <c r="R38" s="72">
        <f t="shared" si="4"/>
        <v>472.99999999999994</v>
      </c>
      <c r="S38" s="72">
        <f t="shared" si="4"/>
        <v>468.79999999999995</v>
      </c>
      <c r="T38" s="72">
        <f t="shared" si="4"/>
        <v>468.09999999999997</v>
      </c>
      <c r="U38" s="72">
        <f t="shared" si="4"/>
        <v>469.79999999999995</v>
      </c>
      <c r="V38" s="72">
        <f t="shared" si="4"/>
        <v>703</v>
      </c>
      <c r="W38" s="72">
        <f t="shared" si="4"/>
        <v>803.00000000000023</v>
      </c>
      <c r="X38" s="72">
        <f t="shared" si="4"/>
        <v>853.00000000000023</v>
      </c>
      <c r="Y38" s="72">
        <f t="shared" si="4"/>
        <v>909.00000000000023</v>
      </c>
      <c r="Z38" s="72">
        <f t="shared" si="4"/>
        <v>909.00000000000023</v>
      </c>
      <c r="AA38" s="72">
        <f t="shared" si="4"/>
        <v>733.00000000000011</v>
      </c>
      <c r="AB38" s="72">
        <f t="shared" si="4"/>
        <v>585.20000000000005</v>
      </c>
      <c r="AC38" s="72">
        <f t="shared" si="4"/>
        <v>565.20000000000005</v>
      </c>
      <c r="AD38" s="72">
        <f t="shared" si="4"/>
        <v>505.2</v>
      </c>
      <c r="AE38" s="72">
        <f t="shared" si="4"/>
        <v>495.2</v>
      </c>
      <c r="AF38" s="72">
        <f t="shared" si="4"/>
        <v>535.20000000000005</v>
      </c>
      <c r="AG38" s="67">
        <f>SUM(AG11:AG37)</f>
        <v>1492.8299999999997</v>
      </c>
      <c r="AH38" s="54">
        <f t="shared" si="2"/>
        <v>909.00000000000023</v>
      </c>
      <c r="AI38" s="55">
        <f t="shared" si="3"/>
        <v>468.09999999999997</v>
      </c>
      <c r="AK38" s="56"/>
    </row>
    <row r="39" spans="1:88" x14ac:dyDescent="0.25">
      <c r="A39" s="57" t="s">
        <v>47</v>
      </c>
      <c r="B39" s="49">
        <v>30.5</v>
      </c>
      <c r="C39" s="61">
        <v>30.8</v>
      </c>
      <c r="D39" s="61">
        <v>30.9</v>
      </c>
      <c r="E39" s="61">
        <v>30.8</v>
      </c>
      <c r="F39" s="61">
        <v>0</v>
      </c>
      <c r="G39" s="61">
        <v>0</v>
      </c>
      <c r="H39" s="61">
        <v>48</v>
      </c>
      <c r="I39" s="61">
        <v>48</v>
      </c>
      <c r="J39" s="61">
        <v>144</v>
      </c>
      <c r="K39" s="61">
        <v>144</v>
      </c>
      <c r="L39" s="61">
        <v>144</v>
      </c>
      <c r="M39" s="50">
        <v>145.9</v>
      </c>
      <c r="N39" s="50">
        <v>145.9</v>
      </c>
      <c r="O39" s="50">
        <v>145.9</v>
      </c>
      <c r="P39" s="50">
        <v>145.80000000000001</v>
      </c>
      <c r="Q39" s="50">
        <v>107.4</v>
      </c>
      <c r="R39" s="50">
        <v>95</v>
      </c>
      <c r="S39" s="50">
        <v>106.6</v>
      </c>
      <c r="T39" s="50">
        <v>116.7</v>
      </c>
      <c r="U39" s="50">
        <v>116.7</v>
      </c>
      <c r="V39" s="50">
        <v>143.69999999999999</v>
      </c>
      <c r="W39" s="50">
        <v>145.5</v>
      </c>
      <c r="X39" s="50">
        <v>145.5</v>
      </c>
      <c r="Y39" s="50">
        <v>145.5</v>
      </c>
      <c r="Z39" s="50">
        <v>145.5</v>
      </c>
      <c r="AA39" s="50">
        <v>145.5</v>
      </c>
      <c r="AB39" s="50">
        <v>145.5</v>
      </c>
      <c r="AC39" s="50">
        <v>145.5</v>
      </c>
      <c r="AD39" s="50">
        <v>145</v>
      </c>
      <c r="AE39" s="50">
        <v>70</v>
      </c>
      <c r="AF39" s="49">
        <v>45</v>
      </c>
      <c r="AG39" s="62">
        <v>144</v>
      </c>
      <c r="AH39" s="54">
        <f t="shared" si="2"/>
        <v>145.9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25</v>
      </c>
      <c r="C40" s="61">
        <v>25.5</v>
      </c>
      <c r="D40" s="61">
        <v>24.5</v>
      </c>
      <c r="E40" s="61">
        <v>25.1</v>
      </c>
      <c r="F40" s="61">
        <v>0</v>
      </c>
      <c r="G40" s="61">
        <v>0</v>
      </c>
      <c r="H40" s="61">
        <v>0</v>
      </c>
      <c r="I40" s="61">
        <v>25</v>
      </c>
      <c r="J40" s="61">
        <v>62</v>
      </c>
      <c r="K40" s="61">
        <v>70</v>
      </c>
      <c r="L40" s="61">
        <v>70</v>
      </c>
      <c r="M40" s="73">
        <v>71</v>
      </c>
      <c r="N40" s="73">
        <v>71</v>
      </c>
      <c r="O40" s="73">
        <v>71</v>
      </c>
      <c r="P40" s="73">
        <v>70.599999999999994</v>
      </c>
      <c r="Q40" s="73">
        <v>36.200000000000003</v>
      </c>
      <c r="R40" s="73">
        <v>26</v>
      </c>
      <c r="S40" s="73">
        <v>26.5</v>
      </c>
      <c r="T40" s="73">
        <v>31.3</v>
      </c>
      <c r="U40" s="73">
        <v>70.900000000000006</v>
      </c>
      <c r="V40" s="73">
        <v>51.5</v>
      </c>
      <c r="W40" s="73">
        <v>70.599999999999994</v>
      </c>
      <c r="X40" s="73">
        <v>70.599999999999994</v>
      </c>
      <c r="Y40" s="73">
        <v>70.599999999999994</v>
      </c>
      <c r="Z40" s="73">
        <v>70.599999999999994</v>
      </c>
      <c r="AA40" s="73">
        <v>70.599999999999994</v>
      </c>
      <c r="AB40" s="73">
        <v>69</v>
      </c>
      <c r="AC40" s="73">
        <v>53</v>
      </c>
      <c r="AD40" s="73">
        <v>45</v>
      </c>
      <c r="AE40" s="73">
        <v>24</v>
      </c>
      <c r="AF40" s="61">
        <v>34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45.3</v>
      </c>
      <c r="C41" s="61">
        <v>45.5</v>
      </c>
      <c r="D41" s="61">
        <v>45.3</v>
      </c>
      <c r="E41" s="61">
        <v>45.8</v>
      </c>
      <c r="F41" s="61">
        <v>32</v>
      </c>
      <c r="G41" s="61">
        <v>46</v>
      </c>
      <c r="H41" s="61">
        <v>45.5</v>
      </c>
      <c r="I41" s="61">
        <v>45.5</v>
      </c>
      <c r="J41" s="61">
        <v>45.5</v>
      </c>
      <c r="K41" s="61">
        <v>67.7</v>
      </c>
      <c r="L41" s="61">
        <v>67.7</v>
      </c>
      <c r="M41" s="73">
        <v>67.3</v>
      </c>
      <c r="N41" s="73">
        <v>67.3</v>
      </c>
      <c r="O41" s="73">
        <v>67.3</v>
      </c>
      <c r="P41" s="73">
        <v>65.3</v>
      </c>
      <c r="Q41" s="73">
        <v>34</v>
      </c>
      <c r="R41" s="73">
        <v>34</v>
      </c>
      <c r="S41" s="73">
        <v>35</v>
      </c>
      <c r="T41" s="73">
        <v>34.6</v>
      </c>
      <c r="U41" s="73">
        <v>48.6</v>
      </c>
      <c r="V41" s="73">
        <v>67.599999999999994</v>
      </c>
      <c r="W41" s="73">
        <v>67.599999999999994</v>
      </c>
      <c r="X41" s="73">
        <v>67.599999999999994</v>
      </c>
      <c r="Y41" s="73">
        <v>67.599999999999994</v>
      </c>
      <c r="Z41" s="73">
        <v>67.599999999999994</v>
      </c>
      <c r="AA41" s="73">
        <v>67.599999999999994</v>
      </c>
      <c r="AB41" s="73">
        <v>67.599999999999994</v>
      </c>
      <c r="AC41" s="73">
        <v>67.599999999999994</v>
      </c>
      <c r="AD41" s="73">
        <v>67</v>
      </c>
      <c r="AE41" s="73">
        <v>58</v>
      </c>
      <c r="AF41" s="61">
        <v>67</v>
      </c>
      <c r="AG41" s="67">
        <v>69</v>
      </c>
      <c r="AH41" s="54">
        <f t="shared" si="2"/>
        <v>67.7</v>
      </c>
      <c r="AI41" s="55">
        <f t="shared" si="3"/>
        <v>32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60.2</v>
      </c>
      <c r="E42" s="61">
        <v>60.3</v>
      </c>
      <c r="F42" s="61">
        <v>60.3</v>
      </c>
      <c r="G42" s="61">
        <v>60.3</v>
      </c>
      <c r="H42" s="61">
        <v>60.3</v>
      </c>
      <c r="I42" s="61">
        <v>60.3</v>
      </c>
      <c r="J42" s="61">
        <v>60.3</v>
      </c>
      <c r="K42" s="61">
        <v>60.4</v>
      </c>
      <c r="L42" s="61">
        <v>60.4</v>
      </c>
      <c r="M42" s="73">
        <v>60.2</v>
      </c>
      <c r="N42" s="73">
        <v>60.2</v>
      </c>
      <c r="O42" s="73">
        <v>60.2</v>
      </c>
      <c r="P42" s="73">
        <v>60.2</v>
      </c>
      <c r="Q42" s="73">
        <v>60.2</v>
      </c>
      <c r="R42" s="73">
        <v>60.2</v>
      </c>
      <c r="S42" s="73">
        <v>60.2</v>
      </c>
      <c r="T42" s="73">
        <v>60.2</v>
      </c>
      <c r="U42" s="73">
        <v>30.2</v>
      </c>
      <c r="V42" s="73">
        <v>30.2</v>
      </c>
      <c r="W42" s="73">
        <v>60.2</v>
      </c>
      <c r="X42" s="73">
        <v>60.2</v>
      </c>
      <c r="Y42" s="73">
        <v>60.2</v>
      </c>
      <c r="Z42" s="73">
        <v>60.2</v>
      </c>
      <c r="AA42" s="73">
        <v>60.2</v>
      </c>
      <c r="AB42" s="73">
        <v>60.2</v>
      </c>
      <c r="AC42" s="73">
        <v>60.2</v>
      </c>
      <c r="AD42" s="73">
        <v>60.2</v>
      </c>
      <c r="AE42" s="73">
        <v>60.2</v>
      </c>
      <c r="AF42" s="73">
        <v>60.2</v>
      </c>
      <c r="AG42" s="67">
        <v>60</v>
      </c>
      <c r="AH42" s="54">
        <f t="shared" si="2"/>
        <v>60.4</v>
      </c>
      <c r="AI42" s="55">
        <f t="shared" si="3"/>
        <v>30.2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10.3</v>
      </c>
      <c r="E43" s="61">
        <v>15</v>
      </c>
      <c r="F43" s="61">
        <v>15</v>
      </c>
      <c r="G43" s="61">
        <v>15</v>
      </c>
      <c r="H43" s="61">
        <v>15</v>
      </c>
      <c r="I43" s="61">
        <v>15</v>
      </c>
      <c r="J43" s="61">
        <v>15</v>
      </c>
      <c r="K43" s="61">
        <v>28</v>
      </c>
      <c r="L43" s="61">
        <v>28</v>
      </c>
      <c r="M43" s="50">
        <v>28.9</v>
      </c>
      <c r="N43" s="50">
        <v>28.9</v>
      </c>
      <c r="O43" s="50">
        <v>28.9</v>
      </c>
      <c r="P43" s="50">
        <v>14.9</v>
      </c>
      <c r="Q43" s="50">
        <v>9.1999999999999993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24.4</v>
      </c>
      <c r="X43" s="50">
        <v>29</v>
      </c>
      <c r="Y43" s="50">
        <v>29</v>
      </c>
      <c r="Z43" s="50">
        <v>29</v>
      </c>
      <c r="AA43" s="50">
        <v>29</v>
      </c>
      <c r="AB43" s="50">
        <v>29</v>
      </c>
      <c r="AC43" s="50">
        <v>29</v>
      </c>
      <c r="AD43" s="73">
        <v>15</v>
      </c>
      <c r="AE43" s="73">
        <v>15</v>
      </c>
      <c r="AF43" s="73">
        <v>0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8</v>
      </c>
      <c r="W45" s="50">
        <v>8</v>
      </c>
      <c r="X45" s="50">
        <v>8</v>
      </c>
      <c r="Y45" s="50">
        <v>8</v>
      </c>
      <c r="Z45" s="50">
        <v>8</v>
      </c>
      <c r="AA45" s="50">
        <v>8</v>
      </c>
      <c r="AB45" s="50">
        <v>8</v>
      </c>
      <c r="AC45" s="50">
        <v>8</v>
      </c>
      <c r="AD45" s="50">
        <v>8</v>
      </c>
      <c r="AE45" s="50">
        <v>8</v>
      </c>
      <c r="AF45" s="50">
        <v>8</v>
      </c>
      <c r="AG45" s="67">
        <v>24</v>
      </c>
      <c r="AH45" s="54">
        <f t="shared" si="2"/>
        <v>18</v>
      </c>
      <c r="AI45" s="55">
        <f t="shared" si="3"/>
        <v>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0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7</v>
      </c>
      <c r="C48" s="74">
        <v>7</v>
      </c>
      <c r="D48" s="74">
        <v>7</v>
      </c>
      <c r="E48" s="74">
        <v>7</v>
      </c>
      <c r="F48" s="74">
        <v>7</v>
      </c>
      <c r="G48" s="74">
        <v>7</v>
      </c>
      <c r="H48" s="74">
        <v>7</v>
      </c>
      <c r="I48" s="74">
        <v>7</v>
      </c>
      <c r="J48" s="74">
        <v>7</v>
      </c>
      <c r="K48" s="74">
        <v>7</v>
      </c>
      <c r="L48" s="74">
        <v>7</v>
      </c>
      <c r="M48" s="50">
        <v>7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7</v>
      </c>
      <c r="AC48" s="50">
        <v>7</v>
      </c>
      <c r="AD48" s="50">
        <v>7</v>
      </c>
      <c r="AE48" s="50">
        <v>7</v>
      </c>
      <c r="AF48" s="50">
        <v>7</v>
      </c>
      <c r="AG48" s="67">
        <v>14</v>
      </c>
      <c r="AH48" s="54">
        <f t="shared" si="2"/>
        <v>7</v>
      </c>
      <c r="AI48" s="55">
        <f t="shared" si="3"/>
        <v>7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216.73999999999998</v>
      </c>
      <c r="C52" s="72">
        <f t="shared" ref="C52:AF52" si="7">SUM(C39:C51)</f>
        <v>217.73999999999998</v>
      </c>
      <c r="D52" s="72">
        <f t="shared" si="7"/>
        <v>226.93999999999997</v>
      </c>
      <c r="E52" s="72">
        <f t="shared" si="7"/>
        <v>232.73999999999998</v>
      </c>
      <c r="F52" s="72">
        <f t="shared" si="7"/>
        <v>163.04</v>
      </c>
      <c r="G52" s="72">
        <f t="shared" si="7"/>
        <v>177.04</v>
      </c>
      <c r="H52" s="72">
        <f t="shared" si="7"/>
        <v>224.54</v>
      </c>
      <c r="I52" s="72">
        <f t="shared" ref="I52" si="8">SUM(I39:I51)</f>
        <v>249.54</v>
      </c>
      <c r="J52" s="72">
        <f t="shared" si="7"/>
        <v>382.54</v>
      </c>
      <c r="K52" s="72">
        <f t="shared" si="7"/>
        <v>425.84</v>
      </c>
      <c r="L52" s="72">
        <f t="shared" si="7"/>
        <v>425.84</v>
      </c>
      <c r="M52" s="72">
        <f t="shared" si="7"/>
        <v>429.03999999999996</v>
      </c>
      <c r="N52" s="72">
        <f t="shared" si="7"/>
        <v>429.03999999999996</v>
      </c>
      <c r="O52" s="72">
        <f t="shared" si="7"/>
        <v>429.03999999999996</v>
      </c>
      <c r="P52" s="72">
        <f t="shared" si="7"/>
        <v>412.53999999999996</v>
      </c>
      <c r="Q52" s="72">
        <f t="shared" si="7"/>
        <v>302.74</v>
      </c>
      <c r="R52" s="72">
        <f t="shared" si="7"/>
        <v>270.94</v>
      </c>
      <c r="S52" s="72">
        <f t="shared" si="7"/>
        <v>284.04000000000002</v>
      </c>
      <c r="T52" s="72">
        <f t="shared" si="7"/>
        <v>298.54000000000002</v>
      </c>
      <c r="U52" s="72">
        <f t="shared" si="7"/>
        <v>318.94000000000005</v>
      </c>
      <c r="V52" s="72">
        <f t="shared" si="7"/>
        <v>338.73999999999995</v>
      </c>
      <c r="W52" s="72">
        <f t="shared" si="7"/>
        <v>414.03999999999996</v>
      </c>
      <c r="X52" s="72">
        <f t="shared" si="7"/>
        <v>418.64</v>
      </c>
      <c r="Y52" s="72">
        <f t="shared" si="7"/>
        <v>418.64</v>
      </c>
      <c r="Z52" s="72">
        <f t="shared" si="7"/>
        <v>418.64</v>
      </c>
      <c r="AA52" s="72">
        <f t="shared" si="7"/>
        <v>418.64</v>
      </c>
      <c r="AB52" s="72">
        <f t="shared" si="7"/>
        <v>417.04</v>
      </c>
      <c r="AC52" s="72">
        <f t="shared" si="7"/>
        <v>401.04</v>
      </c>
      <c r="AD52" s="72">
        <f t="shared" si="7"/>
        <v>377.94</v>
      </c>
      <c r="AE52" s="72">
        <f t="shared" si="7"/>
        <v>272.94</v>
      </c>
      <c r="AF52" s="72">
        <f t="shared" si="7"/>
        <v>251.93999999999997</v>
      </c>
      <c r="AG52" s="78">
        <f>SUM(AG39:AG51)</f>
        <v>489.91</v>
      </c>
      <c r="AH52" s="54">
        <f t="shared" si="2"/>
        <v>429.03999999999996</v>
      </c>
      <c r="AI52" s="55">
        <f t="shared" si="3"/>
        <v>163.04</v>
      </c>
      <c r="AK52" s="56"/>
    </row>
    <row r="53" spans="1:37" x14ac:dyDescent="0.25">
      <c r="A53" s="57" t="s">
        <v>61</v>
      </c>
      <c r="B53" s="50">
        <v>14.3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</v>
      </c>
      <c r="L53" s="61">
        <v>50.4</v>
      </c>
      <c r="M53" s="79">
        <v>50.5</v>
      </c>
      <c r="N53" s="79">
        <v>40</v>
      </c>
      <c r="O53" s="79">
        <v>59</v>
      </c>
      <c r="P53" s="79">
        <v>35</v>
      </c>
      <c r="Q53" s="50">
        <v>0</v>
      </c>
      <c r="R53" s="50">
        <v>0</v>
      </c>
      <c r="S53" s="50">
        <v>0</v>
      </c>
      <c r="T53" s="50">
        <v>0</v>
      </c>
      <c r="U53" s="50">
        <v>30.6</v>
      </c>
      <c r="V53" s="50">
        <v>44.5</v>
      </c>
      <c r="W53" s="50">
        <v>50</v>
      </c>
      <c r="X53" s="50">
        <v>52</v>
      </c>
      <c r="Y53" s="50">
        <v>52</v>
      </c>
      <c r="Z53" s="50">
        <v>52</v>
      </c>
      <c r="AA53" s="50">
        <v>49.5</v>
      </c>
      <c r="AB53" s="50">
        <v>45</v>
      </c>
      <c r="AC53" s="50">
        <v>40</v>
      </c>
      <c r="AD53" s="50">
        <v>35</v>
      </c>
      <c r="AE53" s="50">
        <v>10</v>
      </c>
      <c r="AF53" s="50">
        <v>0</v>
      </c>
      <c r="AG53" s="62">
        <v>60</v>
      </c>
      <c r="AH53" s="54">
        <f t="shared" si="2"/>
        <v>59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6.5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7</v>
      </c>
      <c r="L54" s="61">
        <v>24</v>
      </c>
      <c r="M54" s="79">
        <v>23.6</v>
      </c>
      <c r="N54" s="79">
        <v>18.3</v>
      </c>
      <c r="O54" s="79">
        <v>29</v>
      </c>
      <c r="P54" s="79">
        <v>18.399999999999999</v>
      </c>
      <c r="Q54" s="73">
        <v>0</v>
      </c>
      <c r="R54" s="73">
        <v>0</v>
      </c>
      <c r="S54" s="50">
        <v>0</v>
      </c>
      <c r="T54" s="50">
        <v>0</v>
      </c>
      <c r="U54" s="50">
        <v>13.7</v>
      </c>
      <c r="V54" s="73">
        <v>20</v>
      </c>
      <c r="W54" s="73">
        <v>23.4</v>
      </c>
      <c r="X54" s="73">
        <v>23.8</v>
      </c>
      <c r="Y54" s="73">
        <v>24.2</v>
      </c>
      <c r="Z54" s="73">
        <v>25.5</v>
      </c>
      <c r="AA54" s="73">
        <v>22.7</v>
      </c>
      <c r="AB54" s="73">
        <v>20</v>
      </c>
      <c r="AC54" s="73">
        <v>20</v>
      </c>
      <c r="AD54" s="73">
        <v>14</v>
      </c>
      <c r="AE54" s="73">
        <v>6</v>
      </c>
      <c r="AF54" s="73">
        <v>0</v>
      </c>
      <c r="AG54" s="67">
        <v>32</v>
      </c>
      <c r="AH54" s="54">
        <f t="shared" si="2"/>
        <v>29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2.4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1.6</v>
      </c>
      <c r="L55" s="74">
        <v>8.8000000000000007</v>
      </c>
      <c r="M55" s="81">
        <v>8.6</v>
      </c>
      <c r="N55" s="81">
        <v>6.7</v>
      </c>
      <c r="O55" s="81">
        <v>11</v>
      </c>
      <c r="P55" s="81">
        <v>6.7</v>
      </c>
      <c r="Q55" s="80">
        <v>0</v>
      </c>
      <c r="R55" s="80">
        <v>0</v>
      </c>
      <c r="S55" s="50">
        <v>0</v>
      </c>
      <c r="T55" s="50">
        <v>0</v>
      </c>
      <c r="U55" s="50">
        <v>5</v>
      </c>
      <c r="V55" s="80">
        <v>7.3</v>
      </c>
      <c r="W55" s="80">
        <v>8.5</v>
      </c>
      <c r="X55" s="80">
        <v>8.6999999999999993</v>
      </c>
      <c r="Y55" s="80">
        <v>8.8000000000000007</v>
      </c>
      <c r="Z55" s="80">
        <v>9.3000000000000007</v>
      </c>
      <c r="AA55" s="80">
        <v>8.3000000000000007</v>
      </c>
      <c r="AB55" s="80">
        <v>7.2</v>
      </c>
      <c r="AC55" s="80">
        <v>7</v>
      </c>
      <c r="AD55" s="80">
        <v>6</v>
      </c>
      <c r="AE55" s="80">
        <v>2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23.2</v>
      </c>
      <c r="C56" s="72">
        <f>SUM(C53:C55)</f>
        <v>0</v>
      </c>
      <c r="D56" s="72">
        <f t="shared" ref="D56:AF56" si="9">SUM(D53:D55)</f>
        <v>0</v>
      </c>
      <c r="E56" s="72">
        <f t="shared" si="9"/>
        <v>0</v>
      </c>
      <c r="F56" s="72">
        <f t="shared" si="9"/>
        <v>0</v>
      </c>
      <c r="G56" s="72">
        <f t="shared" si="9"/>
        <v>0</v>
      </c>
      <c r="H56" s="72">
        <f t="shared" si="9"/>
        <v>0</v>
      </c>
      <c r="I56" s="72">
        <f t="shared" si="9"/>
        <v>0</v>
      </c>
      <c r="J56" s="72">
        <f t="shared" si="9"/>
        <v>0</v>
      </c>
      <c r="K56" s="72">
        <f t="shared" si="9"/>
        <v>38.6</v>
      </c>
      <c r="L56" s="72">
        <f t="shared" si="9"/>
        <v>83.2</v>
      </c>
      <c r="M56" s="72">
        <f t="shared" si="9"/>
        <v>82.699999999999989</v>
      </c>
      <c r="N56" s="72">
        <f t="shared" si="9"/>
        <v>65</v>
      </c>
      <c r="O56" s="72">
        <f t="shared" si="9"/>
        <v>99</v>
      </c>
      <c r="P56" s="72">
        <f t="shared" si="9"/>
        <v>60.1</v>
      </c>
      <c r="Q56" s="72">
        <f t="shared" si="9"/>
        <v>0</v>
      </c>
      <c r="R56" s="72">
        <f t="shared" si="9"/>
        <v>0</v>
      </c>
      <c r="S56" s="72">
        <f t="shared" si="9"/>
        <v>0</v>
      </c>
      <c r="T56" s="72">
        <f t="shared" si="9"/>
        <v>0</v>
      </c>
      <c r="U56" s="72">
        <f t="shared" si="9"/>
        <v>49.3</v>
      </c>
      <c r="V56" s="72">
        <f t="shared" si="9"/>
        <v>71.8</v>
      </c>
      <c r="W56" s="72">
        <f t="shared" si="9"/>
        <v>81.900000000000006</v>
      </c>
      <c r="X56" s="72">
        <f t="shared" si="9"/>
        <v>84.5</v>
      </c>
      <c r="Y56" s="72">
        <f t="shared" si="9"/>
        <v>85</v>
      </c>
      <c r="Z56" s="72">
        <f t="shared" si="9"/>
        <v>86.8</v>
      </c>
      <c r="AA56" s="72">
        <f t="shared" si="9"/>
        <v>80.5</v>
      </c>
      <c r="AB56" s="72">
        <f t="shared" si="9"/>
        <v>72.2</v>
      </c>
      <c r="AC56" s="72">
        <f t="shared" si="9"/>
        <v>67</v>
      </c>
      <c r="AD56" s="72">
        <f t="shared" si="9"/>
        <v>55</v>
      </c>
      <c r="AE56" s="72">
        <f t="shared" si="9"/>
        <v>18</v>
      </c>
      <c r="AF56" s="72">
        <f t="shared" si="9"/>
        <v>0</v>
      </c>
      <c r="AG56" s="78">
        <f>SUM(AG53:AG55)</f>
        <v>106</v>
      </c>
      <c r="AH56" s="54">
        <f t="shared" si="2"/>
        <v>99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59</v>
      </c>
      <c r="C57" s="50">
        <v>64</v>
      </c>
      <c r="D57" s="50">
        <v>59.5</v>
      </c>
      <c r="E57" s="50">
        <v>72</v>
      </c>
      <c r="F57" s="50">
        <v>63</v>
      </c>
      <c r="G57" s="50">
        <v>73</v>
      </c>
      <c r="H57" s="50">
        <v>68</v>
      </c>
      <c r="I57" s="50">
        <v>72</v>
      </c>
      <c r="J57" s="50">
        <v>72.8</v>
      </c>
      <c r="K57" s="50">
        <v>77</v>
      </c>
      <c r="L57" s="50">
        <v>69.5</v>
      </c>
      <c r="M57" s="50">
        <v>70.400000000000006</v>
      </c>
      <c r="N57" s="50">
        <v>65</v>
      </c>
      <c r="O57" s="50">
        <v>69</v>
      </c>
      <c r="P57" s="50">
        <v>65</v>
      </c>
      <c r="Q57" s="50">
        <v>62.5</v>
      </c>
      <c r="R57" s="50">
        <v>72.599999999999994</v>
      </c>
      <c r="S57" s="50">
        <v>71</v>
      </c>
      <c r="T57" s="50">
        <v>68.599999999999994</v>
      </c>
      <c r="U57" s="50">
        <v>72.2</v>
      </c>
      <c r="V57" s="50">
        <v>73.400000000000006</v>
      </c>
      <c r="W57" s="50">
        <v>68.3</v>
      </c>
      <c r="X57" s="50">
        <v>77.099999999999994</v>
      </c>
      <c r="Y57" s="50">
        <v>69.400000000000006</v>
      </c>
      <c r="Z57" s="50">
        <v>71.900000000000006</v>
      </c>
      <c r="AA57" s="50">
        <v>68.099999999999994</v>
      </c>
      <c r="AB57" s="50">
        <v>69</v>
      </c>
      <c r="AC57" s="50">
        <v>69</v>
      </c>
      <c r="AD57" s="50">
        <v>65</v>
      </c>
      <c r="AE57" s="50">
        <v>58</v>
      </c>
      <c r="AF57" s="50">
        <v>64</v>
      </c>
      <c r="AG57" s="62"/>
      <c r="AH57" s="54">
        <f t="shared" si="2"/>
        <v>77.099999999999994</v>
      </c>
      <c r="AI57" s="55">
        <f t="shared" si="3"/>
        <v>58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78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78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95</v>
      </c>
      <c r="C59" s="73">
        <v>91.4</v>
      </c>
      <c r="D59" s="73">
        <v>85.8</v>
      </c>
      <c r="E59" s="73">
        <v>69.3</v>
      </c>
      <c r="F59" s="73">
        <v>89</v>
      </c>
      <c r="G59" s="73">
        <v>142</v>
      </c>
      <c r="H59" s="73">
        <v>142</v>
      </c>
      <c r="I59" s="50">
        <v>197</v>
      </c>
      <c r="J59" s="50">
        <v>208</v>
      </c>
      <c r="K59" s="50">
        <v>220</v>
      </c>
      <c r="L59" s="50">
        <v>24.1</v>
      </c>
      <c r="M59" s="73">
        <v>46.1</v>
      </c>
      <c r="N59" s="73">
        <v>0</v>
      </c>
      <c r="O59" s="73">
        <v>97</v>
      </c>
      <c r="P59" s="73">
        <v>348</v>
      </c>
      <c r="Q59" s="73">
        <v>325</v>
      </c>
      <c r="R59" s="73">
        <v>339</v>
      </c>
      <c r="S59" s="73">
        <v>325.2</v>
      </c>
      <c r="T59" s="73">
        <v>349</v>
      </c>
      <c r="U59" s="73">
        <v>327.60000000000002</v>
      </c>
      <c r="V59" s="73">
        <v>44</v>
      </c>
      <c r="W59" s="73">
        <v>18.100000000000001</v>
      </c>
      <c r="X59" s="84">
        <v>78</v>
      </c>
      <c r="Y59" s="84">
        <v>17.100000000000001</v>
      </c>
      <c r="Z59" s="84">
        <v>0</v>
      </c>
      <c r="AA59" s="84">
        <v>127.2</v>
      </c>
      <c r="AB59" s="73">
        <v>205</v>
      </c>
      <c r="AC59" s="73">
        <v>200</v>
      </c>
      <c r="AD59" s="73">
        <v>286</v>
      </c>
      <c r="AE59" s="73">
        <v>235</v>
      </c>
      <c r="AF59" s="73">
        <v>120</v>
      </c>
      <c r="AG59" s="85"/>
      <c r="AH59" s="54">
        <f t="shared" si="2"/>
        <v>349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40</v>
      </c>
      <c r="G60" s="58">
        <v>43</v>
      </c>
      <c r="H60" s="58">
        <v>43</v>
      </c>
      <c r="I60" s="58">
        <v>46</v>
      </c>
      <c r="J60" s="58">
        <v>0</v>
      </c>
      <c r="K60" s="58">
        <v>0</v>
      </c>
      <c r="L60" s="58">
        <v>42</v>
      </c>
      <c r="M60" s="73">
        <v>55</v>
      </c>
      <c r="N60" s="73">
        <v>33</v>
      </c>
      <c r="O60" s="73">
        <v>57</v>
      </c>
      <c r="P60" s="73">
        <v>12</v>
      </c>
      <c r="Q60" s="73">
        <v>45</v>
      </c>
      <c r="R60" s="73">
        <v>60</v>
      </c>
      <c r="S60" s="73">
        <v>60</v>
      </c>
      <c r="T60" s="73">
        <v>50</v>
      </c>
      <c r="U60" s="73">
        <v>53</v>
      </c>
      <c r="V60" s="73">
        <v>50</v>
      </c>
      <c r="W60" s="73">
        <v>50</v>
      </c>
      <c r="X60" s="73">
        <v>42</v>
      </c>
      <c r="Y60" s="73">
        <v>42</v>
      </c>
      <c r="Z60" s="73">
        <v>42</v>
      </c>
      <c r="AA60" s="73">
        <v>42</v>
      </c>
      <c r="AB60" s="73">
        <v>40</v>
      </c>
      <c r="AC60" s="73">
        <v>38</v>
      </c>
      <c r="AD60" s="73">
        <v>0</v>
      </c>
      <c r="AE60" s="73">
        <v>0</v>
      </c>
      <c r="AF60" s="58">
        <v>0</v>
      </c>
      <c r="AG60" s="85"/>
      <c r="AH60" s="54">
        <f t="shared" si="2"/>
        <v>60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36</v>
      </c>
      <c r="N61" s="50">
        <v>38.4</v>
      </c>
      <c r="O61" s="50">
        <v>40</v>
      </c>
      <c r="P61" s="50">
        <v>42.1</v>
      </c>
      <c r="Q61" s="50">
        <v>41.2</v>
      </c>
      <c r="R61" s="50">
        <v>39.5</v>
      </c>
      <c r="S61" s="50">
        <v>39.200000000000003</v>
      </c>
      <c r="T61" s="50">
        <v>37.200000000000003</v>
      </c>
      <c r="U61" s="50">
        <v>35.6</v>
      </c>
      <c r="V61" s="50">
        <v>78.8</v>
      </c>
      <c r="W61" s="50">
        <v>77</v>
      </c>
      <c r="X61" s="50">
        <v>75.599999999999994</v>
      </c>
      <c r="Y61" s="50">
        <v>72.099999999999994</v>
      </c>
      <c r="Z61" s="50">
        <v>72.599999999999994</v>
      </c>
      <c r="AA61" s="50">
        <v>73</v>
      </c>
      <c r="AB61" s="50">
        <v>71.7</v>
      </c>
      <c r="AC61" s="50">
        <v>80</v>
      </c>
      <c r="AD61" s="50">
        <v>0</v>
      </c>
      <c r="AE61" s="50">
        <v>0</v>
      </c>
      <c r="AF61" s="50">
        <v>0</v>
      </c>
      <c r="AG61" s="85"/>
      <c r="AH61" s="54">
        <f t="shared" si="2"/>
        <v>80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154</v>
      </c>
      <c r="C68" s="72">
        <f>SUM(C57:C67)</f>
        <v>155.4</v>
      </c>
      <c r="D68" s="72">
        <f t="shared" ref="D68:AF68" si="10">SUM(D57:D67)</f>
        <v>145.30000000000001</v>
      </c>
      <c r="E68" s="72">
        <f t="shared" si="10"/>
        <v>141.30000000000001</v>
      </c>
      <c r="F68" s="72">
        <f t="shared" si="10"/>
        <v>192</v>
      </c>
      <c r="G68" s="72">
        <f t="shared" si="10"/>
        <v>258</v>
      </c>
      <c r="H68" s="72">
        <f t="shared" si="10"/>
        <v>253</v>
      </c>
      <c r="I68" s="72">
        <f t="shared" si="10"/>
        <v>315</v>
      </c>
      <c r="J68" s="72">
        <f t="shared" si="10"/>
        <v>280.8</v>
      </c>
      <c r="K68" s="72">
        <f t="shared" si="10"/>
        <v>297</v>
      </c>
      <c r="L68" s="72">
        <f t="shared" si="10"/>
        <v>135.6</v>
      </c>
      <c r="M68" s="72">
        <f t="shared" si="10"/>
        <v>207.5</v>
      </c>
      <c r="N68" s="72">
        <f t="shared" si="10"/>
        <v>136.4</v>
      </c>
      <c r="O68" s="72">
        <f t="shared" si="10"/>
        <v>341</v>
      </c>
      <c r="P68" s="72">
        <f t="shared" si="10"/>
        <v>467.1</v>
      </c>
      <c r="Q68" s="72">
        <f t="shared" si="10"/>
        <v>473.7</v>
      </c>
      <c r="R68" s="72">
        <f t="shared" si="10"/>
        <v>511.1</v>
      </c>
      <c r="S68" s="72">
        <f t="shared" si="10"/>
        <v>495.4</v>
      </c>
      <c r="T68" s="72">
        <f t="shared" si="10"/>
        <v>504.8</v>
      </c>
      <c r="U68" s="72">
        <f t="shared" si="10"/>
        <v>488.40000000000003</v>
      </c>
      <c r="V68" s="72">
        <f t="shared" si="10"/>
        <v>246.2</v>
      </c>
      <c r="W68" s="72">
        <f t="shared" si="10"/>
        <v>213.4</v>
      </c>
      <c r="X68" s="72">
        <f t="shared" si="10"/>
        <v>272.7</v>
      </c>
      <c r="Y68" s="72">
        <f t="shared" si="10"/>
        <v>200.6</v>
      </c>
      <c r="Z68" s="72">
        <f t="shared" si="10"/>
        <v>186.5</v>
      </c>
      <c r="AA68" s="72">
        <f t="shared" si="10"/>
        <v>310.3</v>
      </c>
      <c r="AB68" s="72">
        <f t="shared" si="10"/>
        <v>385.7</v>
      </c>
      <c r="AC68" s="72">
        <f t="shared" si="10"/>
        <v>387</v>
      </c>
      <c r="AD68" s="72">
        <f t="shared" si="10"/>
        <v>351</v>
      </c>
      <c r="AE68" s="72">
        <f t="shared" si="10"/>
        <v>293</v>
      </c>
      <c r="AF68" s="72">
        <f t="shared" si="10"/>
        <v>184</v>
      </c>
      <c r="AG68" s="78">
        <f>SUM(AG57:AG67)</f>
        <v>0</v>
      </c>
      <c r="AH68" s="54">
        <f t="shared" si="2"/>
        <v>511.1</v>
      </c>
      <c r="AI68" s="55">
        <f t="shared" si="3"/>
        <v>135.6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930.7399999999999</v>
      </c>
      <c r="C73" s="89">
        <f>C68+C56+C52+C38+C72</f>
        <v>910.74</v>
      </c>
      <c r="D73" s="89">
        <f t="shared" ref="D73:AG73" si="12">D68+D56+D52+D38+D72</f>
        <v>889.84</v>
      </c>
      <c r="E73" s="89">
        <f t="shared" si="12"/>
        <v>891.64</v>
      </c>
      <c r="F73" s="89">
        <f t="shared" si="12"/>
        <v>872.14</v>
      </c>
      <c r="G73" s="89">
        <f t="shared" si="12"/>
        <v>941.93999999999983</v>
      </c>
      <c r="H73" s="89">
        <f t="shared" si="12"/>
        <v>983.54</v>
      </c>
      <c r="I73" s="89">
        <f t="shared" si="12"/>
        <v>1120.6399999999999</v>
      </c>
      <c r="J73" s="89">
        <f t="shared" si="12"/>
        <v>1219.3400000000001</v>
      </c>
      <c r="K73" s="89">
        <f t="shared" si="12"/>
        <v>1587.3400000000001</v>
      </c>
      <c r="L73" s="89">
        <f t="shared" si="12"/>
        <v>1480.5400000000002</v>
      </c>
      <c r="M73" s="89">
        <f t="shared" si="12"/>
        <v>1590.1400000000003</v>
      </c>
      <c r="N73" s="89">
        <f t="shared" si="12"/>
        <v>1501.3400000000001</v>
      </c>
      <c r="O73" s="89">
        <f t="shared" si="12"/>
        <v>1449.94</v>
      </c>
      <c r="P73" s="89">
        <f t="shared" si="12"/>
        <v>1413.6399999999999</v>
      </c>
      <c r="Q73" s="89">
        <f t="shared" si="12"/>
        <v>1249.44</v>
      </c>
      <c r="R73" s="89">
        <f t="shared" si="12"/>
        <v>1255.04</v>
      </c>
      <c r="S73" s="89">
        <f t="shared" si="12"/>
        <v>1248.24</v>
      </c>
      <c r="T73" s="89">
        <f t="shared" si="12"/>
        <v>1271.44</v>
      </c>
      <c r="U73" s="89">
        <f t="shared" si="12"/>
        <v>1326.44</v>
      </c>
      <c r="V73" s="89">
        <f t="shared" si="12"/>
        <v>1359.74</v>
      </c>
      <c r="W73" s="89">
        <f t="shared" si="12"/>
        <v>1512.3400000000001</v>
      </c>
      <c r="X73" s="89">
        <f t="shared" si="12"/>
        <v>1628.8400000000001</v>
      </c>
      <c r="Y73" s="89">
        <f t="shared" si="12"/>
        <v>1613.2400000000002</v>
      </c>
      <c r="Z73" s="89">
        <f t="shared" si="12"/>
        <v>1600.9400000000003</v>
      </c>
      <c r="AA73" s="89">
        <f t="shared" si="12"/>
        <v>1542.44</v>
      </c>
      <c r="AB73" s="89">
        <f t="shared" si="12"/>
        <v>1460.14</v>
      </c>
      <c r="AC73" s="89">
        <f t="shared" si="12"/>
        <v>1420.24</v>
      </c>
      <c r="AD73" s="89">
        <f t="shared" si="12"/>
        <v>1289.1400000000001</v>
      </c>
      <c r="AE73" s="89">
        <f t="shared" si="12"/>
        <v>1079.1400000000001</v>
      </c>
      <c r="AF73" s="89">
        <f t="shared" si="12"/>
        <v>971.14</v>
      </c>
      <c r="AG73" s="89">
        <f t="shared" si="12"/>
        <v>2144.14</v>
      </c>
      <c r="AH73" s="54">
        <f t="shared" si="2"/>
        <v>1628.8400000000001</v>
      </c>
      <c r="AI73" s="55">
        <f t="shared" si="3"/>
        <v>872.14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930.7399999999999</v>
      </c>
      <c r="C75" s="89">
        <f>C73+C74</f>
        <v>910.74</v>
      </c>
      <c r="D75" s="89">
        <f t="shared" ref="D75:AF75" si="13">D72+D68+D56+D52+D38+D74</f>
        <v>889.84</v>
      </c>
      <c r="E75" s="89">
        <f t="shared" si="13"/>
        <v>891.64</v>
      </c>
      <c r="F75" s="89">
        <f t="shared" si="13"/>
        <v>872.14</v>
      </c>
      <c r="G75" s="89">
        <f t="shared" si="13"/>
        <v>941.93999999999983</v>
      </c>
      <c r="H75" s="89">
        <f t="shared" si="13"/>
        <v>983.54</v>
      </c>
      <c r="I75" s="89">
        <f t="shared" si="13"/>
        <v>1120.6399999999999</v>
      </c>
      <c r="J75" s="89">
        <f t="shared" si="13"/>
        <v>1219.3400000000001</v>
      </c>
      <c r="K75" s="89">
        <f t="shared" si="13"/>
        <v>1587.3400000000001</v>
      </c>
      <c r="L75" s="89">
        <f t="shared" si="13"/>
        <v>1480.5400000000002</v>
      </c>
      <c r="M75" s="89">
        <f t="shared" si="13"/>
        <v>1590.1400000000003</v>
      </c>
      <c r="N75" s="89">
        <f t="shared" si="13"/>
        <v>1501.3400000000001</v>
      </c>
      <c r="O75" s="89">
        <f t="shared" si="13"/>
        <v>1449.94</v>
      </c>
      <c r="P75" s="89">
        <f t="shared" si="13"/>
        <v>1413.6399999999999</v>
      </c>
      <c r="Q75" s="89">
        <f t="shared" si="13"/>
        <v>1249.44</v>
      </c>
      <c r="R75" s="89">
        <f t="shared" si="13"/>
        <v>1255.04</v>
      </c>
      <c r="S75" s="89">
        <f t="shared" si="13"/>
        <v>1248.24</v>
      </c>
      <c r="T75" s="89">
        <f t="shared" si="13"/>
        <v>1271.44</v>
      </c>
      <c r="U75" s="89">
        <f t="shared" si="13"/>
        <v>1326.44</v>
      </c>
      <c r="V75" s="89">
        <f t="shared" si="13"/>
        <v>1359.74</v>
      </c>
      <c r="W75" s="89">
        <f t="shared" si="13"/>
        <v>1512.3400000000001</v>
      </c>
      <c r="X75" s="89">
        <f t="shared" si="13"/>
        <v>1628.8400000000001</v>
      </c>
      <c r="Y75" s="89">
        <f t="shared" si="13"/>
        <v>1613.2400000000002</v>
      </c>
      <c r="Z75" s="89">
        <f t="shared" si="13"/>
        <v>1600.9400000000003</v>
      </c>
      <c r="AA75" s="89">
        <f t="shared" si="13"/>
        <v>1542.44</v>
      </c>
      <c r="AB75" s="89">
        <f t="shared" si="13"/>
        <v>1460.14</v>
      </c>
      <c r="AC75" s="89">
        <f t="shared" si="13"/>
        <v>1420.24</v>
      </c>
      <c r="AD75" s="89">
        <f t="shared" si="13"/>
        <v>1289.1400000000001</v>
      </c>
      <c r="AE75" s="89">
        <f t="shared" si="13"/>
        <v>1079.1400000000001</v>
      </c>
      <c r="AF75" s="89">
        <f t="shared" si="13"/>
        <v>971.14</v>
      </c>
      <c r="AG75" s="78">
        <f>AG72+AG68+AG56+AG52+AG38+AG74</f>
        <v>2144.14</v>
      </c>
      <c r="AH75" s="54">
        <f t="shared" si="2"/>
        <v>1628.8400000000001</v>
      </c>
      <c r="AI75" s="55">
        <f t="shared" si="3"/>
        <v>872.14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1861.4799999999998</v>
      </c>
      <c r="C83" s="72">
        <f t="shared" ref="C83:AG83" si="22">SUM(C70:C82)</f>
        <v>1821.48</v>
      </c>
      <c r="D83" s="72">
        <f t="shared" si="22"/>
        <v>1779.68</v>
      </c>
      <c r="E83" s="72">
        <f t="shared" si="22"/>
        <v>1783.28</v>
      </c>
      <c r="F83" s="72">
        <f t="shared" si="22"/>
        <v>1744.28</v>
      </c>
      <c r="G83" s="72">
        <f t="shared" si="22"/>
        <v>1883.8799999999997</v>
      </c>
      <c r="H83" s="72">
        <f t="shared" si="22"/>
        <v>1967.08</v>
      </c>
      <c r="I83" s="72">
        <f t="shared" si="22"/>
        <v>2241.2799999999997</v>
      </c>
      <c r="J83" s="72">
        <f t="shared" si="22"/>
        <v>2438.6800000000003</v>
      </c>
      <c r="K83" s="72">
        <f t="shared" si="22"/>
        <v>3174.6800000000003</v>
      </c>
      <c r="L83" s="72">
        <f t="shared" si="22"/>
        <v>2961.0800000000004</v>
      </c>
      <c r="M83" s="72">
        <f t="shared" si="22"/>
        <v>3180.2800000000007</v>
      </c>
      <c r="N83" s="72">
        <f t="shared" si="22"/>
        <v>3002.6800000000003</v>
      </c>
      <c r="O83" s="72">
        <f t="shared" si="22"/>
        <v>2899.88</v>
      </c>
      <c r="P83" s="72">
        <f t="shared" si="22"/>
        <v>2827.2799999999997</v>
      </c>
      <c r="Q83" s="72">
        <f t="shared" si="22"/>
        <v>2498.88</v>
      </c>
      <c r="R83" s="72">
        <f t="shared" si="22"/>
        <v>2510.08</v>
      </c>
      <c r="S83" s="72">
        <f t="shared" si="22"/>
        <v>2496.48</v>
      </c>
      <c r="T83" s="72">
        <f t="shared" si="22"/>
        <v>2542.88</v>
      </c>
      <c r="U83" s="72">
        <f t="shared" si="22"/>
        <v>2652.88</v>
      </c>
      <c r="V83" s="72">
        <f t="shared" si="22"/>
        <v>2719.48</v>
      </c>
      <c r="W83" s="72">
        <f t="shared" si="22"/>
        <v>3024.6800000000003</v>
      </c>
      <c r="X83" s="72">
        <f t="shared" si="22"/>
        <v>3257.6800000000003</v>
      </c>
      <c r="Y83" s="72">
        <f t="shared" si="22"/>
        <v>3226.4800000000005</v>
      </c>
      <c r="Z83" s="72">
        <f t="shared" si="22"/>
        <v>3201.8800000000006</v>
      </c>
      <c r="AA83" s="72">
        <f t="shared" si="22"/>
        <v>3084.88</v>
      </c>
      <c r="AB83" s="72">
        <f t="shared" si="22"/>
        <v>2920.28</v>
      </c>
      <c r="AC83" s="72">
        <f t="shared" si="22"/>
        <v>2840.48</v>
      </c>
      <c r="AD83" s="72">
        <f t="shared" si="22"/>
        <v>2578.2800000000002</v>
      </c>
      <c r="AE83" s="72">
        <f t="shared" si="22"/>
        <v>2158.2800000000002</v>
      </c>
      <c r="AF83" s="72">
        <f t="shared" si="22"/>
        <v>1942.28</v>
      </c>
      <c r="AG83" s="78">
        <f t="shared" si="22"/>
        <v>4360.08</v>
      </c>
      <c r="AH83" s="54">
        <f t="shared" si="15"/>
        <v>3257.6800000000003</v>
      </c>
      <c r="AI83" s="55">
        <f t="shared" si="16"/>
        <v>1744.28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49.972999999999999</v>
      </c>
      <c r="C84" s="95">
        <v>49.951000000000001</v>
      </c>
      <c r="D84" s="95">
        <v>50.027000000000001</v>
      </c>
      <c r="E84" s="95">
        <v>50.02</v>
      </c>
      <c r="F84" s="95">
        <v>50.055999999999997</v>
      </c>
      <c r="G84" s="95">
        <v>49.975999999999999</v>
      </c>
      <c r="H84" s="95">
        <v>49.975999999999999</v>
      </c>
      <c r="I84" s="95">
        <v>50.003</v>
      </c>
      <c r="J84" s="95">
        <v>49.96</v>
      </c>
      <c r="K84" s="95">
        <v>49.917999999999999</v>
      </c>
      <c r="L84" s="95">
        <v>49.975999999999999</v>
      </c>
      <c r="M84" s="95">
        <v>50.101999999999997</v>
      </c>
      <c r="N84" s="95">
        <v>50.055999999999997</v>
      </c>
      <c r="O84" s="95">
        <v>50.034999999999997</v>
      </c>
      <c r="P84" s="95">
        <v>49.99</v>
      </c>
      <c r="Q84" s="95">
        <v>49.99</v>
      </c>
      <c r="R84" s="95">
        <v>50.021000000000001</v>
      </c>
      <c r="S84" s="95">
        <v>50.029000000000003</v>
      </c>
      <c r="T84" s="95">
        <v>49.993000000000002</v>
      </c>
      <c r="U84" s="95">
        <v>49.942999999999998</v>
      </c>
      <c r="V84" s="95">
        <v>50.05</v>
      </c>
      <c r="W84" s="95">
        <v>49.982999999999997</v>
      </c>
      <c r="X84" s="95">
        <v>50.024999999999999</v>
      </c>
      <c r="Y84" s="95">
        <v>50.042999999999999</v>
      </c>
      <c r="Z84" s="95">
        <v>50.034999999999997</v>
      </c>
      <c r="AA84" s="95">
        <v>50.000999999999998</v>
      </c>
      <c r="AB84" s="95">
        <v>50.11</v>
      </c>
      <c r="AC84" s="95">
        <v>50.07</v>
      </c>
      <c r="AD84" s="95">
        <v>50.05</v>
      </c>
      <c r="AE84" s="95">
        <v>50.07</v>
      </c>
      <c r="AF84" s="95">
        <v>50.07</v>
      </c>
      <c r="AG84" s="96"/>
      <c r="AH84" s="54">
        <f t="shared" si="15"/>
        <v>50.11</v>
      </c>
      <c r="AI84" s="55">
        <f t="shared" si="16"/>
        <v>49.917999999999999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127.5</v>
      </c>
      <c r="C85" s="73">
        <v>127.1</v>
      </c>
      <c r="D85" s="73">
        <v>128.80000000000001</v>
      </c>
      <c r="E85" s="73">
        <v>128.30000000000001</v>
      </c>
      <c r="F85" s="73">
        <v>128.19999999999999</v>
      </c>
      <c r="G85" s="73">
        <v>127.7</v>
      </c>
      <c r="H85" s="73">
        <v>127.7</v>
      </c>
      <c r="I85" s="73">
        <v>124.9</v>
      </c>
      <c r="J85" s="73">
        <v>122.5</v>
      </c>
      <c r="K85" s="73">
        <v>123</v>
      </c>
      <c r="L85" s="73">
        <v>126.3</v>
      </c>
      <c r="M85" s="73">
        <v>124.2</v>
      </c>
      <c r="N85" s="73">
        <v>122.7</v>
      </c>
      <c r="O85" s="73">
        <v>124.1</v>
      </c>
      <c r="P85" s="73">
        <v>124.2</v>
      </c>
      <c r="Q85" s="73">
        <v>124.2</v>
      </c>
      <c r="R85" s="73">
        <v>122</v>
      </c>
      <c r="S85" s="73">
        <v>122.2</v>
      </c>
      <c r="T85" s="73">
        <v>123.8</v>
      </c>
      <c r="U85" s="98">
        <v>124.9</v>
      </c>
      <c r="V85" s="98">
        <v>124.9</v>
      </c>
      <c r="W85" s="98">
        <v>123.7</v>
      </c>
      <c r="X85" s="98">
        <v>123</v>
      </c>
      <c r="Y85" s="98">
        <v>121.6</v>
      </c>
      <c r="Z85" s="98">
        <v>122.8</v>
      </c>
      <c r="AA85" s="98">
        <v>125.3</v>
      </c>
      <c r="AB85" s="73">
        <v>128</v>
      </c>
      <c r="AC85" s="73">
        <v>127</v>
      </c>
      <c r="AD85" s="73">
        <v>123</v>
      </c>
      <c r="AE85" s="73">
        <v>126</v>
      </c>
      <c r="AF85" s="73">
        <v>125.6</v>
      </c>
      <c r="AG85" s="99"/>
      <c r="AH85" s="54">
        <f t="shared" si="15"/>
        <v>128.80000000000001</v>
      </c>
      <c r="AI85" s="55">
        <f t="shared" si="16"/>
        <v>121.6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131.1</v>
      </c>
      <c r="C86" s="73">
        <v>130.69999999999999</v>
      </c>
      <c r="D86" s="73">
        <v>132.19999999999999</v>
      </c>
      <c r="E86" s="73">
        <v>131</v>
      </c>
      <c r="F86" s="73">
        <v>131.69999999999999</v>
      </c>
      <c r="G86" s="73">
        <v>131.1</v>
      </c>
      <c r="H86" s="73">
        <v>131.1</v>
      </c>
      <c r="I86" s="73">
        <v>127.9</v>
      </c>
      <c r="J86" s="73">
        <v>126</v>
      </c>
      <c r="K86" s="73">
        <v>125.8</v>
      </c>
      <c r="L86" s="73">
        <v>127.7</v>
      </c>
      <c r="M86" s="73">
        <v>126.4</v>
      </c>
      <c r="N86" s="73">
        <v>125.7</v>
      </c>
      <c r="O86" s="73">
        <v>126</v>
      </c>
      <c r="P86" s="73">
        <v>126.3</v>
      </c>
      <c r="Q86" s="73">
        <v>126.3</v>
      </c>
      <c r="R86" s="73">
        <v>124.8</v>
      </c>
      <c r="S86" s="73">
        <v>125.3</v>
      </c>
      <c r="T86" s="73">
        <v>126.1</v>
      </c>
      <c r="U86" s="98">
        <v>126.5</v>
      </c>
      <c r="V86" s="98">
        <v>126.6</v>
      </c>
      <c r="W86" s="98">
        <v>125.5</v>
      </c>
      <c r="X86" s="98">
        <v>124.2</v>
      </c>
      <c r="Y86" s="98">
        <v>123.3</v>
      </c>
      <c r="Z86" s="98">
        <v>124.2</v>
      </c>
      <c r="AA86" s="98">
        <v>126.5</v>
      </c>
      <c r="AB86" s="73">
        <v>128.5</v>
      </c>
      <c r="AC86" s="73">
        <v>128</v>
      </c>
      <c r="AD86" s="73">
        <v>126</v>
      </c>
      <c r="AE86" s="73">
        <v>129.30000000000001</v>
      </c>
      <c r="AF86" s="73">
        <v>130</v>
      </c>
      <c r="AG86" s="99"/>
      <c r="AH86" s="54">
        <f t="shared" si="15"/>
        <v>132.19999999999999</v>
      </c>
      <c r="AI86" s="55">
        <f t="shared" si="16"/>
        <v>123.3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129.4</v>
      </c>
      <c r="C87" s="73">
        <v>129.5</v>
      </c>
      <c r="D87" s="73">
        <v>129.69999999999999</v>
      </c>
      <c r="E87" s="73">
        <v>132.1</v>
      </c>
      <c r="F87" s="73">
        <v>129.69999999999999</v>
      </c>
      <c r="G87" s="73">
        <v>130.69999999999999</v>
      </c>
      <c r="H87" s="73">
        <v>130.69999999999999</v>
      </c>
      <c r="I87" s="73">
        <v>131</v>
      </c>
      <c r="J87" s="73">
        <v>127.1</v>
      </c>
      <c r="K87" s="73">
        <v>124.4</v>
      </c>
      <c r="L87" s="73">
        <v>129.19999999999999</v>
      </c>
      <c r="M87" s="73">
        <v>126.6</v>
      </c>
      <c r="N87" s="73">
        <v>127.9</v>
      </c>
      <c r="O87" s="73">
        <v>130.4</v>
      </c>
      <c r="P87" s="73">
        <v>128.30000000000001</v>
      </c>
      <c r="Q87" s="73">
        <v>128.30000000000001</v>
      </c>
      <c r="R87" s="73">
        <v>129.1</v>
      </c>
      <c r="S87" s="73">
        <v>129.19999999999999</v>
      </c>
      <c r="T87" s="73">
        <v>129.69999999999999</v>
      </c>
      <c r="U87" s="73">
        <v>128.9</v>
      </c>
      <c r="V87" s="73">
        <v>129.1</v>
      </c>
      <c r="W87" s="73">
        <v>126.3</v>
      </c>
      <c r="X87" s="98">
        <v>127.8</v>
      </c>
      <c r="Y87" s="98">
        <v>128.4</v>
      </c>
      <c r="Z87" s="98">
        <v>130.69999999999999</v>
      </c>
      <c r="AA87" s="98">
        <v>129.4</v>
      </c>
      <c r="AB87" s="73">
        <v>131.80000000000001</v>
      </c>
      <c r="AC87" s="73">
        <v>133</v>
      </c>
      <c r="AD87" s="73">
        <v>132</v>
      </c>
      <c r="AE87" s="73">
        <v>131.4</v>
      </c>
      <c r="AF87" s="73">
        <v>130.9</v>
      </c>
      <c r="AG87" s="99"/>
      <c r="AH87" s="54">
        <f t="shared" si="15"/>
        <v>133</v>
      </c>
      <c r="AI87" s="55">
        <f t="shared" si="16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133.6</v>
      </c>
      <c r="C88" s="73">
        <v>133.69999999999999</v>
      </c>
      <c r="D88" s="73">
        <v>132.6</v>
      </c>
      <c r="E88" s="73">
        <v>133</v>
      </c>
      <c r="F88" s="73">
        <v>133.5</v>
      </c>
      <c r="G88" s="73">
        <v>133.6</v>
      </c>
      <c r="H88" s="73">
        <v>133.6</v>
      </c>
      <c r="I88" s="73">
        <v>128.30000000000001</v>
      </c>
      <c r="J88" s="73">
        <v>128.69999999999999</v>
      </c>
      <c r="K88" s="73">
        <v>130.19999999999999</v>
      </c>
      <c r="L88" s="73">
        <v>134.19999999999999</v>
      </c>
      <c r="M88" s="73">
        <v>131.80000000000001</v>
      </c>
      <c r="N88" s="73">
        <v>132.5</v>
      </c>
      <c r="O88" s="73">
        <v>133.69999999999999</v>
      </c>
      <c r="P88" s="73">
        <v>131</v>
      </c>
      <c r="Q88" s="73">
        <v>131</v>
      </c>
      <c r="R88" s="73">
        <v>133</v>
      </c>
      <c r="S88" s="73">
        <v>132.4</v>
      </c>
      <c r="T88" s="73">
        <v>132.5</v>
      </c>
      <c r="U88" s="73">
        <v>131.19999999999999</v>
      </c>
      <c r="V88" s="73">
        <v>131.80000000000001</v>
      </c>
      <c r="W88" s="73">
        <v>130.4</v>
      </c>
      <c r="X88" s="98">
        <v>131.6</v>
      </c>
      <c r="Y88" s="98">
        <v>133.19999999999999</v>
      </c>
      <c r="Z88" s="98">
        <v>135.5</v>
      </c>
      <c r="AA88" s="98">
        <v>132.9</v>
      </c>
      <c r="AB88" s="73">
        <v>136.6</v>
      </c>
      <c r="AC88" s="73">
        <v>137</v>
      </c>
      <c r="AD88" s="73">
        <v>135</v>
      </c>
      <c r="AE88" s="73">
        <v>135</v>
      </c>
      <c r="AF88" s="73">
        <v>134.80000000000001</v>
      </c>
      <c r="AG88" s="99"/>
      <c r="AH88" s="54">
        <f t="shared" si="15"/>
        <v>137</v>
      </c>
      <c r="AI88" s="55">
        <f t="shared" si="16"/>
        <v>128.30000000000001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131.69999999999999</v>
      </c>
      <c r="C89" s="101">
        <v>131.6</v>
      </c>
      <c r="D89" s="101">
        <v>135.19999999999999</v>
      </c>
      <c r="E89" s="101">
        <v>130.69999999999999</v>
      </c>
      <c r="F89" s="101">
        <v>130.9</v>
      </c>
      <c r="G89" s="101">
        <v>132.30000000000001</v>
      </c>
      <c r="H89" s="101">
        <v>132.30000000000001</v>
      </c>
      <c r="I89" s="101">
        <v>131.1</v>
      </c>
      <c r="J89" s="101">
        <v>129.69999999999999</v>
      </c>
      <c r="K89" s="101">
        <v>130.4</v>
      </c>
      <c r="L89" s="101">
        <v>133.80000000000001</v>
      </c>
      <c r="M89" s="101">
        <v>133.80000000000001</v>
      </c>
      <c r="N89" s="101">
        <v>133.30000000000001</v>
      </c>
      <c r="O89" s="101">
        <v>132.30000000000001</v>
      </c>
      <c r="P89" s="101">
        <v>136.19999999999999</v>
      </c>
      <c r="Q89" s="101">
        <v>136.19999999999999</v>
      </c>
      <c r="R89" s="101">
        <v>132.80000000000001</v>
      </c>
      <c r="S89" s="101">
        <v>132.1</v>
      </c>
      <c r="T89" s="101">
        <v>132.80000000000001</v>
      </c>
      <c r="U89" s="101">
        <v>134</v>
      </c>
      <c r="V89" s="101">
        <v>133.4</v>
      </c>
      <c r="W89" s="101">
        <v>132.5</v>
      </c>
      <c r="X89" s="98">
        <v>132.6</v>
      </c>
      <c r="Y89" s="98">
        <v>131.6</v>
      </c>
      <c r="Z89" s="98">
        <v>133.30000000000001</v>
      </c>
      <c r="AA89" s="98">
        <v>134</v>
      </c>
      <c r="AB89" s="101">
        <v>136.6</v>
      </c>
      <c r="AC89" s="101">
        <v>133</v>
      </c>
      <c r="AD89" s="101">
        <v>133.5</v>
      </c>
      <c r="AE89" s="101">
        <v>132.9</v>
      </c>
      <c r="AF89" s="101">
        <v>131.9</v>
      </c>
      <c r="AG89" s="102"/>
      <c r="AH89" s="54">
        <f t="shared" si="15"/>
        <v>136.6</v>
      </c>
      <c r="AI89" s="55">
        <f t="shared" si="16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138.1</v>
      </c>
      <c r="C90" s="73">
        <v>135.19999999999999</v>
      </c>
      <c r="D90" s="73">
        <v>135.19999999999999</v>
      </c>
      <c r="E90" s="73">
        <v>134.1</v>
      </c>
      <c r="F90" s="73">
        <v>135</v>
      </c>
      <c r="G90" s="73">
        <v>136.5</v>
      </c>
      <c r="H90" s="73">
        <v>136.5</v>
      </c>
      <c r="I90" s="73">
        <v>135.6</v>
      </c>
      <c r="J90" s="73">
        <v>130</v>
      </c>
      <c r="K90" s="73">
        <v>129.1</v>
      </c>
      <c r="L90" s="73">
        <v>126.6</v>
      </c>
      <c r="M90" s="73">
        <v>126.6</v>
      </c>
      <c r="N90" s="73">
        <v>132.5</v>
      </c>
      <c r="O90" s="73">
        <v>131.5</v>
      </c>
      <c r="P90" s="73">
        <v>130.1</v>
      </c>
      <c r="Q90" s="73">
        <v>130.1</v>
      </c>
      <c r="R90" s="73">
        <v>131.30000000000001</v>
      </c>
      <c r="S90" s="73">
        <v>132.30000000000001</v>
      </c>
      <c r="T90" s="73">
        <v>135.30000000000001</v>
      </c>
      <c r="U90" s="73">
        <v>130.6</v>
      </c>
      <c r="V90" s="73">
        <v>131</v>
      </c>
      <c r="W90" s="73">
        <v>130.69999999999999</v>
      </c>
      <c r="X90" s="98">
        <v>132.4</v>
      </c>
      <c r="Y90" s="98">
        <v>137</v>
      </c>
      <c r="Z90" s="98">
        <v>136.80000000000001</v>
      </c>
      <c r="AA90" s="98">
        <v>134.30000000000001</v>
      </c>
      <c r="AB90" s="73">
        <v>133</v>
      </c>
      <c r="AC90" s="73">
        <v>135</v>
      </c>
      <c r="AD90" s="73">
        <v>133</v>
      </c>
      <c r="AE90" s="73">
        <v>134</v>
      </c>
      <c r="AF90" s="73">
        <v>135.9</v>
      </c>
      <c r="AG90" s="99"/>
      <c r="AH90" s="54">
        <f t="shared" si="15"/>
        <v>138.1</v>
      </c>
      <c r="AI90" s="55">
        <f t="shared" si="16"/>
        <v>126.6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</v>
      </c>
      <c r="C91" s="103">
        <v>65.900000000000006</v>
      </c>
      <c r="D91" s="103">
        <v>66.400000000000006</v>
      </c>
      <c r="E91" s="103">
        <v>66.7</v>
      </c>
      <c r="F91" s="103">
        <v>66.2</v>
      </c>
      <c r="G91" s="103">
        <v>66</v>
      </c>
      <c r="H91" s="103">
        <v>66</v>
      </c>
      <c r="I91" s="103">
        <v>64.5</v>
      </c>
      <c r="J91" s="103">
        <v>64</v>
      </c>
      <c r="K91" s="103">
        <v>63.9</v>
      </c>
      <c r="L91" s="103">
        <v>64.5</v>
      </c>
      <c r="M91" s="103">
        <v>63.9</v>
      </c>
      <c r="N91" s="103">
        <v>63.8</v>
      </c>
      <c r="O91" s="103">
        <v>63.9</v>
      </c>
      <c r="P91" s="103">
        <v>63.7</v>
      </c>
      <c r="Q91" s="103">
        <v>63.7</v>
      </c>
      <c r="R91" s="103">
        <v>63.1</v>
      </c>
      <c r="S91" s="103">
        <v>63.5</v>
      </c>
      <c r="T91" s="103">
        <v>64.2</v>
      </c>
      <c r="U91" s="103">
        <v>64.2</v>
      </c>
      <c r="V91" s="103">
        <v>64.2</v>
      </c>
      <c r="W91" s="103">
        <v>63.7</v>
      </c>
      <c r="X91" s="103">
        <v>63</v>
      </c>
      <c r="Y91" s="103">
        <v>62.7</v>
      </c>
      <c r="Z91" s="103">
        <v>63.1</v>
      </c>
      <c r="AA91" s="103">
        <v>64.099999999999994</v>
      </c>
      <c r="AB91" s="103">
        <v>65.099999999999994</v>
      </c>
      <c r="AC91" s="103">
        <v>65</v>
      </c>
      <c r="AD91" s="103">
        <v>64.099999999999994</v>
      </c>
      <c r="AE91" s="103">
        <v>65.7</v>
      </c>
      <c r="AF91" s="103">
        <v>66</v>
      </c>
      <c r="AG91" s="104"/>
      <c r="AH91" s="54">
        <f t="shared" si="15"/>
        <v>66.7</v>
      </c>
      <c r="AI91" s="55">
        <f t="shared" si="16"/>
        <v>62.7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198.94</v>
      </c>
      <c r="C93" s="110">
        <f>SUM(C15,C18,C21:C22,C42,C44:C45,C47,C49,C94:C97,C102,C108,C114,C123,C125,C137,C144,C147:C148,C155,C157,C159,C163:C165,C167:C169,C174,C180:C181,C183:C185,C193,C198)</f>
        <v>184.13999999999996</v>
      </c>
      <c r="D93" s="110">
        <f t="shared" ref="D93:AF93" si="23">SUM(D15,D18,D21:D22,D42,D44:D45,D47,D49,D94:D97,D102,D108,D114,D123,D125,D137,D144,D147:D148,D155,D157,D159,D163:D165,D167:D169,D174,D180:D181,D183:D185,D193,D198)</f>
        <v>178.43999999999997</v>
      </c>
      <c r="E93" s="110">
        <f t="shared" si="23"/>
        <v>173.44</v>
      </c>
      <c r="F93" s="110">
        <f t="shared" si="23"/>
        <v>186.23999999999995</v>
      </c>
      <c r="G93" s="109">
        <f t="shared" si="23"/>
        <v>206.14</v>
      </c>
      <c r="H93" s="109">
        <f t="shared" si="23"/>
        <v>248.73999999999998</v>
      </c>
      <c r="I93" s="109">
        <f t="shared" si="23"/>
        <v>251.04</v>
      </c>
      <c r="J93" s="109">
        <f t="shared" si="23"/>
        <v>320.94</v>
      </c>
      <c r="K93" s="109">
        <f t="shared" si="23"/>
        <v>442.64000000000004</v>
      </c>
      <c r="L93" s="109">
        <f t="shared" si="23"/>
        <v>446.54</v>
      </c>
      <c r="M93" s="109">
        <f t="shared" si="23"/>
        <v>458.14000000000004</v>
      </c>
      <c r="N93" s="109">
        <f t="shared" si="23"/>
        <v>427.84000000000003</v>
      </c>
      <c r="O93" s="109">
        <f t="shared" si="23"/>
        <v>417.84000000000003</v>
      </c>
      <c r="P93" s="109">
        <f t="shared" si="23"/>
        <v>406.84000000000003</v>
      </c>
      <c r="Q93" s="109">
        <f t="shared" si="23"/>
        <v>389.54000000000008</v>
      </c>
      <c r="R93" s="109">
        <f t="shared" si="23"/>
        <v>357.54000000000008</v>
      </c>
      <c r="S93" s="109">
        <f t="shared" si="23"/>
        <v>351.34000000000003</v>
      </c>
      <c r="T93" s="109">
        <f t="shared" si="23"/>
        <v>390.24</v>
      </c>
      <c r="U93" s="109">
        <f t="shared" si="23"/>
        <v>372.64000000000004</v>
      </c>
      <c r="V93" s="109">
        <f t="shared" si="23"/>
        <v>407.84000000000003</v>
      </c>
      <c r="W93" s="109">
        <f t="shared" si="23"/>
        <v>458.54000000000008</v>
      </c>
      <c r="X93" s="109">
        <f t="shared" si="23"/>
        <v>496.94000000000005</v>
      </c>
      <c r="Y93" s="109">
        <f t="shared" si="23"/>
        <v>499.24000000000007</v>
      </c>
      <c r="Z93" s="109">
        <f t="shared" si="23"/>
        <v>494.94000000000005</v>
      </c>
      <c r="AA93" s="109">
        <f t="shared" si="23"/>
        <v>484.54</v>
      </c>
      <c r="AB93" s="109">
        <f t="shared" si="23"/>
        <v>471.04000000000008</v>
      </c>
      <c r="AC93" s="109">
        <f t="shared" si="23"/>
        <v>436.54000000000008</v>
      </c>
      <c r="AD93" s="109">
        <f t="shared" si="23"/>
        <v>398.54000000000008</v>
      </c>
      <c r="AE93" s="109">
        <f t="shared" si="23"/>
        <v>299.14000000000004</v>
      </c>
      <c r="AF93" s="109">
        <f t="shared" si="23"/>
        <v>197.54</v>
      </c>
      <c r="AG93" s="111"/>
      <c r="AH93" s="54">
        <f>MAX(C93:AF93)</f>
        <v>499.24000000000007</v>
      </c>
      <c r="AI93" s="55">
        <f>MIN(C93:AF93)</f>
        <v>173.44</v>
      </c>
    </row>
    <row r="94" spans="1:88" x14ac:dyDescent="0.25">
      <c r="A94" s="112" t="s">
        <v>98</v>
      </c>
      <c r="B94" s="175">
        <v>11.1</v>
      </c>
      <c r="C94" s="58">
        <v>14.5</v>
      </c>
      <c r="D94" s="58">
        <v>18.600000000000001</v>
      </c>
      <c r="E94" s="58">
        <v>22.9</v>
      </c>
      <c r="F94" s="58">
        <v>9.1</v>
      </c>
      <c r="G94" s="114">
        <v>16.8</v>
      </c>
      <c r="H94" s="114">
        <v>14.4</v>
      </c>
      <c r="I94" s="114">
        <v>34.200000000000003</v>
      </c>
      <c r="J94" s="114">
        <v>53.3</v>
      </c>
      <c r="K94" s="114">
        <v>60.8</v>
      </c>
      <c r="L94" s="114">
        <v>60.5</v>
      </c>
      <c r="M94" s="113">
        <v>56.8</v>
      </c>
      <c r="N94" s="114">
        <v>66</v>
      </c>
      <c r="O94" s="114">
        <v>84</v>
      </c>
      <c r="P94" s="114">
        <v>64.599999999999994</v>
      </c>
      <c r="Q94" s="114">
        <v>56</v>
      </c>
      <c r="R94" s="114">
        <v>46</v>
      </c>
      <c r="S94" s="114">
        <v>46.6</v>
      </c>
      <c r="T94" s="114">
        <v>50.1</v>
      </c>
      <c r="U94" s="113">
        <v>68</v>
      </c>
      <c r="V94" s="113">
        <v>83.2</v>
      </c>
      <c r="W94" s="113">
        <v>81.7</v>
      </c>
      <c r="X94" s="114">
        <v>60.6</v>
      </c>
      <c r="Y94" s="114">
        <v>65.400000000000006</v>
      </c>
      <c r="Z94" s="114">
        <v>68.900000000000006</v>
      </c>
      <c r="AA94" s="114">
        <v>72.099999999999994</v>
      </c>
      <c r="AB94" s="113">
        <v>81</v>
      </c>
      <c r="AC94" s="113">
        <v>85</v>
      </c>
      <c r="AD94" s="113">
        <v>66</v>
      </c>
      <c r="AE94" s="113">
        <v>41.6</v>
      </c>
      <c r="AF94" s="113">
        <v>35</v>
      </c>
      <c r="AG94" s="115">
        <v>75</v>
      </c>
      <c r="AH94" s="54">
        <f t="shared" ref="AH94:AH99" si="24">IF(ABS(MAX(C94:AF94))&gt;ABS(MIN(C94:AF94)),MAX(C94:AF94),MIN(C94:AF94))</f>
        <v>85</v>
      </c>
      <c r="AI94" s="116">
        <f t="shared" ref="AI94:AI99" si="25">INDEX($C$9:$AF$9,1,MATCH(AH94,C94:AF94,0))</f>
        <v>0.85416666666666663</v>
      </c>
    </row>
    <row r="95" spans="1:88" x14ac:dyDescent="0.25">
      <c r="A95" s="117" t="s">
        <v>99</v>
      </c>
      <c r="B95" s="176">
        <v>-66.5</v>
      </c>
      <c r="C95" s="60">
        <v>-77.400000000000006</v>
      </c>
      <c r="D95" s="60">
        <v>-80</v>
      </c>
      <c r="E95" s="60">
        <v>-78.599999999999994</v>
      </c>
      <c r="F95" s="60">
        <v>-71.3</v>
      </c>
      <c r="G95" s="60">
        <v>-63.7</v>
      </c>
      <c r="H95" s="60">
        <v>-34</v>
      </c>
      <c r="I95" s="60">
        <v>-32</v>
      </c>
      <c r="J95" s="60">
        <v>-15</v>
      </c>
      <c r="K95" s="60">
        <v>29</v>
      </c>
      <c r="L95" s="60">
        <v>31</v>
      </c>
      <c r="M95" s="60">
        <v>36.799999999999997</v>
      </c>
      <c r="N95" s="60">
        <v>24</v>
      </c>
      <c r="O95" s="60">
        <v>23</v>
      </c>
      <c r="P95" s="60">
        <v>13.9</v>
      </c>
      <c r="Q95" s="60">
        <v>12</v>
      </c>
      <c r="R95" s="60">
        <v>11</v>
      </c>
      <c r="S95" s="60">
        <v>6</v>
      </c>
      <c r="T95" s="60">
        <v>29</v>
      </c>
      <c r="U95" s="60">
        <v>3.3</v>
      </c>
      <c r="V95" s="60">
        <v>36</v>
      </c>
      <c r="W95" s="60">
        <v>52.2</v>
      </c>
      <c r="X95" s="60">
        <v>90.3</v>
      </c>
      <c r="Y95" s="60">
        <v>88</v>
      </c>
      <c r="Z95" s="60">
        <v>82</v>
      </c>
      <c r="AA95" s="60">
        <v>72.599999999999994</v>
      </c>
      <c r="AB95" s="73">
        <v>62.5</v>
      </c>
      <c r="AC95" s="73">
        <v>45</v>
      </c>
      <c r="AD95" s="73">
        <v>18</v>
      </c>
      <c r="AE95" s="73">
        <v>-10</v>
      </c>
      <c r="AF95" s="73">
        <v>-55</v>
      </c>
      <c r="AG95" s="115">
        <v>240</v>
      </c>
      <c r="AH95" s="54">
        <f t="shared" si="24"/>
        <v>90.3</v>
      </c>
      <c r="AI95" s="116">
        <f t="shared" si="25"/>
        <v>0.75</v>
      </c>
    </row>
    <row r="96" spans="1:88" x14ac:dyDescent="0.25">
      <c r="A96" s="117" t="s">
        <v>100</v>
      </c>
      <c r="B96" s="176">
        <v>29.4</v>
      </c>
      <c r="C96" s="60">
        <v>15.1</v>
      </c>
      <c r="D96" s="60">
        <v>14.3</v>
      </c>
      <c r="E96" s="60">
        <v>14.2</v>
      </c>
      <c r="F96" s="60">
        <v>13.8</v>
      </c>
      <c r="G96" s="60">
        <v>13.4</v>
      </c>
      <c r="H96" s="60">
        <v>10</v>
      </c>
      <c r="I96" s="60">
        <v>12.9</v>
      </c>
      <c r="J96" s="60">
        <v>5.2</v>
      </c>
      <c r="K96" s="60">
        <v>57.8</v>
      </c>
      <c r="L96" s="60">
        <v>59</v>
      </c>
      <c r="M96" s="60">
        <v>61.4</v>
      </c>
      <c r="N96" s="60">
        <v>49</v>
      </c>
      <c r="O96" s="60">
        <v>51</v>
      </c>
      <c r="P96" s="60">
        <v>46.8</v>
      </c>
      <c r="Q96" s="60">
        <v>36</v>
      </c>
      <c r="R96" s="60">
        <v>11</v>
      </c>
      <c r="S96" s="60">
        <v>11.4</v>
      </c>
      <c r="T96" s="60">
        <v>24.7</v>
      </c>
      <c r="U96" s="60">
        <v>40.6</v>
      </c>
      <c r="V96" s="60">
        <v>56.9</v>
      </c>
      <c r="W96" s="60">
        <v>62.3</v>
      </c>
      <c r="X96" s="60">
        <v>65</v>
      </c>
      <c r="Y96" s="60">
        <v>65.099999999999994</v>
      </c>
      <c r="Z96" s="60">
        <v>65.5</v>
      </c>
      <c r="AA96" s="60">
        <v>65.099999999999994</v>
      </c>
      <c r="AB96" s="73">
        <v>60</v>
      </c>
      <c r="AC96" s="73">
        <v>52</v>
      </c>
      <c r="AD96" s="73">
        <v>43</v>
      </c>
      <c r="AE96" s="73">
        <v>8</v>
      </c>
      <c r="AF96" s="73">
        <v>-5</v>
      </c>
      <c r="AG96" s="115">
        <v>60</v>
      </c>
      <c r="AH96" s="54">
        <f t="shared" si="24"/>
        <v>65.5</v>
      </c>
      <c r="AI96" s="116">
        <f t="shared" si="25"/>
        <v>0.79166666666666663</v>
      </c>
    </row>
    <row r="97" spans="1:37" x14ac:dyDescent="0.25">
      <c r="A97" s="118" t="s">
        <v>101</v>
      </c>
      <c r="B97" s="177">
        <v>35.700000000000003</v>
      </c>
      <c r="C97" s="63">
        <v>42.1</v>
      </c>
      <c r="D97" s="63">
        <v>35.700000000000003</v>
      </c>
      <c r="E97" s="63">
        <v>25</v>
      </c>
      <c r="F97" s="63">
        <v>44.7</v>
      </c>
      <c r="G97" s="63">
        <v>49.7</v>
      </c>
      <c r="H97" s="63">
        <v>68.400000000000006</v>
      </c>
      <c r="I97" s="63">
        <v>46</v>
      </c>
      <c r="J97" s="63">
        <v>87.5</v>
      </c>
      <c r="K97" s="63">
        <v>105</v>
      </c>
      <c r="L97" s="63">
        <v>106</v>
      </c>
      <c r="M97" s="63">
        <v>113.3</v>
      </c>
      <c r="N97" s="63">
        <v>99</v>
      </c>
      <c r="O97" s="63">
        <v>70</v>
      </c>
      <c r="P97" s="63">
        <v>92.5</v>
      </c>
      <c r="Q97" s="63">
        <v>96</v>
      </c>
      <c r="R97" s="63">
        <v>100</v>
      </c>
      <c r="S97" s="63">
        <v>97.8</v>
      </c>
      <c r="T97" s="63">
        <v>96.9</v>
      </c>
      <c r="U97" s="63">
        <v>101.2</v>
      </c>
      <c r="V97" s="63">
        <v>82.2</v>
      </c>
      <c r="W97" s="63">
        <v>82.8</v>
      </c>
      <c r="X97" s="63">
        <v>101.5</v>
      </c>
      <c r="Y97" s="63">
        <v>101.2</v>
      </c>
      <c r="Z97" s="63">
        <v>99</v>
      </c>
      <c r="AA97" s="63">
        <v>95.2</v>
      </c>
      <c r="AB97" s="119">
        <v>88</v>
      </c>
      <c r="AC97" s="119">
        <v>75</v>
      </c>
      <c r="AD97" s="119">
        <v>92</v>
      </c>
      <c r="AE97" s="119">
        <v>80</v>
      </c>
      <c r="AF97" s="119">
        <v>43</v>
      </c>
      <c r="AG97" s="120">
        <v>120</v>
      </c>
      <c r="AH97" s="54">
        <f t="shared" si="24"/>
        <v>113.3</v>
      </c>
      <c r="AI97" s="116">
        <f t="shared" si="25"/>
        <v>0.33333333333333331</v>
      </c>
    </row>
    <row r="98" spans="1:37" x14ac:dyDescent="0.25">
      <c r="A98" s="118" t="s">
        <v>102</v>
      </c>
      <c r="B98" s="177">
        <v>50.3</v>
      </c>
      <c r="C98" s="63">
        <v>56.2</v>
      </c>
      <c r="D98" s="63">
        <v>50</v>
      </c>
      <c r="E98" s="63">
        <v>38</v>
      </c>
      <c r="F98" s="63">
        <v>58</v>
      </c>
      <c r="G98" s="63">
        <v>62</v>
      </c>
      <c r="H98" s="63">
        <v>71</v>
      </c>
      <c r="I98" s="63">
        <v>78</v>
      </c>
      <c r="J98" s="63">
        <v>78.400000000000006</v>
      </c>
      <c r="K98" s="63">
        <v>98</v>
      </c>
      <c r="L98" s="63">
        <v>109</v>
      </c>
      <c r="M98" s="63">
        <v>99.5</v>
      </c>
      <c r="N98" s="63">
        <v>92</v>
      </c>
      <c r="O98" s="63">
        <v>56</v>
      </c>
      <c r="P98" s="63">
        <v>85.9</v>
      </c>
      <c r="Q98" s="63">
        <v>90</v>
      </c>
      <c r="R98" s="63">
        <v>96</v>
      </c>
      <c r="S98" s="63">
        <v>89.7</v>
      </c>
      <c r="T98" s="63">
        <v>96.7</v>
      </c>
      <c r="U98" s="63">
        <v>69.400000000000006</v>
      </c>
      <c r="V98" s="63">
        <v>51.4</v>
      </c>
      <c r="W98" s="63">
        <v>68.2</v>
      </c>
      <c r="X98" s="63">
        <v>108.4</v>
      </c>
      <c r="Y98" s="63">
        <v>103.3</v>
      </c>
      <c r="Z98" s="63">
        <v>92.8</v>
      </c>
      <c r="AA98" s="63">
        <v>77.099999999999994</v>
      </c>
      <c r="AB98" s="119">
        <v>61</v>
      </c>
      <c r="AC98" s="119">
        <v>85</v>
      </c>
      <c r="AD98" s="119">
        <v>83</v>
      </c>
      <c r="AE98" s="119">
        <v>80</v>
      </c>
      <c r="AF98" s="119">
        <v>51</v>
      </c>
      <c r="AG98" s="120"/>
      <c r="AH98" s="54">
        <f t="shared" si="24"/>
        <v>109</v>
      </c>
      <c r="AI98" s="116">
        <f t="shared" si="25"/>
        <v>0.3125</v>
      </c>
    </row>
    <row r="99" spans="1:37" ht="15.75" thickBot="1" x14ac:dyDescent="0.3">
      <c r="A99" s="118" t="s">
        <v>217</v>
      </c>
      <c r="B99" s="177">
        <v>66.5</v>
      </c>
      <c r="C99" s="63">
        <v>63.2</v>
      </c>
      <c r="D99" s="63">
        <v>56.6</v>
      </c>
      <c r="E99" s="63">
        <v>54.2</v>
      </c>
      <c r="F99" s="63">
        <v>39</v>
      </c>
      <c r="G99" s="63">
        <v>33.6</v>
      </c>
      <c r="H99" s="63">
        <v>59.6</v>
      </c>
      <c r="I99" s="63">
        <v>26.2</v>
      </c>
      <c r="J99" s="63">
        <v>23.2</v>
      </c>
      <c r="K99" s="63">
        <v>30</v>
      </c>
      <c r="L99" s="63">
        <v>33</v>
      </c>
      <c r="M99" s="63">
        <v>29.4</v>
      </c>
      <c r="N99" s="63">
        <v>26</v>
      </c>
      <c r="O99" s="63">
        <v>2</v>
      </c>
      <c r="P99" s="63">
        <v>38.799999999999997</v>
      </c>
      <c r="Q99" s="63">
        <v>28</v>
      </c>
      <c r="R99" s="63">
        <v>10</v>
      </c>
      <c r="S99" s="63">
        <v>9.8000000000000007</v>
      </c>
      <c r="T99" s="63">
        <v>15</v>
      </c>
      <c r="U99" s="63">
        <v>15.4</v>
      </c>
      <c r="V99" s="63">
        <v>0</v>
      </c>
      <c r="W99" s="63">
        <v>7.6</v>
      </c>
      <c r="X99" s="63">
        <v>31.8</v>
      </c>
      <c r="Y99" s="63">
        <v>27.7</v>
      </c>
      <c r="Z99" s="63">
        <v>24.9</v>
      </c>
      <c r="AA99" s="63">
        <v>18.8</v>
      </c>
      <c r="AB99" s="119">
        <v>11</v>
      </c>
      <c r="AC99" s="119">
        <v>1</v>
      </c>
      <c r="AD99" s="119">
        <v>19</v>
      </c>
      <c r="AE99" s="119">
        <v>37</v>
      </c>
      <c r="AF99" s="119">
        <v>57</v>
      </c>
      <c r="AG99" s="121"/>
      <c r="AH99" s="54">
        <f t="shared" si="24"/>
        <v>63.2</v>
      </c>
      <c r="AI99" s="116">
        <f t="shared" si="25"/>
        <v>4.1666666666666664E-2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1590.1400000000003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2078/09/20)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930.7399999999999</v>
      </c>
      <c r="U213" s="167">
        <f t="shared" si="62"/>
        <v>910.74</v>
      </c>
      <c r="V213" s="167">
        <f t="shared" si="62"/>
        <v>889.84</v>
      </c>
      <c r="W213" s="167">
        <f t="shared" si="62"/>
        <v>891.64</v>
      </c>
      <c r="X213" s="167">
        <f t="shared" si="62"/>
        <v>872.14</v>
      </c>
      <c r="Y213" s="167">
        <f t="shared" si="62"/>
        <v>941.93999999999983</v>
      </c>
      <c r="Z213" s="167">
        <f t="shared" si="62"/>
        <v>983.54</v>
      </c>
      <c r="AA213" s="167">
        <f t="shared" si="62"/>
        <v>1120.6399999999999</v>
      </c>
      <c r="AB213" s="167">
        <f t="shared" si="62"/>
        <v>1219.3400000000001</v>
      </c>
      <c r="AC213" s="167">
        <f t="shared" si="62"/>
        <v>1587.3400000000001</v>
      </c>
      <c r="AD213" s="167">
        <f t="shared" si="62"/>
        <v>1480.5400000000002</v>
      </c>
      <c r="AE213" s="167">
        <f t="shared" si="62"/>
        <v>1590.1400000000003</v>
      </c>
      <c r="AF213" s="167">
        <f t="shared" si="62"/>
        <v>1501.3400000000001</v>
      </c>
      <c r="AG213" s="167">
        <f t="shared" si="62"/>
        <v>1449.94</v>
      </c>
      <c r="AH213" s="167">
        <f t="shared" si="62"/>
        <v>1413.6399999999999</v>
      </c>
      <c r="AI213" s="167">
        <f t="shared" si="62"/>
        <v>1249.44</v>
      </c>
      <c r="AJ213" s="167">
        <f t="shared" si="62"/>
        <v>1255.04</v>
      </c>
      <c r="AK213" s="167">
        <f t="shared" si="62"/>
        <v>1248.24</v>
      </c>
      <c r="AL213" s="167">
        <f t="shared" si="62"/>
        <v>1271.44</v>
      </c>
      <c r="AM213" s="167">
        <f t="shared" si="62"/>
        <v>1326.44</v>
      </c>
      <c r="AN213" s="167">
        <f t="shared" si="62"/>
        <v>1359.74</v>
      </c>
      <c r="AO213" s="167">
        <f t="shared" si="62"/>
        <v>1512.3400000000001</v>
      </c>
      <c r="AP213" s="167">
        <f t="shared" si="62"/>
        <v>1628.8400000000001</v>
      </c>
      <c r="AQ213" s="167">
        <f t="shared" si="62"/>
        <v>1613.2400000000002</v>
      </c>
      <c r="AR213" s="167">
        <f t="shared" si="62"/>
        <v>1600.9400000000003</v>
      </c>
      <c r="AS213" s="167">
        <f t="shared" si="62"/>
        <v>1542.44</v>
      </c>
      <c r="AT213" s="167">
        <f t="shared" si="62"/>
        <v>1460.14</v>
      </c>
      <c r="AU213" s="167">
        <f t="shared" si="62"/>
        <v>1420.24</v>
      </c>
      <c r="AV213" s="167">
        <f t="shared" si="62"/>
        <v>1289.1400000000001</v>
      </c>
      <c r="AW213" s="167">
        <f t="shared" si="62"/>
        <v>1079.1400000000001</v>
      </c>
      <c r="AX213" s="167">
        <f t="shared" si="62"/>
        <v>971.14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 C57:L57 C63:D67 P39:R39 P40:Q42 R40:T41 X85:AA91 AB81:AF81 B81:R81 C56:AF56 B82:AF83 D193:AF199 B193:B199 C68:AF72 AB84:AF91 B84:B91 B73:AF80 B9:AF10 B191:AF191 AF57:AF61 B53:B72 AG73 AB94:AF99 B94:B99 U212:AF212 C58:H61 B36:M36 I60:O61 M39:O42 N36:R37 R42 M53:AF55 P60:R67 S62:S67 N45:U48 M11:W14 M16:W32 V47:W48 I58:W59 X11:AE11 U40:Z42 Z40:AE43 AB12:AF12 S36:AF36 X18:AF30 AF42:AF43">
    <cfRule type="expression" dxfId="3815" priority="251">
      <formula>B$9&gt;=20/24</formula>
    </cfRule>
    <cfRule type="expression" dxfId="3814" priority="252">
      <formula>AND(B$9&gt;=14/24,B$9&lt;20/24)</formula>
    </cfRule>
    <cfRule type="expression" dxfId="3813" priority="253">
      <formula>AND(B$9&gt;=8/24,B$9&lt;14/24)</formula>
    </cfRule>
    <cfRule type="expression" dxfId="3812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811" priority="246">
      <formula>M$9&gt;=20/24</formula>
    </cfRule>
    <cfRule type="expression" dxfId="3810" priority="247">
      <formula>AND(M$9&gt;=14/24,M$9&lt;20/24)</formula>
    </cfRule>
    <cfRule type="expression" dxfId="3809" priority="248">
      <formula>AND(M$9&gt;=8/24,M$9&lt;14/24)</formula>
    </cfRule>
    <cfRule type="expression" dxfId="3808" priority="249">
      <formula>M$9&lt;8/24</formula>
    </cfRule>
  </conditionalFormatting>
  <conditionalFormatting sqref="M43:U43">
    <cfRule type="expression" dxfId="3807" priority="242">
      <formula>M$9&gt;=20/24</formula>
    </cfRule>
    <cfRule type="expression" dxfId="3806" priority="243">
      <formula>AND(M$9&gt;=14/24,M$9&lt;20/24)</formula>
    </cfRule>
    <cfRule type="expression" dxfId="3805" priority="244">
      <formula>AND(M$9&gt;=8/24,M$9&lt;14/24)</formula>
    </cfRule>
    <cfRule type="expression" dxfId="3804" priority="245">
      <formula>M$9&lt;8/24</formula>
    </cfRule>
  </conditionalFormatting>
  <conditionalFormatting sqref="S39:AE39">
    <cfRule type="expression" dxfId="3803" priority="234">
      <formula>S$9&gt;=20/24</formula>
    </cfRule>
    <cfRule type="expression" dxfId="3802" priority="235">
      <formula>AND(S$9&gt;=14/24,S$9&lt;20/24)</formula>
    </cfRule>
    <cfRule type="expression" dxfId="3801" priority="236">
      <formula>AND(S$9&gt;=8/24,S$9&lt;14/24)</formula>
    </cfRule>
    <cfRule type="expression" dxfId="3800" priority="237">
      <formula>S$9&lt;8/24</formula>
    </cfRule>
  </conditionalFormatting>
  <conditionalFormatting sqref="S57:AE57">
    <cfRule type="expression" dxfId="3799" priority="230">
      <formula>S$9&gt;=20/24</formula>
    </cfRule>
    <cfRule type="expression" dxfId="3798" priority="231">
      <formula>AND(S$9&gt;=14/24,S$9&lt;20/24)</formula>
    </cfRule>
    <cfRule type="expression" dxfId="3797" priority="232">
      <formula>AND(S$9&gt;=8/24,S$9&lt;14/24)</formula>
    </cfRule>
    <cfRule type="expression" dxfId="3796" priority="233">
      <formula>S$9&lt;8/24</formula>
    </cfRule>
  </conditionalFormatting>
  <conditionalFormatting sqref="S81:AA81">
    <cfRule type="expression" dxfId="3795" priority="226">
      <formula>S$9&gt;=20/24</formula>
    </cfRule>
    <cfRule type="expression" dxfId="3794" priority="227">
      <formula>AND(S$9&gt;=14/24,S$9&lt;20/24)</formula>
    </cfRule>
    <cfRule type="expression" dxfId="3793" priority="228">
      <formula>AND(S$9&gt;=8/24,S$9&lt;14/24)</formula>
    </cfRule>
    <cfRule type="expression" dxfId="3792" priority="229">
      <formula>S$9&lt;8/24</formula>
    </cfRule>
  </conditionalFormatting>
  <conditionalFormatting sqref="U84:AA84">
    <cfRule type="expression" dxfId="3791" priority="222">
      <formula>U$9&gt;=20/24</formula>
    </cfRule>
    <cfRule type="expression" dxfId="3790" priority="223">
      <formula>AND(U$9&gt;=14/24,U$9&lt;20/24)</formula>
    </cfRule>
    <cfRule type="expression" dxfId="3789" priority="224">
      <formula>AND(U$9&gt;=8/24,U$9&lt;14/24)</formula>
    </cfRule>
    <cfRule type="expression" dxfId="3788" priority="225">
      <formula>U$9&lt;8/24</formula>
    </cfRule>
  </conditionalFormatting>
  <conditionalFormatting sqref="M35:W35">
    <cfRule type="expression" dxfId="3787" priority="218">
      <formula>M$9&gt;=20/24</formula>
    </cfRule>
    <cfRule type="expression" dxfId="3786" priority="219">
      <formula>AND(M$9&gt;=14/24,M$9&lt;20/24)</formula>
    </cfRule>
    <cfRule type="expression" dxfId="3785" priority="220">
      <formula>AND(M$9&gt;=8/24,M$9&lt;14/24)</formula>
    </cfRule>
    <cfRule type="expression" dxfId="3784" priority="221">
      <formula>M$9&lt;8/24</formula>
    </cfRule>
  </conditionalFormatting>
  <conditionalFormatting sqref="M49:W49">
    <cfRule type="expression" dxfId="3783" priority="214">
      <formula>M$9&gt;=20/24</formula>
    </cfRule>
    <cfRule type="expression" dxfId="3782" priority="215">
      <formula>AND(M$9&gt;=14/24,M$9&lt;20/24)</formula>
    </cfRule>
    <cfRule type="expression" dxfId="3781" priority="216">
      <formula>AND(M$9&gt;=8/24,M$9&lt;14/24)</formula>
    </cfRule>
    <cfRule type="expression" dxfId="3780" priority="217">
      <formula>M$9&lt;8/24</formula>
    </cfRule>
  </conditionalFormatting>
  <conditionalFormatting sqref="M50:W50">
    <cfRule type="expression" dxfId="3779" priority="210">
      <formula>M$9&gt;=20/24</formula>
    </cfRule>
    <cfRule type="expression" dxfId="3778" priority="211">
      <formula>AND(M$9&gt;=14/24,M$9&lt;20/24)</formula>
    </cfRule>
    <cfRule type="expression" dxfId="3777" priority="212">
      <formula>AND(M$9&gt;=8/24,M$9&lt;14/24)</formula>
    </cfRule>
    <cfRule type="expression" dxfId="3776" priority="213">
      <formula>M$9&lt;8/24</formula>
    </cfRule>
  </conditionalFormatting>
  <conditionalFormatting sqref="M45:U48 V47:W48">
    <cfRule type="expression" dxfId="3775" priority="206">
      <formula>M$9&gt;=20/24</formula>
    </cfRule>
    <cfRule type="expression" dxfId="3774" priority="207">
      <formula>AND(M$9&gt;=14/24,M$9&lt;20/24)</formula>
    </cfRule>
    <cfRule type="expression" dxfId="3773" priority="208">
      <formula>AND(M$9&gt;=8/24,M$9&lt;14/24)</formula>
    </cfRule>
    <cfRule type="expression" dxfId="3772" priority="209">
      <formula>M$9&lt;8/24</formula>
    </cfRule>
  </conditionalFormatting>
  <conditionalFormatting sqref="S37:AF37">
    <cfRule type="expression" dxfId="3771" priority="202">
      <formula>S$9&gt;=20/24</formula>
    </cfRule>
    <cfRule type="expression" dxfId="3770" priority="203">
      <formula>AND(S$9&gt;=14/24,S$9&lt;20/24)</formula>
    </cfRule>
    <cfRule type="expression" dxfId="3769" priority="204">
      <formula>AND(S$9&gt;=8/24,S$9&lt;14/24)</formula>
    </cfRule>
    <cfRule type="expression" dxfId="3768" priority="205">
      <formula>S$9&lt;8/24</formula>
    </cfRule>
  </conditionalFormatting>
  <conditionalFormatting sqref="X31:AF32 X35:AF35">
    <cfRule type="expression" dxfId="3767" priority="198">
      <formula>X$9&gt;=20/24</formula>
    </cfRule>
    <cfRule type="expression" dxfId="3766" priority="199">
      <formula>AND(X$9&gt;=14/24,X$9&lt;20/24)</formula>
    </cfRule>
    <cfRule type="expression" dxfId="3765" priority="200">
      <formula>AND(X$9&gt;=8/24,X$9&lt;14/24)</formula>
    </cfRule>
    <cfRule type="expression" dxfId="3764" priority="201">
      <formula>X$9&lt;8/24</formula>
    </cfRule>
  </conditionalFormatting>
  <conditionalFormatting sqref="S42:U43 U43:AC43 S45:AF48">
    <cfRule type="expression" dxfId="3763" priority="194">
      <formula>S$9&gt;=20/24</formula>
    </cfRule>
    <cfRule type="expression" dxfId="3762" priority="195">
      <formula>AND(S$9&gt;=14/24,S$9&lt;20/24)</formula>
    </cfRule>
    <cfRule type="expression" dxfId="3761" priority="196">
      <formula>AND(S$9&gt;=8/24,S$9&lt;14/24)</formula>
    </cfRule>
    <cfRule type="expression" dxfId="3760" priority="197">
      <formula>S$9&lt;8/24</formula>
    </cfRule>
  </conditionalFormatting>
  <conditionalFormatting sqref="S49:AF49">
    <cfRule type="expression" dxfId="3759" priority="190">
      <formula>S$9&gt;=20/24</formula>
    </cfRule>
    <cfRule type="expression" dxfId="3758" priority="191">
      <formula>AND(S$9&gt;=14/24,S$9&lt;20/24)</formula>
    </cfRule>
    <cfRule type="expression" dxfId="3757" priority="192">
      <formula>AND(S$9&gt;=8/24,S$9&lt;14/24)</formula>
    </cfRule>
    <cfRule type="expression" dxfId="3756" priority="193">
      <formula>S$9&lt;8/24</formula>
    </cfRule>
  </conditionalFormatting>
  <conditionalFormatting sqref="S50:AF50">
    <cfRule type="expression" dxfId="3755" priority="186">
      <formula>S$9&gt;=20/24</formula>
    </cfRule>
    <cfRule type="expression" dxfId="3754" priority="187">
      <formula>AND(S$9&gt;=14/24,S$9&lt;20/24)</formula>
    </cfRule>
    <cfRule type="expression" dxfId="3753" priority="188">
      <formula>AND(S$9&gt;=8/24,S$9&lt;14/24)</formula>
    </cfRule>
    <cfRule type="expression" dxfId="3752" priority="189">
      <formula>S$9&lt;8/24</formula>
    </cfRule>
  </conditionalFormatting>
  <conditionalFormatting sqref="S60:T61 T62:U67 X60:AE67 AF62:AF67">
    <cfRule type="expression" dxfId="3751" priority="182">
      <formula>S$9&gt;=20/24</formula>
    </cfRule>
    <cfRule type="expression" dxfId="3750" priority="183">
      <formula>AND(S$9&gt;=14/24,S$9&lt;20/24)</formula>
    </cfRule>
    <cfRule type="expression" dxfId="3749" priority="184">
      <formula>AND(S$9&gt;=8/24,S$9&lt;14/24)</formula>
    </cfRule>
    <cfRule type="expression" dxfId="3748" priority="185">
      <formula>S$9&lt;8/24</formula>
    </cfRule>
  </conditionalFormatting>
  <conditionalFormatting sqref="I62:L67 C62:H62">
    <cfRule type="expression" dxfId="3747" priority="178">
      <formula>C$9&gt;=20/24</formula>
    </cfRule>
    <cfRule type="expression" dxfId="3746" priority="179">
      <formula>AND(C$9&gt;=14/24,C$9&lt;20/24)</formula>
    </cfRule>
    <cfRule type="expression" dxfId="3745" priority="180">
      <formula>AND(C$9&gt;=8/24,C$9&lt;14/24)</formula>
    </cfRule>
    <cfRule type="expression" dxfId="3744" priority="181">
      <formula>C$9&lt;8/24</formula>
    </cfRule>
  </conditionalFormatting>
  <conditionalFormatting sqref="U94:AA97">
    <cfRule type="expression" dxfId="3743" priority="174">
      <formula>U$9&gt;=20/24</formula>
    </cfRule>
    <cfRule type="expression" dxfId="3742" priority="175">
      <formula>AND(U$9&gt;=14/24,U$9&lt;20/24)</formula>
    </cfRule>
    <cfRule type="expression" dxfId="3741" priority="176">
      <formula>AND(U$9&gt;=8/24,U$9&lt;14/24)</formula>
    </cfRule>
    <cfRule type="expression" dxfId="3740" priority="177">
      <formula>U$9&lt;8/24</formula>
    </cfRule>
  </conditionalFormatting>
  <conditionalFormatting sqref="AG51 G11:M11 B11:F32 L12:M12 G12:K32 M13:M14 L13:L32 M16:W32 N11:W14 X11:AF11 AB12:AF12 X18:AF32 B34:AF56">
    <cfRule type="expression" dxfId="3739" priority="173">
      <formula>B11&gt;$AG11</formula>
    </cfRule>
  </conditionalFormatting>
  <conditionalFormatting sqref="A100:A156 A84:A97 A11:A14 A16:A32 A45:A72 A80:A82 A74:A78 A35:A43 A169:A199">
    <cfRule type="expression" dxfId="3738" priority="172">
      <formula>$AH11=0</formula>
    </cfRule>
  </conditionalFormatting>
  <conditionalFormatting sqref="U98:AA98">
    <cfRule type="expression" dxfId="3737" priority="168">
      <formula>U$9&gt;=20/24</formula>
    </cfRule>
    <cfRule type="expression" dxfId="3736" priority="169">
      <formula>AND(U$9&gt;=14/24,U$9&lt;20/24)</formula>
    </cfRule>
    <cfRule type="expression" dxfId="3735" priority="170">
      <formula>AND(U$9&gt;=8/24,U$9&lt;14/24)</formula>
    </cfRule>
    <cfRule type="expression" dxfId="3734" priority="171">
      <formula>U$9&lt;8/24</formula>
    </cfRule>
  </conditionalFormatting>
  <conditionalFormatting sqref="A98">
    <cfRule type="expression" dxfId="3733" priority="167">
      <formula>$AH98=0</formula>
    </cfRule>
  </conditionalFormatting>
  <conditionalFormatting sqref="E63:H67">
    <cfRule type="expression" dxfId="3732" priority="159">
      <formula>E$9&gt;=20/24</formula>
    </cfRule>
    <cfRule type="expression" dxfId="3731" priority="160">
      <formula>AND(E$9&gt;=14/24,E$9&lt;20/24)</formula>
    </cfRule>
    <cfRule type="expression" dxfId="3730" priority="161">
      <formula>AND(E$9&gt;=8/24,E$9&lt;14/24)</formula>
    </cfRule>
    <cfRule type="expression" dxfId="3729" priority="162">
      <formula>E$9&lt;8/24</formula>
    </cfRule>
  </conditionalFormatting>
  <conditionalFormatting sqref="M62:O67">
    <cfRule type="expression" dxfId="3728" priority="155">
      <formula>M$9&gt;=20/24</formula>
    </cfRule>
    <cfRule type="expression" dxfId="3727" priority="156">
      <formula>AND(M$9&gt;=14/24,M$9&lt;20/24)</formula>
    </cfRule>
    <cfRule type="expression" dxfId="3726" priority="157">
      <formula>AND(M$9&gt;=8/24,M$9&lt;14/24)</formula>
    </cfRule>
    <cfRule type="expression" dxfId="3725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M34:W34">
    <cfRule type="expression" dxfId="3724" priority="146">
      <formula>M$9&gt;=20/24</formula>
    </cfRule>
    <cfRule type="expression" dxfId="3723" priority="147">
      <formula>AND(M$9&gt;=14/24,M$9&lt;20/24)</formula>
    </cfRule>
    <cfRule type="expression" dxfId="3722" priority="148">
      <formula>AND(M$9&gt;=8/24,M$9&lt;14/24)</formula>
    </cfRule>
    <cfRule type="expression" dxfId="3721" priority="149">
      <formula>M$9&lt;8/24</formula>
    </cfRule>
  </conditionalFormatting>
  <conditionalFormatting sqref="X34:AF34">
    <cfRule type="expression" dxfId="3720" priority="142">
      <formula>X$9&gt;=20/24</formula>
    </cfRule>
    <cfRule type="expression" dxfId="3719" priority="143">
      <formula>AND(X$9&gt;=14/24,X$9&lt;20/24)</formula>
    </cfRule>
    <cfRule type="expression" dxfId="3718" priority="144">
      <formula>AND(X$9&gt;=8/24,X$9&lt;14/24)</formula>
    </cfRule>
    <cfRule type="expression" dxfId="3717" priority="145">
      <formula>X$9&lt;8/24</formula>
    </cfRule>
  </conditionalFormatting>
  <conditionalFormatting sqref="A34">
    <cfRule type="expression" dxfId="3716" priority="141">
      <formula>$AH34=0</formula>
    </cfRule>
  </conditionalFormatting>
  <conditionalFormatting sqref="A83">
    <cfRule type="expression" dxfId="3715" priority="140">
      <formula>$AH83=0</formula>
    </cfRule>
  </conditionalFormatting>
  <conditionalFormatting sqref="M15:W15">
    <cfRule type="expression" dxfId="3714" priority="132">
      <formula>M$9&gt;=20/24</formula>
    </cfRule>
    <cfRule type="expression" dxfId="3713" priority="133">
      <formula>AND(M$9&gt;=14/24,M$9&lt;20/24)</formula>
    </cfRule>
    <cfRule type="expression" dxfId="3712" priority="134">
      <formula>AND(M$9&gt;=8/24,M$9&lt;14/24)</formula>
    </cfRule>
    <cfRule type="expression" dxfId="3711" priority="135">
      <formula>M$9&lt;8/24</formula>
    </cfRule>
  </conditionalFormatting>
  <conditionalFormatting sqref="M15:W15">
    <cfRule type="expression" dxfId="3710" priority="131">
      <formula>M15&gt;$AG15</formula>
    </cfRule>
  </conditionalFormatting>
  <conditionalFormatting sqref="A15">
    <cfRule type="expression" dxfId="3709" priority="130">
      <formula>$AH15=0</formula>
    </cfRule>
  </conditionalFormatting>
  <conditionalFormatting sqref="A163:A168">
    <cfRule type="expression" dxfId="3708" priority="129">
      <formula>$AH163=0</formula>
    </cfRule>
  </conditionalFormatting>
  <conditionalFormatting sqref="A157:A162">
    <cfRule type="expression" dxfId="3707" priority="128">
      <formula>$AH157=0</formula>
    </cfRule>
  </conditionalFormatting>
  <conditionalFormatting sqref="Z44:AF44">
    <cfRule type="expression" dxfId="3706" priority="124">
      <formula>Z$9&gt;=20/24</formula>
    </cfRule>
    <cfRule type="expression" dxfId="3705" priority="125">
      <formula>AND(Z$9&gt;=14/24,Z$9&lt;20/24)</formula>
    </cfRule>
    <cfRule type="expression" dxfId="3704" priority="126">
      <formula>AND(Z$9&gt;=8/24,Z$9&lt;14/24)</formula>
    </cfRule>
    <cfRule type="expression" dxfId="3703" priority="127">
      <formula>Z$9&lt;8/24</formula>
    </cfRule>
  </conditionalFormatting>
  <conditionalFormatting sqref="M44:U44">
    <cfRule type="expression" dxfId="3702" priority="120">
      <formula>M$9&gt;=20/24</formula>
    </cfRule>
    <cfRule type="expression" dxfId="3701" priority="121">
      <formula>AND(M$9&gt;=14/24,M$9&lt;20/24)</formula>
    </cfRule>
    <cfRule type="expression" dxfId="3700" priority="122">
      <formula>AND(M$9&gt;=8/24,M$9&lt;14/24)</formula>
    </cfRule>
    <cfRule type="expression" dxfId="3699" priority="123">
      <formula>M$9&lt;8/24</formula>
    </cfRule>
  </conditionalFormatting>
  <conditionalFormatting sqref="S44:AF44">
    <cfRule type="expression" dxfId="3698" priority="116">
      <formula>S$9&gt;=20/24</formula>
    </cfRule>
    <cfRule type="expression" dxfId="3697" priority="117">
      <formula>AND(S$9&gt;=14/24,S$9&lt;20/24)</formula>
    </cfRule>
    <cfRule type="expression" dxfId="3696" priority="118">
      <formula>AND(S$9&gt;=8/24,S$9&lt;14/24)</formula>
    </cfRule>
    <cfRule type="expression" dxfId="3695" priority="119">
      <formula>S$9&lt;8/24</formula>
    </cfRule>
  </conditionalFormatting>
  <conditionalFormatting sqref="A44">
    <cfRule type="expression" dxfId="3694" priority="115">
      <formula>$AH44=0</formula>
    </cfRule>
  </conditionalFormatting>
  <conditionalFormatting sqref="A79">
    <cfRule type="expression" dxfId="3693" priority="114">
      <formula>$AH79=0</formula>
    </cfRule>
  </conditionalFormatting>
  <conditionalFormatting sqref="A73">
    <cfRule type="expression" dxfId="3692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V61 V62:V67 W60:W67">
    <cfRule type="expression" dxfId="3691" priority="109">
      <formula>U$9&gt;=20/24</formula>
    </cfRule>
    <cfRule type="expression" dxfId="3690" priority="110">
      <formula>AND(U$9&gt;=14/24,U$9&lt;20/24)</formula>
    </cfRule>
    <cfRule type="expression" dxfId="3689" priority="111">
      <formula>AND(U$9&gt;=8/24,U$9&lt;14/24)</formula>
    </cfRule>
    <cfRule type="expression" dxfId="3688" priority="112">
      <formula>U$9&lt;8/24</formula>
    </cfRule>
  </conditionalFormatting>
  <conditionalFormatting sqref="U85:W91">
    <cfRule type="expression" dxfId="3687" priority="105">
      <formula>U$9&gt;=20/24</formula>
    </cfRule>
    <cfRule type="expression" dxfId="3686" priority="106">
      <formula>AND(U$9&gt;=14/24,U$9&lt;20/24)</formula>
    </cfRule>
    <cfRule type="expression" dxfId="3685" priority="107">
      <formula>AND(U$9&gt;=8/24,U$9&lt;14/24)</formula>
    </cfRule>
    <cfRule type="expression" dxfId="3684" priority="108">
      <formula>U$9&lt;8/24</formula>
    </cfRule>
  </conditionalFormatting>
  <conditionalFormatting sqref="S85:T91 C84:R91">
    <cfRule type="expression" dxfId="3683" priority="101">
      <formula>C$9&gt;=20/24</formula>
    </cfRule>
    <cfRule type="expression" dxfId="3682" priority="102">
      <formula>AND(C$9&gt;=14/24,C$9&lt;20/24)</formula>
    </cfRule>
    <cfRule type="expression" dxfId="3681" priority="103">
      <formula>AND(C$9&gt;=8/24,C$9&lt;14/24)</formula>
    </cfRule>
    <cfRule type="expression" dxfId="3680" priority="104">
      <formula>C$9&lt;8/24</formula>
    </cfRule>
  </conditionalFormatting>
  <conditionalFormatting sqref="S84:T84">
    <cfRule type="expression" dxfId="3679" priority="97">
      <formula>S$9&gt;=20/24</formula>
    </cfRule>
    <cfRule type="expression" dxfId="3678" priority="98">
      <formula>AND(S$9&gt;=14/24,S$9&lt;20/24)</formula>
    </cfRule>
    <cfRule type="expression" dxfId="3677" priority="99">
      <formula>AND(S$9&gt;=8/24,S$9&lt;14/24)</formula>
    </cfRule>
    <cfRule type="expression" dxfId="3676" priority="100">
      <formula>S$9&lt;8/24</formula>
    </cfRule>
  </conditionalFormatting>
  <conditionalFormatting sqref="C95:M97 C94:F94">
    <cfRule type="expression" dxfId="3675" priority="93">
      <formula>C$9&gt;=20/24</formula>
    </cfRule>
    <cfRule type="expression" dxfId="3674" priority="94">
      <formula>AND(C$9&gt;=14/24,C$9&lt;20/24)</formula>
    </cfRule>
    <cfRule type="expression" dxfId="3673" priority="95">
      <formula>AND(C$9&gt;=8/24,C$9&lt;14/24)</formula>
    </cfRule>
    <cfRule type="expression" dxfId="3672" priority="96">
      <formula>C$9&lt;8/24</formula>
    </cfRule>
  </conditionalFormatting>
  <conditionalFormatting sqref="N95:R97 O94:R94">
    <cfRule type="expression" dxfId="3671" priority="89">
      <formula>N$9&gt;=20/24</formula>
    </cfRule>
    <cfRule type="expression" dxfId="3670" priority="90">
      <formula>AND(N$9&gt;=14/24,N$9&lt;20/24)</formula>
    </cfRule>
    <cfRule type="expression" dxfId="3669" priority="91">
      <formula>AND(N$9&gt;=8/24,N$9&lt;14/24)</formula>
    </cfRule>
    <cfRule type="expression" dxfId="3668" priority="92">
      <formula>N$9&lt;8/24</formula>
    </cfRule>
  </conditionalFormatting>
  <conditionalFormatting sqref="S94:T97">
    <cfRule type="expression" dxfId="3667" priority="85">
      <formula>S$9&gt;=20/24</formula>
    </cfRule>
    <cfRule type="expression" dxfId="3666" priority="86">
      <formula>AND(S$9&gt;=14/24,S$9&lt;20/24)</formula>
    </cfRule>
    <cfRule type="expression" dxfId="3665" priority="87">
      <formula>AND(S$9&gt;=8/24,S$9&lt;14/24)</formula>
    </cfRule>
    <cfRule type="expression" dxfId="3664" priority="88">
      <formula>S$9&lt;8/24</formula>
    </cfRule>
  </conditionalFormatting>
  <conditionalFormatting sqref="C98:M98">
    <cfRule type="expression" dxfId="3663" priority="81">
      <formula>C$9&gt;=20/24</formula>
    </cfRule>
    <cfRule type="expression" dxfId="3662" priority="82">
      <formula>AND(C$9&gt;=14/24,C$9&lt;20/24)</formula>
    </cfRule>
    <cfRule type="expression" dxfId="3661" priority="83">
      <formula>AND(C$9&gt;=8/24,C$9&lt;14/24)</formula>
    </cfRule>
    <cfRule type="expression" dxfId="3660" priority="84">
      <formula>C$9&lt;8/24</formula>
    </cfRule>
  </conditionalFormatting>
  <conditionalFormatting sqref="N98:R98">
    <cfRule type="expression" dxfId="3659" priority="77">
      <formula>N$9&gt;=20/24</formula>
    </cfRule>
    <cfRule type="expression" dxfId="3658" priority="78">
      <formula>AND(N$9&gt;=14/24,N$9&lt;20/24)</formula>
    </cfRule>
    <cfRule type="expression" dxfId="3657" priority="79">
      <formula>AND(N$9&gt;=8/24,N$9&lt;14/24)</formula>
    </cfRule>
    <cfRule type="expression" dxfId="3656" priority="80">
      <formula>N$9&lt;8/24</formula>
    </cfRule>
  </conditionalFormatting>
  <conditionalFormatting sqref="S98:T98">
    <cfRule type="expression" dxfId="3655" priority="73">
      <formula>S$9&gt;=20/24</formula>
    </cfRule>
    <cfRule type="expression" dxfId="3654" priority="74">
      <formula>AND(S$9&gt;=14/24,S$9&lt;20/24)</formula>
    </cfRule>
    <cfRule type="expression" dxfId="3653" priority="75">
      <formula>AND(S$9&gt;=8/24,S$9&lt;14/24)</formula>
    </cfRule>
    <cfRule type="expression" dxfId="3652" priority="76">
      <formula>S$9&lt;8/24</formula>
    </cfRule>
  </conditionalFormatting>
  <conditionalFormatting sqref="M94:N94">
    <cfRule type="expression" dxfId="3651" priority="69">
      <formula>M$9&gt;=20/24</formula>
    </cfRule>
    <cfRule type="expression" dxfId="3650" priority="70">
      <formula>AND(M$9&gt;=14/24,M$9&lt;20/24)</formula>
    </cfRule>
    <cfRule type="expression" dxfId="3649" priority="71">
      <formula>AND(M$9&gt;=8/24,M$9&lt;14/24)</formula>
    </cfRule>
    <cfRule type="expression" dxfId="3648" priority="72">
      <formula>M$9&lt;8/24</formula>
    </cfRule>
  </conditionalFormatting>
  <conditionalFormatting sqref="G94:L94">
    <cfRule type="expression" dxfId="3647" priority="65">
      <formula>G$9&gt;=20/24</formula>
    </cfRule>
    <cfRule type="expression" dxfId="3646" priority="66">
      <formula>AND(G$9&gt;=14/24,G$9&lt;20/24)</formula>
    </cfRule>
    <cfRule type="expression" dxfId="3645" priority="67">
      <formula>AND(G$9&gt;=8/24,G$9&lt;14/24)</formula>
    </cfRule>
    <cfRule type="expression" dxfId="3644" priority="68">
      <formula>G$9&lt;8/24</formula>
    </cfRule>
  </conditionalFormatting>
  <conditionalFormatting sqref="U94:W94">
    <cfRule type="expression" dxfId="3643" priority="61">
      <formula>U$9&gt;=20/24</formula>
    </cfRule>
    <cfRule type="expression" dxfId="3642" priority="62">
      <formula>AND(U$9&gt;=14/24,U$9&lt;20/24)</formula>
    </cfRule>
    <cfRule type="expression" dxfId="3641" priority="63">
      <formula>AND(U$9&gt;=8/24,U$9&lt;14/24)</formula>
    </cfRule>
    <cfRule type="expression" dxfId="3640" priority="64">
      <formula>U$9&lt;8/24</formula>
    </cfRule>
  </conditionalFormatting>
  <conditionalFormatting sqref="N94:T94">
    <cfRule type="expression" dxfId="3639" priority="57">
      <formula>N$9&gt;=20/24</formula>
    </cfRule>
    <cfRule type="expression" dxfId="3638" priority="58">
      <formula>AND(N$9&gt;=14/24,N$9&lt;20/24)</formula>
    </cfRule>
    <cfRule type="expression" dxfId="3637" priority="59">
      <formula>AND(N$9&gt;=8/24,N$9&lt;14/24)</formula>
    </cfRule>
    <cfRule type="expression" dxfId="3636" priority="60">
      <formula>N$9&lt;8/24</formula>
    </cfRule>
  </conditionalFormatting>
  <conditionalFormatting sqref="U99:AA99">
    <cfRule type="expression" dxfId="3635" priority="53">
      <formula>U$9&gt;=20/24</formula>
    </cfRule>
    <cfRule type="expression" dxfId="3634" priority="54">
      <formula>AND(U$9&gt;=14/24,U$9&lt;20/24)</formula>
    </cfRule>
    <cfRule type="expression" dxfId="3633" priority="55">
      <formula>AND(U$9&gt;=8/24,U$9&lt;14/24)</formula>
    </cfRule>
    <cfRule type="expression" dxfId="3632" priority="56">
      <formula>U$9&lt;8/24</formula>
    </cfRule>
  </conditionalFormatting>
  <conditionalFormatting sqref="C99:M99">
    <cfRule type="expression" dxfId="3631" priority="49">
      <formula>C$9&gt;=20/24</formula>
    </cfRule>
    <cfRule type="expression" dxfId="3630" priority="50">
      <formula>AND(C$9&gt;=14/24,C$9&lt;20/24)</formula>
    </cfRule>
    <cfRule type="expression" dxfId="3629" priority="51">
      <formula>AND(C$9&gt;=8/24,C$9&lt;14/24)</formula>
    </cfRule>
    <cfRule type="expression" dxfId="3628" priority="52">
      <formula>C$9&lt;8/24</formula>
    </cfRule>
  </conditionalFormatting>
  <conditionalFormatting sqref="N99:R99">
    <cfRule type="expression" dxfId="3627" priority="45">
      <formula>N$9&gt;=20/24</formula>
    </cfRule>
    <cfRule type="expression" dxfId="3626" priority="46">
      <formula>AND(N$9&gt;=14/24,N$9&lt;20/24)</formula>
    </cfRule>
    <cfRule type="expression" dxfId="3625" priority="47">
      <formula>AND(N$9&gt;=8/24,N$9&lt;14/24)</formula>
    </cfRule>
    <cfRule type="expression" dxfId="3624" priority="48">
      <formula>N$9&lt;8/24</formula>
    </cfRule>
  </conditionalFormatting>
  <conditionalFormatting sqref="S99:T99">
    <cfRule type="expression" dxfId="3623" priority="41">
      <formula>S$9&gt;=20/24</formula>
    </cfRule>
    <cfRule type="expression" dxfId="3622" priority="42">
      <formula>AND(S$9&gt;=14/24,S$9&lt;20/24)</formula>
    </cfRule>
    <cfRule type="expression" dxfId="3621" priority="43">
      <formula>AND(S$9&gt;=8/24,S$9&lt;14/24)</formula>
    </cfRule>
    <cfRule type="expression" dxfId="3620" priority="44">
      <formula>S$9&lt;8/24</formula>
    </cfRule>
  </conditionalFormatting>
  <conditionalFormatting sqref="X12:AA16 AB13:AF16">
    <cfRule type="expression" dxfId="3619" priority="37">
      <formula>X$9&gt;=20/24</formula>
    </cfRule>
    <cfRule type="expression" dxfId="3618" priority="38">
      <formula>AND(X$9&gt;=14/24,X$9&lt;20/24)</formula>
    </cfRule>
    <cfRule type="expression" dxfId="3617" priority="39">
      <formula>AND(X$9&gt;=8/24,X$9&lt;14/24)</formula>
    </cfRule>
    <cfRule type="expression" dxfId="3616" priority="40">
      <formula>X$9&lt;8/24</formula>
    </cfRule>
  </conditionalFormatting>
  <conditionalFormatting sqref="X17:AF17">
    <cfRule type="expression" dxfId="3615" priority="33">
      <formula>X$9&gt;=20/24</formula>
    </cfRule>
    <cfRule type="expression" dxfId="3614" priority="34">
      <formula>AND(X$9&gt;=14/24,X$9&lt;20/24)</formula>
    </cfRule>
    <cfRule type="expression" dxfId="3613" priority="35">
      <formula>AND(X$9&gt;=8/24,X$9&lt;14/24)</formula>
    </cfRule>
    <cfRule type="expression" dxfId="3612" priority="36">
      <formula>X$9&lt;8/24</formula>
    </cfRule>
  </conditionalFormatting>
  <conditionalFormatting sqref="X12:AA13 AB13:AF13">
    <cfRule type="expression" dxfId="3611" priority="29">
      <formula>X$9&gt;=20/24</formula>
    </cfRule>
    <cfRule type="expression" dxfId="3610" priority="30">
      <formula>AND(X$9&gt;=14/24,X$9&lt;20/24)</formula>
    </cfRule>
    <cfRule type="expression" dxfId="3609" priority="31">
      <formula>AND(X$9&gt;=8/24,X$9&lt;14/24)</formula>
    </cfRule>
    <cfRule type="expression" dxfId="3608" priority="32">
      <formula>X$9&lt;8/24</formula>
    </cfRule>
  </conditionalFormatting>
  <conditionalFormatting sqref="AB58:AE59">
    <cfRule type="expression" dxfId="3607" priority="25">
      <formula>AB$9&gt;=20/24</formula>
    </cfRule>
    <cfRule type="expression" dxfId="3606" priority="26">
      <formula>AND(AB$9&gt;=14/24,AB$9&lt;20/24)</formula>
    </cfRule>
    <cfRule type="expression" dxfId="3605" priority="27">
      <formula>AND(AB$9&gt;=8/24,AB$9&lt;14/24)</formula>
    </cfRule>
    <cfRule type="expression" dxfId="3604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03" priority="258">
      <formula>C$9&gt;=20/24</formula>
    </cfRule>
    <cfRule type="expression" dxfId="3602" priority="259">
      <formula>AND(C$9&gt;=14/24,C$9&lt;20/24)</formula>
    </cfRule>
    <cfRule type="expression" dxfId="3601" priority="260">
      <formula>AND(C$9&gt;=8/24,C$9&lt;14/24)</formula>
    </cfRule>
    <cfRule type="expression" dxfId="3600" priority="261">
      <formula>C$9&lt;8/24</formula>
    </cfRule>
  </conditionalFormatting>
  <conditionalFormatting sqref="A200">
    <cfRule type="expression" dxfId="3599" priority="262">
      <formula>$AH200=0</formula>
    </cfRule>
  </conditionalFormatting>
  <conditionalFormatting sqref="AG212">
    <cfRule type="expression" dxfId="3598" priority="263">
      <formula>B$9&gt;=20/24</formula>
    </cfRule>
    <cfRule type="expression" dxfId="3597" priority="264">
      <formula>AND(B$9&gt;=14/24,B$9&lt;20/24)</formula>
    </cfRule>
    <cfRule type="expression" dxfId="3596" priority="265">
      <formula>AND(B$9&gt;=8/24,B$9&lt;14/24)</formula>
    </cfRule>
    <cfRule type="expression" dxfId="3595" priority="266">
      <formula>B$9&lt;8/24</formula>
    </cfRule>
  </conditionalFormatting>
  <conditionalFormatting sqref="S8">
    <cfRule type="expression" dxfId="3594" priority="19">
      <formula>U$9&gt;=20/24</formula>
    </cfRule>
    <cfRule type="expression" dxfId="3593" priority="20">
      <formula>AND(U$9&gt;=14/24,U$9&lt;20/24)</formula>
    </cfRule>
    <cfRule type="expression" dxfId="3592" priority="21">
      <formula>AND(U$9&gt;=8/24,U$9&lt;14/24)</formula>
    </cfRule>
    <cfRule type="expression" dxfId="3591" priority="22">
      <formula>U$9&lt;8/24</formula>
    </cfRule>
  </conditionalFormatting>
  <conditionalFormatting sqref="AB8">
    <cfRule type="expression" dxfId="3590" priority="15">
      <formula>AD$9&gt;=20/24</formula>
    </cfRule>
    <cfRule type="expression" dxfId="3589" priority="16">
      <formula>AND(AD$9&gt;=14/24,AD$9&lt;20/24)</formula>
    </cfRule>
    <cfRule type="expression" dxfId="3588" priority="17">
      <formula>AND(AD$9&gt;=8/24,AD$9&lt;14/24)</formula>
    </cfRule>
    <cfRule type="expression" dxfId="3587" priority="18">
      <formula>AD$9&lt;8/24</formula>
    </cfRule>
  </conditionalFormatting>
  <conditionalFormatting sqref="AH212:AX212">
    <cfRule type="expression" dxfId="3586" priority="267">
      <formula>AG$9&gt;=20/24</formula>
    </cfRule>
    <cfRule type="expression" dxfId="3585" priority="268">
      <formula>AND(AG$9&gt;=14/24,AG$9&lt;20/24)</formula>
    </cfRule>
    <cfRule type="expression" dxfId="3584" priority="269">
      <formula>AND(AG$9&gt;=8/24,AG$9&lt;14/24)</formula>
    </cfRule>
    <cfRule type="expression" dxfId="3583" priority="270">
      <formula>AG$9&lt;8/24</formula>
    </cfRule>
  </conditionalFormatting>
  <conditionalFormatting sqref="T212">
    <cfRule type="expression" dxfId="3582" priority="271">
      <formula>AX$9&gt;=20/24</formula>
    </cfRule>
    <cfRule type="expression" dxfId="3581" priority="272">
      <formula>AND(AX$9&gt;=14/24,AX$9&lt;20/24)</formula>
    </cfRule>
    <cfRule type="expression" dxfId="3580" priority="273">
      <formula>AND(AX$9&gt;=8/24,AX$9&lt;14/24)</formula>
    </cfRule>
    <cfRule type="expression" dxfId="3579" priority="274">
      <formula>AX$9&lt;8/24</formula>
    </cfRule>
  </conditionalFormatting>
  <conditionalFormatting sqref="A99">
    <cfRule type="expression" dxfId="3578" priority="14">
      <formula>$AH99=0</formula>
    </cfRule>
  </conditionalFormatting>
  <conditionalFormatting sqref="M33:W33">
    <cfRule type="expression" dxfId="3577" priority="10">
      <formula>M$9&gt;=20/24</formula>
    </cfRule>
    <cfRule type="expression" dxfId="3576" priority="11">
      <formula>AND(M$9&gt;=14/24,M$9&lt;20/24)</formula>
    </cfRule>
    <cfRule type="expression" dxfId="3575" priority="12">
      <formula>AND(M$9&gt;=8/24,M$9&lt;14/24)</formula>
    </cfRule>
    <cfRule type="expression" dxfId="3574" priority="13">
      <formula>M$9&lt;8/24</formula>
    </cfRule>
  </conditionalFormatting>
  <conditionalFormatting sqref="X33:AF33">
    <cfRule type="expression" dxfId="3573" priority="2">
      <formula>X$9&gt;=20/24</formula>
    </cfRule>
    <cfRule type="expression" dxfId="3572" priority="3">
      <formula>AND(X$9&gt;=14/24,X$9&lt;20/24)</formula>
    </cfRule>
    <cfRule type="expression" dxfId="3571" priority="4">
      <formula>AND(X$9&gt;=8/24,X$9&lt;14/24)</formula>
    </cfRule>
    <cfRule type="expression" dxfId="3570" priority="5">
      <formula>X$9&lt;8/24</formula>
    </cfRule>
  </conditionalFormatting>
  <conditionalFormatting sqref="B33:AF33">
    <cfRule type="expression" dxfId="3569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89446ABA-E2D1-4321-B2B6-2E63190EB70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F43" sqref="F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2078/09/21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168</v>
      </c>
      <c r="C5" s="32">
        <f t="shared" si="0"/>
        <v>170</v>
      </c>
      <c r="D5" s="32">
        <f t="shared" si="0"/>
        <v>185.6</v>
      </c>
      <c r="E5" s="32">
        <f t="shared" si="0"/>
        <v>231.9</v>
      </c>
      <c r="F5" s="32">
        <f t="shared" si="0"/>
        <v>275</v>
      </c>
      <c r="G5" s="32">
        <f t="shared" si="0"/>
        <v>291.10000000000002</v>
      </c>
      <c r="H5" s="32">
        <f t="shared" si="0"/>
        <v>298</v>
      </c>
      <c r="I5" s="32">
        <f t="shared" si="0"/>
        <v>337.9</v>
      </c>
      <c r="J5" s="32">
        <f t="shared" si="0"/>
        <v>190</v>
      </c>
      <c r="K5" s="32">
        <f t="shared" si="0"/>
        <v>127.7</v>
      </c>
      <c r="L5" s="32">
        <f t="shared" si="0"/>
        <v>113</v>
      </c>
      <c r="M5" s="32">
        <f t="shared" si="0"/>
        <v>205.8</v>
      </c>
      <c r="N5" s="32">
        <f t="shared" si="0"/>
        <v>135</v>
      </c>
      <c r="O5" s="32">
        <f t="shared" si="0"/>
        <v>400</v>
      </c>
      <c r="P5" s="32">
        <f t="shared" si="0"/>
        <v>452.1</v>
      </c>
      <c r="Q5" s="32">
        <f t="shared" si="0"/>
        <v>430.3</v>
      </c>
      <c r="R5" s="32">
        <f t="shared" si="0"/>
        <v>464.5</v>
      </c>
      <c r="S5" s="32">
        <f t="shared" si="0"/>
        <v>437.1</v>
      </c>
      <c r="T5" s="32">
        <f t="shared" si="0"/>
        <v>444.9</v>
      </c>
      <c r="U5" s="32">
        <f t="shared" si="0"/>
        <v>394</v>
      </c>
      <c r="V5" s="32">
        <f t="shared" si="0"/>
        <v>123.4</v>
      </c>
      <c r="W5" s="32">
        <f t="shared" si="0"/>
        <v>194.2</v>
      </c>
      <c r="X5" s="32">
        <f t="shared" si="0"/>
        <v>185.7</v>
      </c>
      <c r="Y5" s="32">
        <f t="shared" si="0"/>
        <v>276</v>
      </c>
      <c r="Z5" s="32">
        <f t="shared" si="0"/>
        <v>350.2</v>
      </c>
      <c r="AA5" s="32">
        <f t="shared" si="0"/>
        <v>306</v>
      </c>
      <c r="AB5" s="32">
        <f t="shared" si="0"/>
        <v>293</v>
      </c>
      <c r="AC5" s="32">
        <f t="shared" si="0"/>
        <v>324</v>
      </c>
      <c r="AD5" s="32">
        <f t="shared" si="0"/>
        <v>358</v>
      </c>
      <c r="AE5" s="32">
        <f t="shared" si="0"/>
        <v>275.10000000000002</v>
      </c>
      <c r="AF5" s="32">
        <f>B68</f>
        <v>169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1542MW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Load=831</v>
      </c>
      <c r="B7" s="37">
        <f>B75</f>
        <v>956.14</v>
      </c>
      <c r="C7" s="37">
        <f t="shared" ref="C7:AF7" si="1">C75</f>
        <v>889.13999999999987</v>
      </c>
      <c r="D7" s="37">
        <f t="shared" si="1"/>
        <v>831.13999999999987</v>
      </c>
      <c r="E7" s="37">
        <f t="shared" si="1"/>
        <v>850.7399999999999</v>
      </c>
      <c r="F7" s="37">
        <f t="shared" si="1"/>
        <v>865.04</v>
      </c>
      <c r="G7" s="37">
        <f t="shared" si="1"/>
        <v>929.33999999999992</v>
      </c>
      <c r="H7" s="37">
        <f t="shared" si="1"/>
        <v>983.7399999999999</v>
      </c>
      <c r="I7" s="37">
        <f t="shared" si="1"/>
        <v>1060.6399999999999</v>
      </c>
      <c r="J7" s="37">
        <f t="shared" si="1"/>
        <v>1202.04</v>
      </c>
      <c r="K7" s="37">
        <f t="shared" si="1"/>
        <v>1374.14</v>
      </c>
      <c r="L7" s="37">
        <f t="shared" si="1"/>
        <v>1512.4400000000003</v>
      </c>
      <c r="M7" s="37">
        <f t="shared" si="1"/>
        <v>1541.5400000000004</v>
      </c>
      <c r="N7" s="37">
        <f t="shared" si="1"/>
        <v>1486.54</v>
      </c>
      <c r="O7" s="37">
        <f t="shared" si="1"/>
        <v>1318.6399999999999</v>
      </c>
      <c r="P7" s="37">
        <f t="shared" si="1"/>
        <v>1336.34</v>
      </c>
      <c r="Q7" s="37">
        <f t="shared" si="1"/>
        <v>1269.24</v>
      </c>
      <c r="R7" s="37">
        <f t="shared" si="1"/>
        <v>1137.1399999999999</v>
      </c>
      <c r="S7" s="37">
        <f t="shared" si="1"/>
        <v>1199.1399999999999</v>
      </c>
      <c r="T7" s="37">
        <f t="shared" si="1"/>
        <v>1167.8400000000001</v>
      </c>
      <c r="U7" s="37">
        <f t="shared" si="1"/>
        <v>1248.94</v>
      </c>
      <c r="V7" s="37">
        <f t="shared" si="1"/>
        <v>1381.44</v>
      </c>
      <c r="W7" s="37">
        <f t="shared" si="1"/>
        <v>1424.5400000000002</v>
      </c>
      <c r="X7" s="37">
        <f t="shared" si="1"/>
        <v>1614.1400000000003</v>
      </c>
      <c r="Y7" s="37">
        <f t="shared" si="1"/>
        <v>1610.54</v>
      </c>
      <c r="Z7" s="37">
        <f t="shared" si="1"/>
        <v>1520.94</v>
      </c>
      <c r="AA7" s="37">
        <f t="shared" si="1"/>
        <v>1485.3400000000001</v>
      </c>
      <c r="AB7" s="37">
        <f t="shared" si="1"/>
        <v>1445.84</v>
      </c>
      <c r="AC7" s="37">
        <f t="shared" si="1"/>
        <v>1368.84</v>
      </c>
      <c r="AD7" s="37">
        <f t="shared" si="1"/>
        <v>1329.84</v>
      </c>
      <c r="AE7" s="37">
        <f t="shared" si="1"/>
        <v>1105.54</v>
      </c>
      <c r="AF7" s="37">
        <f t="shared" si="1"/>
        <v>980.24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80</v>
      </c>
      <c r="C11" s="49">
        <v>40</v>
      </c>
      <c r="D11" s="49">
        <v>20</v>
      </c>
      <c r="E11" s="49">
        <v>35</v>
      </c>
      <c r="F11" s="49">
        <v>30</v>
      </c>
      <c r="G11" s="49">
        <v>50</v>
      </c>
      <c r="H11" s="49">
        <v>60</v>
      </c>
      <c r="I11" s="49">
        <v>100</v>
      </c>
      <c r="J11" s="49">
        <v>100</v>
      </c>
      <c r="K11" s="49">
        <v>240</v>
      </c>
      <c r="L11" s="49">
        <v>420</v>
      </c>
      <c r="M11" s="50">
        <v>456</v>
      </c>
      <c r="N11" s="50">
        <v>326</v>
      </c>
      <c r="O11" s="50">
        <v>230</v>
      </c>
      <c r="P11" s="50">
        <v>50</v>
      </c>
      <c r="Q11" s="50">
        <v>20</v>
      </c>
      <c r="R11" s="50">
        <v>20</v>
      </c>
      <c r="S11" s="50">
        <v>18</v>
      </c>
      <c r="T11" s="50">
        <v>19.7</v>
      </c>
      <c r="U11" s="50">
        <v>16.600000000000001</v>
      </c>
      <c r="V11" s="50">
        <v>200</v>
      </c>
      <c r="W11" s="50">
        <v>350</v>
      </c>
      <c r="X11" s="50">
        <v>456</v>
      </c>
      <c r="Y11" s="50">
        <v>456</v>
      </c>
      <c r="Z11" s="52">
        <v>280</v>
      </c>
      <c r="AA11" s="50">
        <v>180</v>
      </c>
      <c r="AB11" s="50">
        <v>200</v>
      </c>
      <c r="AC11" s="50">
        <v>140</v>
      </c>
      <c r="AD11" s="50">
        <v>100</v>
      </c>
      <c r="AE11" s="50">
        <v>20</v>
      </c>
      <c r="AF11" s="50">
        <v>20</v>
      </c>
      <c r="AG11" s="53">
        <v>456</v>
      </c>
      <c r="AH11" s="54">
        <f>MAX(B11:AF11)</f>
        <v>456</v>
      </c>
      <c r="AI11" s="55">
        <f>MIN(B11:AF11)</f>
        <v>16.600000000000001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44</v>
      </c>
      <c r="C12" s="49">
        <v>44</v>
      </c>
      <c r="D12" s="49">
        <v>44</v>
      </c>
      <c r="E12" s="49">
        <v>44</v>
      </c>
      <c r="F12" s="49">
        <v>44</v>
      </c>
      <c r="G12" s="49">
        <v>44</v>
      </c>
      <c r="H12" s="49">
        <v>44</v>
      </c>
      <c r="I12" s="49">
        <v>44</v>
      </c>
      <c r="J12" s="49">
        <v>44</v>
      </c>
      <c r="K12" s="49">
        <v>44</v>
      </c>
      <c r="L12" s="49">
        <v>44</v>
      </c>
      <c r="M12" s="49">
        <v>44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58">
        <v>44</v>
      </c>
      <c r="Y12" s="58">
        <v>44</v>
      </c>
      <c r="Z12" s="58">
        <v>44</v>
      </c>
      <c r="AA12" s="58">
        <v>44</v>
      </c>
      <c r="AB12" s="58">
        <v>44</v>
      </c>
      <c r="AC12" s="58">
        <v>44</v>
      </c>
      <c r="AD12" s="58">
        <v>44</v>
      </c>
      <c r="AE12" s="50">
        <v>44</v>
      </c>
      <c r="AF12" s="50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24.6</v>
      </c>
      <c r="C13" s="49">
        <v>24.6</v>
      </c>
      <c r="D13" s="49">
        <v>24.6</v>
      </c>
      <c r="E13" s="49">
        <v>24.6</v>
      </c>
      <c r="F13" s="49">
        <v>24.6</v>
      </c>
      <c r="G13" s="49">
        <v>24.6</v>
      </c>
      <c r="H13" s="49">
        <v>24.6</v>
      </c>
      <c r="I13" s="49">
        <v>24.6</v>
      </c>
      <c r="J13" s="49">
        <v>24.6</v>
      </c>
      <c r="K13" s="49">
        <v>24.6</v>
      </c>
      <c r="L13" s="49">
        <v>24.6</v>
      </c>
      <c r="M13" s="49">
        <v>24.6</v>
      </c>
      <c r="N13" s="49">
        <v>24.6</v>
      </c>
      <c r="O13" s="49">
        <v>24.6</v>
      </c>
      <c r="P13" s="49">
        <v>23.7</v>
      </c>
      <c r="Q13" s="49">
        <v>23.7</v>
      </c>
      <c r="R13" s="49">
        <v>23.7</v>
      </c>
      <c r="S13" s="49">
        <v>23.7</v>
      </c>
      <c r="T13" s="49">
        <v>23.7</v>
      </c>
      <c r="U13" s="49">
        <v>23.7</v>
      </c>
      <c r="V13" s="49">
        <v>23.7</v>
      </c>
      <c r="W13" s="49">
        <v>23.7</v>
      </c>
      <c r="X13" s="58">
        <v>23.7</v>
      </c>
      <c r="Y13" s="58">
        <v>23.7</v>
      </c>
      <c r="Z13" s="58">
        <v>23.7</v>
      </c>
      <c r="AA13" s="58">
        <v>23.7</v>
      </c>
      <c r="AB13" s="58">
        <v>24.8</v>
      </c>
      <c r="AC13" s="58">
        <v>24.8</v>
      </c>
      <c r="AD13" s="58">
        <v>24.8</v>
      </c>
      <c r="AE13" s="50">
        <v>24.8</v>
      </c>
      <c r="AF13" s="50">
        <v>25.3</v>
      </c>
      <c r="AG13" s="59">
        <v>52.4</v>
      </c>
      <c r="AH13" s="54">
        <f t="shared" si="2"/>
        <v>25.3</v>
      </c>
      <c r="AI13" s="55">
        <f t="shared" si="3"/>
        <v>23.7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45.6</v>
      </c>
      <c r="C14" s="49">
        <v>45.6</v>
      </c>
      <c r="D14" s="49">
        <v>45.6</v>
      </c>
      <c r="E14" s="49">
        <v>45.6</v>
      </c>
      <c r="F14" s="49">
        <v>45.6</v>
      </c>
      <c r="G14" s="49">
        <v>45.6</v>
      </c>
      <c r="H14" s="49">
        <v>45.6</v>
      </c>
      <c r="I14" s="49">
        <v>45.6</v>
      </c>
      <c r="J14" s="49">
        <v>45.6</v>
      </c>
      <c r="K14" s="49">
        <v>45.6</v>
      </c>
      <c r="L14" s="49">
        <v>45.6</v>
      </c>
      <c r="M14" s="50">
        <v>45.6</v>
      </c>
      <c r="N14" s="50">
        <v>45.6</v>
      </c>
      <c r="O14" s="50">
        <v>45.6</v>
      </c>
      <c r="P14" s="50">
        <v>48.5</v>
      </c>
      <c r="Q14" s="50">
        <v>48.5</v>
      </c>
      <c r="R14" s="50">
        <v>48.5</v>
      </c>
      <c r="S14" s="50">
        <v>48.5</v>
      </c>
      <c r="T14" s="50">
        <v>48.5</v>
      </c>
      <c r="U14" s="50">
        <v>48.5</v>
      </c>
      <c r="V14" s="50">
        <v>48.5</v>
      </c>
      <c r="W14" s="50">
        <v>48.5</v>
      </c>
      <c r="X14" s="60">
        <v>48.5</v>
      </c>
      <c r="Y14" s="60">
        <v>48.5</v>
      </c>
      <c r="Z14" s="60">
        <v>48.5</v>
      </c>
      <c r="AA14" s="60">
        <v>48.5</v>
      </c>
      <c r="AB14" s="60">
        <v>48.5</v>
      </c>
      <c r="AC14" s="60">
        <v>48.5</v>
      </c>
      <c r="AD14" s="60">
        <v>48.5</v>
      </c>
      <c r="AE14" s="50">
        <v>48</v>
      </c>
      <c r="AF14" s="50">
        <v>47.4</v>
      </c>
      <c r="AG14" s="59">
        <v>50</v>
      </c>
      <c r="AH14" s="54">
        <f t="shared" si="2"/>
        <v>48.5</v>
      </c>
      <c r="AI14" s="55">
        <f t="shared" si="3"/>
        <v>45.6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23.7</v>
      </c>
      <c r="C15" s="61">
        <v>23.7</v>
      </c>
      <c r="D15" s="61">
        <v>23.7</v>
      </c>
      <c r="E15" s="61">
        <v>23.7</v>
      </c>
      <c r="F15" s="61">
        <v>23.7</v>
      </c>
      <c r="G15" s="61">
        <v>23.7</v>
      </c>
      <c r="H15" s="61">
        <v>23.7</v>
      </c>
      <c r="I15" s="61">
        <v>23.7</v>
      </c>
      <c r="J15" s="61">
        <v>23.7</v>
      </c>
      <c r="K15" s="61">
        <v>23.7</v>
      </c>
      <c r="L15" s="61">
        <v>23.7</v>
      </c>
      <c r="M15" s="50">
        <v>23.7</v>
      </c>
      <c r="N15" s="50">
        <v>23.7</v>
      </c>
      <c r="O15" s="50">
        <v>23.7</v>
      </c>
      <c r="P15" s="50">
        <v>23.3</v>
      </c>
      <c r="Q15" s="50">
        <v>23.3</v>
      </c>
      <c r="R15" s="50">
        <v>23.3</v>
      </c>
      <c r="S15" s="50">
        <v>23.3</v>
      </c>
      <c r="T15" s="50">
        <v>23.3</v>
      </c>
      <c r="U15" s="50">
        <v>23.3</v>
      </c>
      <c r="V15" s="50">
        <v>23.3</v>
      </c>
      <c r="W15" s="50">
        <v>23.3</v>
      </c>
      <c r="X15" s="60">
        <v>23.3</v>
      </c>
      <c r="Y15" s="60">
        <v>23.3</v>
      </c>
      <c r="Z15" s="60">
        <v>23.3</v>
      </c>
      <c r="AA15" s="60">
        <v>23.3</v>
      </c>
      <c r="AB15" s="60">
        <v>23.3</v>
      </c>
      <c r="AC15" s="60">
        <v>23.3</v>
      </c>
      <c r="AD15" s="60">
        <v>23.3</v>
      </c>
      <c r="AE15" s="50">
        <v>24</v>
      </c>
      <c r="AF15" s="50">
        <v>24.3</v>
      </c>
      <c r="AG15" s="62">
        <v>45</v>
      </c>
      <c r="AH15" s="54">
        <f t="shared" si="2"/>
        <v>24.3</v>
      </c>
      <c r="AI15" s="55">
        <f t="shared" si="3"/>
        <v>23.3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50">
        <v>12</v>
      </c>
      <c r="AF16" s="50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50">
        <v>11</v>
      </c>
      <c r="AF17" s="5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11.6</v>
      </c>
      <c r="C19" s="49">
        <v>11.6</v>
      </c>
      <c r="D19" s="49">
        <v>11.6</v>
      </c>
      <c r="E19" s="49">
        <v>11.6</v>
      </c>
      <c r="F19" s="49">
        <v>11.6</v>
      </c>
      <c r="G19" s="49">
        <v>11.6</v>
      </c>
      <c r="H19" s="49">
        <v>11.6</v>
      </c>
      <c r="I19" s="49">
        <v>11.6</v>
      </c>
      <c r="J19" s="49">
        <v>11.6</v>
      </c>
      <c r="K19" s="49">
        <v>11.6</v>
      </c>
      <c r="L19" s="49">
        <v>11.6</v>
      </c>
      <c r="M19" s="50">
        <v>11.6</v>
      </c>
      <c r="N19" s="50">
        <v>11.6</v>
      </c>
      <c r="O19" s="50">
        <v>11.6</v>
      </c>
      <c r="P19" s="50">
        <v>11.6</v>
      </c>
      <c r="Q19" s="50">
        <v>11.6</v>
      </c>
      <c r="R19" s="50">
        <v>11.6</v>
      </c>
      <c r="S19" s="50">
        <v>11.6</v>
      </c>
      <c r="T19" s="50">
        <v>11.6</v>
      </c>
      <c r="U19" s="50">
        <v>11.6</v>
      </c>
      <c r="V19" s="50">
        <v>11.6</v>
      </c>
      <c r="W19" s="50">
        <v>11.6</v>
      </c>
      <c r="X19" s="50">
        <v>11.6</v>
      </c>
      <c r="Y19" s="50">
        <v>11.6</v>
      </c>
      <c r="Z19" s="50">
        <v>11.6</v>
      </c>
      <c r="AA19" s="50">
        <v>11.6</v>
      </c>
      <c r="AB19" s="50">
        <v>11.6</v>
      </c>
      <c r="AC19" s="50">
        <v>11.6</v>
      </c>
      <c r="AD19" s="50">
        <v>11.6</v>
      </c>
      <c r="AE19" s="50">
        <v>11.7</v>
      </c>
      <c r="AF19" s="50">
        <v>11.7</v>
      </c>
      <c r="AG19" s="59">
        <v>30</v>
      </c>
      <c r="AH19" s="54">
        <f t="shared" si="2"/>
        <v>11.7</v>
      </c>
      <c r="AI19" s="55">
        <f t="shared" si="3"/>
        <v>11.6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14.7</v>
      </c>
      <c r="C22" s="49">
        <v>14.7</v>
      </c>
      <c r="D22" s="49">
        <v>14.7</v>
      </c>
      <c r="E22" s="49">
        <v>14.7</v>
      </c>
      <c r="F22" s="49">
        <v>14.7</v>
      </c>
      <c r="G22" s="49">
        <v>14.7</v>
      </c>
      <c r="H22" s="49">
        <v>14.7</v>
      </c>
      <c r="I22" s="49">
        <v>14.7</v>
      </c>
      <c r="J22" s="49">
        <v>14.7</v>
      </c>
      <c r="K22" s="49">
        <v>14.7</v>
      </c>
      <c r="L22" s="49">
        <v>14.7</v>
      </c>
      <c r="M22" s="50">
        <v>14.7</v>
      </c>
      <c r="N22" s="50">
        <v>14.7</v>
      </c>
      <c r="O22" s="50">
        <v>14.7</v>
      </c>
      <c r="P22" s="50">
        <v>14.7</v>
      </c>
      <c r="Q22" s="50">
        <v>14.7</v>
      </c>
      <c r="R22" s="50">
        <v>14.7</v>
      </c>
      <c r="S22" s="50">
        <v>14.7</v>
      </c>
      <c r="T22" s="50">
        <v>14.7</v>
      </c>
      <c r="U22" s="50">
        <v>14.7</v>
      </c>
      <c r="V22" s="50">
        <v>14.7</v>
      </c>
      <c r="W22" s="50">
        <v>14.7</v>
      </c>
      <c r="X22" s="50">
        <v>14.7</v>
      </c>
      <c r="Y22" s="50">
        <v>14.7</v>
      </c>
      <c r="Z22" s="50">
        <v>14.7</v>
      </c>
      <c r="AA22" s="50">
        <v>14.7</v>
      </c>
      <c r="AB22" s="50">
        <v>14.7</v>
      </c>
      <c r="AC22" s="50">
        <v>14.7</v>
      </c>
      <c r="AD22" s="50">
        <v>14.7</v>
      </c>
      <c r="AE22" s="50">
        <v>15.2</v>
      </c>
      <c r="AF22" s="50">
        <v>15.2</v>
      </c>
      <c r="AG22" s="59">
        <v>25</v>
      </c>
      <c r="AH22" s="54">
        <f t="shared" si="2"/>
        <v>15.2</v>
      </c>
      <c r="AI22" s="55">
        <f t="shared" si="3"/>
        <v>14.7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16.600000000000001</v>
      </c>
      <c r="C24" s="49">
        <v>16.600000000000001</v>
      </c>
      <c r="D24" s="49">
        <v>16.600000000000001</v>
      </c>
      <c r="E24" s="49">
        <v>16.600000000000001</v>
      </c>
      <c r="F24" s="49">
        <v>16.600000000000001</v>
      </c>
      <c r="G24" s="49">
        <v>16.600000000000001</v>
      </c>
      <c r="H24" s="49">
        <v>16.600000000000001</v>
      </c>
      <c r="I24" s="49">
        <v>16.600000000000001</v>
      </c>
      <c r="J24" s="49">
        <v>16.600000000000001</v>
      </c>
      <c r="K24" s="49">
        <v>16.600000000000001</v>
      </c>
      <c r="L24" s="49">
        <v>16.600000000000001</v>
      </c>
      <c r="M24" s="50">
        <v>16.600000000000001</v>
      </c>
      <c r="N24" s="50">
        <v>16.600000000000001</v>
      </c>
      <c r="O24" s="50">
        <v>16.600000000000001</v>
      </c>
      <c r="P24" s="50">
        <v>16.600000000000001</v>
      </c>
      <c r="Q24" s="50">
        <v>16.600000000000001</v>
      </c>
      <c r="R24" s="50">
        <v>16.600000000000001</v>
      </c>
      <c r="S24" s="50">
        <v>16.600000000000001</v>
      </c>
      <c r="T24" s="50">
        <v>16.600000000000001</v>
      </c>
      <c r="U24" s="50">
        <v>16.600000000000001</v>
      </c>
      <c r="V24" s="50">
        <v>16.600000000000001</v>
      </c>
      <c r="W24" s="50">
        <v>16.600000000000001</v>
      </c>
      <c r="X24" s="50">
        <v>14</v>
      </c>
      <c r="Y24" s="50">
        <v>14</v>
      </c>
      <c r="Z24" s="50">
        <v>14</v>
      </c>
      <c r="AA24" s="50">
        <v>14</v>
      </c>
      <c r="AB24" s="50">
        <v>16</v>
      </c>
      <c r="AC24" s="50">
        <v>16</v>
      </c>
      <c r="AD24" s="50">
        <v>16</v>
      </c>
      <c r="AE24" s="50">
        <v>16</v>
      </c>
      <c r="AF24" s="50">
        <v>15</v>
      </c>
      <c r="AG24" s="59">
        <v>25</v>
      </c>
      <c r="AH24" s="54">
        <f t="shared" si="2"/>
        <v>16.600000000000001</v>
      </c>
      <c r="AI24" s="55">
        <f t="shared" si="3"/>
        <v>14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9.6999999999999993</v>
      </c>
      <c r="C26" s="49">
        <v>9.6999999999999993</v>
      </c>
      <c r="D26" s="49">
        <v>9.6999999999999993</v>
      </c>
      <c r="E26" s="49">
        <v>9.6999999999999993</v>
      </c>
      <c r="F26" s="49">
        <v>9.6999999999999993</v>
      </c>
      <c r="G26" s="49">
        <v>9.6999999999999993</v>
      </c>
      <c r="H26" s="49">
        <v>9.6999999999999993</v>
      </c>
      <c r="I26" s="49">
        <v>9.6999999999999993</v>
      </c>
      <c r="J26" s="49">
        <v>9.6999999999999993</v>
      </c>
      <c r="K26" s="49">
        <v>9.6999999999999993</v>
      </c>
      <c r="L26" s="49">
        <v>9.6999999999999993</v>
      </c>
      <c r="M26" s="50">
        <v>9.6999999999999993</v>
      </c>
      <c r="N26" s="50">
        <v>9.6999999999999993</v>
      </c>
      <c r="O26" s="50">
        <v>9.6999999999999993</v>
      </c>
      <c r="P26" s="50">
        <v>9.6999999999999993</v>
      </c>
      <c r="Q26" s="50">
        <v>9.6999999999999993</v>
      </c>
      <c r="R26" s="50">
        <v>9.6999999999999993</v>
      </c>
      <c r="S26" s="50">
        <v>9.6999999999999993</v>
      </c>
      <c r="T26" s="50">
        <v>9.6999999999999993</v>
      </c>
      <c r="U26" s="50">
        <v>9.6999999999999993</v>
      </c>
      <c r="V26" s="50">
        <v>9.6999999999999993</v>
      </c>
      <c r="W26" s="50">
        <v>9.6999999999999993</v>
      </c>
      <c r="X26" s="50">
        <v>9.6999999999999993</v>
      </c>
      <c r="Y26" s="50">
        <v>9.6999999999999993</v>
      </c>
      <c r="Z26" s="50">
        <v>9.6999999999999993</v>
      </c>
      <c r="AA26" s="50">
        <v>9.6999999999999993</v>
      </c>
      <c r="AB26" s="50">
        <v>9.6999999999999993</v>
      </c>
      <c r="AC26" s="50">
        <v>9.6999999999999993</v>
      </c>
      <c r="AD26" s="50">
        <v>9.6999999999999993</v>
      </c>
      <c r="AE26" s="50">
        <v>9.6999999999999993</v>
      </c>
      <c r="AF26" s="50">
        <v>9.6999999999999993</v>
      </c>
      <c r="AG26" s="59">
        <v>20</v>
      </c>
      <c r="AH26" s="54">
        <f t="shared" si="2"/>
        <v>9.6999999999999993</v>
      </c>
      <c r="AI26" s="55">
        <f t="shared" si="3"/>
        <v>9.6999999999999993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56.3</v>
      </c>
      <c r="C37" s="61">
        <v>56.3</v>
      </c>
      <c r="D37" s="61">
        <v>56.3</v>
      </c>
      <c r="E37" s="61">
        <v>56.3</v>
      </c>
      <c r="F37" s="61">
        <v>56.3</v>
      </c>
      <c r="G37" s="61">
        <v>56.3</v>
      </c>
      <c r="H37" s="61">
        <v>56.3</v>
      </c>
      <c r="I37" s="61">
        <v>56.3</v>
      </c>
      <c r="J37" s="61">
        <v>56.3</v>
      </c>
      <c r="K37" s="61">
        <v>56.3</v>
      </c>
      <c r="L37" s="61">
        <f>38.3+21.2</f>
        <v>59.5</v>
      </c>
      <c r="M37" s="70">
        <v>59</v>
      </c>
      <c r="N37" s="70">
        <v>59</v>
      </c>
      <c r="O37" s="70">
        <f>21.7+40.2</f>
        <v>61.900000000000006</v>
      </c>
      <c r="P37" s="70">
        <f>22.1+41.1</f>
        <v>63.2</v>
      </c>
      <c r="Q37" s="70">
        <f>22.2+41</f>
        <v>63.2</v>
      </c>
      <c r="R37" s="70">
        <f>22.2+41</f>
        <v>63.2</v>
      </c>
      <c r="S37" s="70">
        <v>62.2</v>
      </c>
      <c r="T37" s="70">
        <v>59.5</v>
      </c>
      <c r="U37" s="70">
        <v>61</v>
      </c>
      <c r="V37" s="70">
        <v>61</v>
      </c>
      <c r="W37" s="70">
        <v>61</v>
      </c>
      <c r="X37" s="70">
        <v>56</v>
      </c>
      <c r="Y37" s="70">
        <v>56</v>
      </c>
      <c r="Z37" s="70">
        <v>56.3</v>
      </c>
      <c r="AA37" s="70">
        <v>56</v>
      </c>
      <c r="AB37" s="70">
        <v>55.4</v>
      </c>
      <c r="AC37" s="70">
        <v>55.4</v>
      </c>
      <c r="AD37" s="70">
        <v>55.6</v>
      </c>
      <c r="AE37" s="70">
        <f>20.8+37</f>
        <v>57.8</v>
      </c>
      <c r="AF37" s="70">
        <f>22.1+40.3</f>
        <v>62.4</v>
      </c>
      <c r="AG37" s="67">
        <v>240</v>
      </c>
      <c r="AH37" s="54">
        <f t="shared" si="2"/>
        <v>63.2</v>
      </c>
      <c r="AI37" s="55">
        <f t="shared" si="3"/>
        <v>55.4</v>
      </c>
      <c r="AK37" s="56"/>
    </row>
    <row r="38" spans="1:88" ht="15.75" thickBot="1" x14ac:dyDescent="0.3">
      <c r="A38" s="71" t="s">
        <v>46</v>
      </c>
      <c r="B38" s="72">
        <f>SUM(B11:B36)</f>
        <v>535.20000000000005</v>
      </c>
      <c r="C38" s="72">
        <f t="shared" ref="C38:AF38" si="4">SUM(C11:C36)</f>
        <v>495.2</v>
      </c>
      <c r="D38" s="72">
        <f t="shared" si="4"/>
        <v>475.19999999999993</v>
      </c>
      <c r="E38" s="72">
        <f t="shared" si="4"/>
        <v>490.19999999999993</v>
      </c>
      <c r="F38" s="72">
        <f t="shared" si="4"/>
        <v>485.19999999999993</v>
      </c>
      <c r="G38" s="72">
        <f t="shared" si="4"/>
        <v>505.2</v>
      </c>
      <c r="H38" s="72">
        <f t="shared" si="4"/>
        <v>515.19999999999993</v>
      </c>
      <c r="I38" s="72">
        <f t="shared" si="4"/>
        <v>555.20000000000005</v>
      </c>
      <c r="J38" s="72">
        <f t="shared" si="4"/>
        <v>555.20000000000005</v>
      </c>
      <c r="K38" s="72">
        <f t="shared" si="4"/>
        <v>695.2</v>
      </c>
      <c r="L38" s="72">
        <f t="shared" si="4"/>
        <v>875.20000000000027</v>
      </c>
      <c r="M38" s="72">
        <f t="shared" si="4"/>
        <v>911.20000000000027</v>
      </c>
      <c r="N38" s="72">
        <f t="shared" si="4"/>
        <v>781.20000000000016</v>
      </c>
      <c r="O38" s="72">
        <f t="shared" si="4"/>
        <v>685.2</v>
      </c>
      <c r="P38" s="72">
        <f t="shared" si="4"/>
        <v>506.8</v>
      </c>
      <c r="Q38" s="72">
        <f t="shared" si="4"/>
        <v>476.79999999999995</v>
      </c>
      <c r="R38" s="72">
        <f t="shared" si="4"/>
        <v>476.79999999999995</v>
      </c>
      <c r="S38" s="72">
        <f t="shared" si="4"/>
        <v>474.79999999999995</v>
      </c>
      <c r="T38" s="72">
        <f t="shared" si="4"/>
        <v>476.5</v>
      </c>
      <c r="U38" s="72">
        <f t="shared" si="4"/>
        <v>473.4</v>
      </c>
      <c r="V38" s="72">
        <f t="shared" si="4"/>
        <v>656.8</v>
      </c>
      <c r="W38" s="72">
        <f t="shared" si="4"/>
        <v>806.80000000000018</v>
      </c>
      <c r="X38" s="72">
        <f t="shared" si="4"/>
        <v>910.20000000000016</v>
      </c>
      <c r="Y38" s="72">
        <f t="shared" si="4"/>
        <v>910.20000000000016</v>
      </c>
      <c r="Z38" s="72">
        <f t="shared" si="4"/>
        <v>734.2</v>
      </c>
      <c r="AA38" s="72">
        <f t="shared" si="4"/>
        <v>634.20000000000005</v>
      </c>
      <c r="AB38" s="72">
        <f t="shared" si="4"/>
        <v>657.3</v>
      </c>
      <c r="AC38" s="72">
        <f t="shared" si="4"/>
        <v>597.29999999999995</v>
      </c>
      <c r="AD38" s="72">
        <f t="shared" si="4"/>
        <v>557.29999999999995</v>
      </c>
      <c r="AE38" s="72">
        <f t="shared" si="4"/>
        <v>478.09999999999997</v>
      </c>
      <c r="AF38" s="72">
        <f t="shared" si="4"/>
        <v>477.29999999999995</v>
      </c>
      <c r="AG38" s="67">
        <f>SUM(AG11:AG37)</f>
        <v>1492.8299999999997</v>
      </c>
      <c r="AH38" s="54">
        <f t="shared" si="2"/>
        <v>911.20000000000027</v>
      </c>
      <c r="AI38" s="55">
        <f t="shared" si="3"/>
        <v>473.4</v>
      </c>
      <c r="AK38" s="56"/>
    </row>
    <row r="39" spans="1:88" x14ac:dyDescent="0.25">
      <c r="A39" s="57" t="s">
        <v>47</v>
      </c>
      <c r="B39" s="49">
        <v>45</v>
      </c>
      <c r="C39" s="61">
        <v>40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30</v>
      </c>
      <c r="J39" s="61">
        <v>101</v>
      </c>
      <c r="K39" s="61">
        <v>145.80000000000001</v>
      </c>
      <c r="L39" s="61">
        <v>145.69999999999999</v>
      </c>
      <c r="M39" s="50">
        <v>145.80000000000001</v>
      </c>
      <c r="N39" s="50">
        <v>135.69999999999999</v>
      </c>
      <c r="O39" s="50">
        <v>145.80000000000001</v>
      </c>
      <c r="P39" s="50">
        <v>145.80000000000001</v>
      </c>
      <c r="Q39" s="50">
        <v>110.8</v>
      </c>
      <c r="R39" s="50">
        <v>70.7</v>
      </c>
      <c r="S39" s="50">
        <v>85.1</v>
      </c>
      <c r="T39" s="50">
        <v>71</v>
      </c>
      <c r="U39" s="50">
        <v>61.1</v>
      </c>
      <c r="V39" s="50">
        <v>61.1</v>
      </c>
      <c r="W39" s="50">
        <v>132</v>
      </c>
      <c r="X39" s="50">
        <v>142.4</v>
      </c>
      <c r="Y39" s="50">
        <v>142.4</v>
      </c>
      <c r="Z39" s="50">
        <v>142</v>
      </c>
      <c r="AA39" s="50">
        <v>141.5</v>
      </c>
      <c r="AB39" s="50">
        <v>141.5</v>
      </c>
      <c r="AC39" s="50">
        <v>141.5</v>
      </c>
      <c r="AD39" s="50">
        <v>141.5</v>
      </c>
      <c r="AE39" s="50">
        <v>63.4</v>
      </c>
      <c r="AF39" s="49">
        <v>31.1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34</v>
      </c>
      <c r="C40" s="61">
        <v>25</v>
      </c>
      <c r="D40" s="61">
        <v>25</v>
      </c>
      <c r="E40" s="61">
        <v>25</v>
      </c>
      <c r="F40" s="61">
        <v>0</v>
      </c>
      <c r="G40" s="61">
        <v>0</v>
      </c>
      <c r="H40" s="61">
        <v>23.3</v>
      </c>
      <c r="I40" s="61">
        <v>23.3</v>
      </c>
      <c r="J40" s="61">
        <v>45</v>
      </c>
      <c r="K40" s="61">
        <v>69.8</v>
      </c>
      <c r="L40" s="61">
        <v>69.5</v>
      </c>
      <c r="M40" s="73">
        <v>71</v>
      </c>
      <c r="N40" s="73">
        <v>56</v>
      </c>
      <c r="O40" s="73">
        <v>70</v>
      </c>
      <c r="P40" s="73">
        <v>60.5</v>
      </c>
      <c r="Q40" s="73">
        <v>31.2</v>
      </c>
      <c r="R40" s="73">
        <v>24.7</v>
      </c>
      <c r="S40" s="73">
        <v>26.8</v>
      </c>
      <c r="T40" s="73">
        <v>34.799999999999997</v>
      </c>
      <c r="U40" s="73">
        <v>69</v>
      </c>
      <c r="V40" s="73">
        <v>69</v>
      </c>
      <c r="W40" s="73">
        <v>70.7</v>
      </c>
      <c r="X40" s="73">
        <v>70.7</v>
      </c>
      <c r="Y40" s="73">
        <v>70.7</v>
      </c>
      <c r="Z40" s="73">
        <v>71</v>
      </c>
      <c r="AA40" s="73">
        <v>69.2</v>
      </c>
      <c r="AB40" s="73">
        <v>69.2</v>
      </c>
      <c r="AC40" s="73">
        <v>69.2</v>
      </c>
      <c r="AD40" s="73">
        <v>69.2</v>
      </c>
      <c r="AE40" s="73">
        <v>25.1</v>
      </c>
      <c r="AF40" s="61">
        <v>35.1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67</v>
      </c>
      <c r="C41" s="61">
        <v>55</v>
      </c>
      <c r="D41" s="61">
        <v>55</v>
      </c>
      <c r="E41" s="61">
        <v>44</v>
      </c>
      <c r="F41" s="61">
        <v>32</v>
      </c>
      <c r="G41" s="61">
        <v>33.200000000000003</v>
      </c>
      <c r="H41" s="61">
        <v>33.200000000000003</v>
      </c>
      <c r="I41" s="61">
        <v>33.200000000000003</v>
      </c>
      <c r="J41" s="61">
        <v>33</v>
      </c>
      <c r="K41" s="61">
        <v>64.099999999999994</v>
      </c>
      <c r="L41" s="61">
        <v>66.7</v>
      </c>
      <c r="M41" s="73">
        <v>65.900000000000006</v>
      </c>
      <c r="N41" s="73">
        <v>55.7</v>
      </c>
      <c r="O41" s="73">
        <v>62.2</v>
      </c>
      <c r="P41" s="73">
        <v>45.9</v>
      </c>
      <c r="Q41" s="73">
        <v>33</v>
      </c>
      <c r="R41" s="73">
        <v>15.6</v>
      </c>
      <c r="S41" s="73">
        <v>22.8</v>
      </c>
      <c r="T41" s="73">
        <v>21.8</v>
      </c>
      <c r="U41" s="73">
        <v>23</v>
      </c>
      <c r="V41" s="73">
        <v>23</v>
      </c>
      <c r="W41" s="73">
        <v>68.099999999999994</v>
      </c>
      <c r="X41" s="73">
        <v>67.400000000000006</v>
      </c>
      <c r="Y41" s="73">
        <v>67.400000000000006</v>
      </c>
      <c r="Z41" s="73">
        <v>63.6</v>
      </c>
      <c r="AA41" s="73">
        <v>65</v>
      </c>
      <c r="AB41" s="73">
        <v>65</v>
      </c>
      <c r="AC41" s="73">
        <v>65</v>
      </c>
      <c r="AD41" s="73">
        <v>66.400000000000006</v>
      </c>
      <c r="AE41" s="73">
        <v>65.400000000000006</v>
      </c>
      <c r="AF41" s="61">
        <v>45.8</v>
      </c>
      <c r="AG41" s="67">
        <v>69</v>
      </c>
      <c r="AH41" s="54">
        <f t="shared" si="2"/>
        <v>68.099999999999994</v>
      </c>
      <c r="AI41" s="55">
        <f t="shared" si="3"/>
        <v>15.6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60.2</v>
      </c>
      <c r="E42" s="61">
        <v>60.2</v>
      </c>
      <c r="F42" s="61">
        <v>60.2</v>
      </c>
      <c r="G42" s="61">
        <v>60.2</v>
      </c>
      <c r="H42" s="61">
        <v>60.2</v>
      </c>
      <c r="I42" s="61">
        <v>60.2</v>
      </c>
      <c r="J42" s="61">
        <v>60.2</v>
      </c>
      <c r="K42" s="61">
        <v>60.2</v>
      </c>
      <c r="L42" s="61">
        <v>60.2</v>
      </c>
      <c r="M42" s="73">
        <v>60.2</v>
      </c>
      <c r="N42" s="73">
        <v>60.2</v>
      </c>
      <c r="O42" s="73">
        <v>60.2</v>
      </c>
      <c r="P42" s="73">
        <v>60.7</v>
      </c>
      <c r="Q42" s="73">
        <v>60.7</v>
      </c>
      <c r="R42" s="73">
        <v>60.7</v>
      </c>
      <c r="S42" s="73">
        <v>60.4</v>
      </c>
      <c r="T42" s="73">
        <v>60.7</v>
      </c>
      <c r="U42" s="73">
        <v>60.7</v>
      </c>
      <c r="V42" s="73">
        <v>60.7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60.4</v>
      </c>
      <c r="AF42" s="61">
        <v>60.7</v>
      </c>
      <c r="AG42" s="67">
        <v>60</v>
      </c>
      <c r="AH42" s="54">
        <f t="shared" si="2"/>
        <v>60.7</v>
      </c>
      <c r="AI42" s="55">
        <f t="shared" si="3"/>
        <v>60.2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15</v>
      </c>
      <c r="I43" s="61">
        <v>15</v>
      </c>
      <c r="J43" s="61">
        <v>24</v>
      </c>
      <c r="K43" s="61">
        <v>24</v>
      </c>
      <c r="L43" s="61">
        <v>24</v>
      </c>
      <c r="M43" s="50">
        <v>30</v>
      </c>
      <c r="N43" s="50">
        <v>26</v>
      </c>
      <c r="O43" s="50">
        <v>14.7</v>
      </c>
      <c r="P43" s="50">
        <v>13.6</v>
      </c>
      <c r="Q43" s="50">
        <v>13.2</v>
      </c>
      <c r="R43" s="50">
        <v>13.2</v>
      </c>
      <c r="S43" s="50">
        <v>9.6</v>
      </c>
      <c r="T43" s="50">
        <v>10.8</v>
      </c>
      <c r="U43" s="50">
        <v>10.8</v>
      </c>
      <c r="V43" s="50">
        <v>10.8</v>
      </c>
      <c r="W43" s="50">
        <v>22</v>
      </c>
      <c r="X43" s="50">
        <v>27.6</v>
      </c>
      <c r="Y43" s="50">
        <v>28.3</v>
      </c>
      <c r="Z43" s="50">
        <v>28.3</v>
      </c>
      <c r="AA43" s="50">
        <v>22</v>
      </c>
      <c r="AB43" s="50">
        <v>15</v>
      </c>
      <c r="AC43" s="50">
        <v>15</v>
      </c>
      <c r="AD43" s="50">
        <v>10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8</v>
      </c>
      <c r="C45" s="61">
        <v>8</v>
      </c>
      <c r="D45" s="61">
        <v>8</v>
      </c>
      <c r="E45" s="61">
        <v>8</v>
      </c>
      <c r="F45" s="61">
        <v>8</v>
      </c>
      <c r="G45" s="61">
        <v>8</v>
      </c>
      <c r="H45" s="61">
        <v>8</v>
      </c>
      <c r="I45" s="61">
        <v>8</v>
      </c>
      <c r="J45" s="61">
        <v>8</v>
      </c>
      <c r="K45" s="61">
        <v>8</v>
      </c>
      <c r="L45" s="61">
        <v>8</v>
      </c>
      <c r="M45" s="50">
        <v>8</v>
      </c>
      <c r="N45" s="50">
        <v>8</v>
      </c>
      <c r="O45" s="50">
        <v>8</v>
      </c>
      <c r="P45" s="50">
        <v>8</v>
      </c>
      <c r="Q45" s="50">
        <v>8</v>
      </c>
      <c r="R45" s="50">
        <v>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61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7</v>
      </c>
      <c r="C48" s="61">
        <v>7</v>
      </c>
      <c r="D48" s="61">
        <v>7</v>
      </c>
      <c r="E48" s="61">
        <v>7</v>
      </c>
      <c r="F48" s="61">
        <v>7</v>
      </c>
      <c r="G48" s="61">
        <v>7</v>
      </c>
      <c r="H48" s="61">
        <v>7</v>
      </c>
      <c r="I48" s="61">
        <v>7</v>
      </c>
      <c r="J48" s="61">
        <v>7</v>
      </c>
      <c r="K48" s="61">
        <v>7</v>
      </c>
      <c r="L48" s="61">
        <v>7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61">
        <v>6.4</v>
      </c>
      <c r="AG48" s="67">
        <v>14</v>
      </c>
      <c r="AH48" s="54">
        <f t="shared" si="2"/>
        <v>7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61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251.93999999999997</v>
      </c>
      <c r="C52" s="72">
        <f t="shared" ref="C52:AF52" si="6">SUM(C39:C51)</f>
        <v>225.93999999999997</v>
      </c>
      <c r="D52" s="72">
        <f t="shared" si="6"/>
        <v>185.93999999999997</v>
      </c>
      <c r="E52" s="72">
        <f t="shared" si="6"/>
        <v>174.93999999999997</v>
      </c>
      <c r="F52" s="72">
        <f t="shared" si="6"/>
        <v>147.94</v>
      </c>
      <c r="G52" s="72">
        <f t="shared" si="6"/>
        <v>149.14000000000001</v>
      </c>
      <c r="H52" s="72">
        <f t="shared" si="6"/>
        <v>177.43999999999997</v>
      </c>
      <c r="I52" s="72">
        <f t="shared" si="6"/>
        <v>207.43999999999997</v>
      </c>
      <c r="J52" s="72">
        <f t="shared" si="6"/>
        <v>308.94</v>
      </c>
      <c r="K52" s="72">
        <f t="shared" si="6"/>
        <v>409.64000000000004</v>
      </c>
      <c r="L52" s="72">
        <f t="shared" si="6"/>
        <v>411.84</v>
      </c>
      <c r="M52" s="72">
        <f t="shared" si="6"/>
        <v>418.04</v>
      </c>
      <c r="N52" s="72">
        <f t="shared" si="6"/>
        <v>378.73999999999995</v>
      </c>
      <c r="O52" s="72">
        <f t="shared" si="6"/>
        <v>398.03999999999996</v>
      </c>
      <c r="P52" s="72">
        <f t="shared" si="6"/>
        <v>371.64000000000004</v>
      </c>
      <c r="Q52" s="72">
        <f t="shared" si="6"/>
        <v>294.03999999999996</v>
      </c>
      <c r="R52" s="72">
        <f t="shared" si="6"/>
        <v>230.03999999999996</v>
      </c>
      <c r="S52" s="72">
        <f t="shared" si="6"/>
        <v>259.83999999999997</v>
      </c>
      <c r="T52" s="72">
        <f t="shared" si="6"/>
        <v>254.24</v>
      </c>
      <c r="U52" s="72">
        <f t="shared" si="6"/>
        <v>279.74</v>
      </c>
      <c r="V52" s="72">
        <f t="shared" si="6"/>
        <v>279.74</v>
      </c>
      <c r="W52" s="72">
        <f t="shared" si="6"/>
        <v>408.63999999999993</v>
      </c>
      <c r="X52" s="72">
        <f t="shared" si="6"/>
        <v>423.94</v>
      </c>
      <c r="Y52" s="72">
        <f t="shared" si="6"/>
        <v>424.64</v>
      </c>
      <c r="Z52" s="72">
        <f t="shared" si="6"/>
        <v>420.74</v>
      </c>
      <c r="AA52" s="72">
        <f t="shared" si="6"/>
        <v>413.53999999999996</v>
      </c>
      <c r="AB52" s="72">
        <f t="shared" si="6"/>
        <v>406.53999999999996</v>
      </c>
      <c r="AC52" s="72">
        <f t="shared" si="6"/>
        <v>406.53999999999996</v>
      </c>
      <c r="AD52" s="72">
        <f t="shared" si="6"/>
        <v>402.94</v>
      </c>
      <c r="AE52" s="72">
        <f t="shared" si="6"/>
        <v>269.44</v>
      </c>
      <c r="AF52" s="72">
        <f t="shared" si="6"/>
        <v>227.83999999999997</v>
      </c>
      <c r="AG52" s="78">
        <f>SUM(AG39:AG51)</f>
        <v>489.91</v>
      </c>
      <c r="AH52" s="54">
        <f t="shared" si="2"/>
        <v>424.64</v>
      </c>
      <c r="AI52" s="55">
        <f t="shared" si="3"/>
        <v>147.94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59.7</v>
      </c>
      <c r="L53" s="61">
        <v>59.6</v>
      </c>
      <c r="M53" s="79">
        <v>59.8</v>
      </c>
      <c r="N53" s="79">
        <v>59.8</v>
      </c>
      <c r="O53" s="79">
        <v>60.3</v>
      </c>
      <c r="P53" s="79">
        <v>30.2</v>
      </c>
      <c r="Q53" s="50">
        <v>30.5</v>
      </c>
      <c r="R53" s="50">
        <v>0</v>
      </c>
      <c r="S53" s="50">
        <v>0</v>
      </c>
      <c r="T53" s="50">
        <v>0</v>
      </c>
      <c r="U53" s="50">
        <v>29.5</v>
      </c>
      <c r="V53" s="50">
        <v>29.5</v>
      </c>
      <c r="W53" s="50">
        <v>52.2</v>
      </c>
      <c r="X53" s="50">
        <v>52.2</v>
      </c>
      <c r="Y53" s="50">
        <v>54.9</v>
      </c>
      <c r="Z53" s="50">
        <v>53.6</v>
      </c>
      <c r="AA53" s="50">
        <v>52</v>
      </c>
      <c r="AB53" s="50">
        <v>45</v>
      </c>
      <c r="AC53" s="50">
        <v>45</v>
      </c>
      <c r="AD53" s="50">
        <v>15</v>
      </c>
      <c r="AE53" s="50">
        <v>0</v>
      </c>
      <c r="AF53" s="50">
        <v>0</v>
      </c>
      <c r="AG53" s="62">
        <v>60</v>
      </c>
      <c r="AH53" s="54">
        <f t="shared" si="2"/>
        <v>60.3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14.4</v>
      </c>
      <c r="L54" s="61">
        <v>27.9</v>
      </c>
      <c r="M54" s="79">
        <v>28.5</v>
      </c>
      <c r="N54" s="79">
        <v>30</v>
      </c>
      <c r="O54" s="79">
        <v>29.4</v>
      </c>
      <c r="P54" s="79">
        <v>20.3</v>
      </c>
      <c r="Q54" s="73">
        <v>11.6</v>
      </c>
      <c r="R54" s="73">
        <v>0</v>
      </c>
      <c r="S54" s="50">
        <v>0</v>
      </c>
      <c r="T54" s="50">
        <v>0</v>
      </c>
      <c r="U54" s="50">
        <v>15.7</v>
      </c>
      <c r="V54" s="50">
        <v>15.7</v>
      </c>
      <c r="W54" s="73">
        <v>24.5</v>
      </c>
      <c r="X54" s="73">
        <v>24.6</v>
      </c>
      <c r="Y54" s="73">
        <v>25.7</v>
      </c>
      <c r="Z54" s="73">
        <v>26.7</v>
      </c>
      <c r="AA54" s="73">
        <v>26</v>
      </c>
      <c r="AB54" s="73">
        <v>22</v>
      </c>
      <c r="AC54" s="73">
        <v>19</v>
      </c>
      <c r="AD54" s="73">
        <v>21.6</v>
      </c>
      <c r="AE54" s="73">
        <v>0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5.2</v>
      </c>
      <c r="L55" s="74">
        <v>10.199999999999999</v>
      </c>
      <c r="M55" s="81">
        <v>11</v>
      </c>
      <c r="N55" s="81">
        <v>11</v>
      </c>
      <c r="O55" s="81">
        <v>10.7</v>
      </c>
      <c r="P55" s="81">
        <v>7.4</v>
      </c>
      <c r="Q55" s="80">
        <v>4.2</v>
      </c>
      <c r="R55" s="80">
        <v>0</v>
      </c>
      <c r="S55" s="50">
        <v>0</v>
      </c>
      <c r="T55" s="50">
        <v>0</v>
      </c>
      <c r="U55" s="50">
        <v>5.7</v>
      </c>
      <c r="V55" s="50">
        <v>5.7</v>
      </c>
      <c r="W55" s="80">
        <v>9</v>
      </c>
      <c r="X55" s="80">
        <v>9</v>
      </c>
      <c r="Y55" s="80">
        <v>9.4</v>
      </c>
      <c r="Z55" s="80">
        <v>9.6999999999999993</v>
      </c>
      <c r="AA55" s="80">
        <v>9.4</v>
      </c>
      <c r="AB55" s="80">
        <v>9</v>
      </c>
      <c r="AC55" s="80">
        <v>8</v>
      </c>
      <c r="AD55" s="80">
        <v>9</v>
      </c>
      <c r="AE55" s="80">
        <v>0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79.300000000000011</v>
      </c>
      <c r="L56" s="72">
        <f t="shared" si="7"/>
        <v>97.7</v>
      </c>
      <c r="M56" s="72">
        <f t="shared" si="7"/>
        <v>99.3</v>
      </c>
      <c r="N56" s="72">
        <f t="shared" si="7"/>
        <v>100.8</v>
      </c>
      <c r="O56" s="72">
        <f t="shared" si="7"/>
        <v>100.39999999999999</v>
      </c>
      <c r="P56" s="72">
        <f t="shared" si="7"/>
        <v>57.9</v>
      </c>
      <c r="Q56" s="72">
        <f t="shared" si="7"/>
        <v>46.300000000000004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50.900000000000006</v>
      </c>
      <c r="V56" s="72">
        <f t="shared" si="7"/>
        <v>50.900000000000006</v>
      </c>
      <c r="W56" s="72">
        <f t="shared" si="7"/>
        <v>85.7</v>
      </c>
      <c r="X56" s="72">
        <f t="shared" si="7"/>
        <v>85.800000000000011</v>
      </c>
      <c r="Y56" s="72">
        <f t="shared" si="7"/>
        <v>90</v>
      </c>
      <c r="Z56" s="72">
        <f t="shared" si="7"/>
        <v>90</v>
      </c>
      <c r="AA56" s="72">
        <f t="shared" si="7"/>
        <v>87.4</v>
      </c>
      <c r="AB56" s="72">
        <f t="shared" si="7"/>
        <v>76</v>
      </c>
      <c r="AC56" s="72">
        <f t="shared" si="7"/>
        <v>72</v>
      </c>
      <c r="AD56" s="72">
        <f t="shared" si="7"/>
        <v>45.6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100.8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64</v>
      </c>
      <c r="C57" s="50">
        <v>60</v>
      </c>
      <c r="D57" s="50">
        <v>60</v>
      </c>
      <c r="E57" s="50">
        <v>57.6</v>
      </c>
      <c r="F57" s="50">
        <v>64.900000000000006</v>
      </c>
      <c r="G57" s="50">
        <v>60</v>
      </c>
      <c r="H57" s="50">
        <v>58.1</v>
      </c>
      <c r="I57" s="50">
        <v>65</v>
      </c>
      <c r="J57" s="50">
        <v>70.900000000000006</v>
      </c>
      <c r="K57" s="50">
        <v>66</v>
      </c>
      <c r="L57" s="50">
        <v>71.7</v>
      </c>
      <c r="M57" s="50">
        <v>68</v>
      </c>
      <c r="N57" s="50">
        <v>69.8</v>
      </c>
      <c r="O57" s="50">
        <v>72.8</v>
      </c>
      <c r="P57" s="50">
        <v>60</v>
      </c>
      <c r="Q57" s="50">
        <v>66.099999999999994</v>
      </c>
      <c r="R57" s="50">
        <v>64.8</v>
      </c>
      <c r="S57" s="50">
        <v>69.5</v>
      </c>
      <c r="T57" s="50">
        <v>68.5</v>
      </c>
      <c r="U57" s="50">
        <v>66.900000000000006</v>
      </c>
      <c r="V57" s="50">
        <v>60</v>
      </c>
      <c r="W57" s="50">
        <v>70</v>
      </c>
      <c r="X57" s="50">
        <v>77.099999999999994</v>
      </c>
      <c r="Y57" s="50">
        <v>71.599999999999994</v>
      </c>
      <c r="Z57" s="50">
        <v>74.8</v>
      </c>
      <c r="AA57" s="50">
        <v>70.900000000000006</v>
      </c>
      <c r="AB57" s="50">
        <v>76</v>
      </c>
      <c r="AC57" s="50">
        <v>72</v>
      </c>
      <c r="AD57" s="50">
        <v>72</v>
      </c>
      <c r="AE57" s="50">
        <v>68</v>
      </c>
      <c r="AF57" s="50">
        <v>72.099999999999994</v>
      </c>
      <c r="AG57" s="62"/>
      <c r="AH57" s="54">
        <f t="shared" si="2"/>
        <v>77.099999999999994</v>
      </c>
      <c r="AI57" s="55">
        <f t="shared" si="3"/>
        <v>57.6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69.900000000000006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69.900000000000006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105</v>
      </c>
      <c r="C59" s="73">
        <v>108</v>
      </c>
      <c r="D59" s="73">
        <v>110</v>
      </c>
      <c r="E59" s="73">
        <v>128</v>
      </c>
      <c r="F59" s="73">
        <v>127</v>
      </c>
      <c r="G59" s="73">
        <v>215</v>
      </c>
      <c r="H59" s="50">
        <v>233</v>
      </c>
      <c r="I59" s="50">
        <v>233</v>
      </c>
      <c r="J59" s="50">
        <v>267</v>
      </c>
      <c r="K59" s="50">
        <v>124</v>
      </c>
      <c r="L59" s="50">
        <v>16</v>
      </c>
      <c r="M59" s="73">
        <v>5</v>
      </c>
      <c r="N59" s="73">
        <v>107</v>
      </c>
      <c r="O59" s="73">
        <v>10.199999999999999</v>
      </c>
      <c r="P59" s="73">
        <v>305</v>
      </c>
      <c r="Q59" s="73">
        <v>338</v>
      </c>
      <c r="R59" s="73">
        <v>330</v>
      </c>
      <c r="S59" s="73">
        <v>348</v>
      </c>
      <c r="T59" s="73">
        <v>325.60000000000002</v>
      </c>
      <c r="U59" s="73">
        <v>332</v>
      </c>
      <c r="V59" s="73">
        <v>288</v>
      </c>
      <c r="W59" s="73">
        <v>13.4</v>
      </c>
      <c r="X59" s="84">
        <v>7.1</v>
      </c>
      <c r="Y59" s="84">
        <v>0</v>
      </c>
      <c r="Z59" s="84">
        <v>18.8</v>
      </c>
      <c r="AA59" s="84">
        <v>156</v>
      </c>
      <c r="AB59" s="73">
        <v>218</v>
      </c>
      <c r="AC59" s="73">
        <v>209</v>
      </c>
      <c r="AD59" s="73">
        <v>240</v>
      </c>
      <c r="AE59" s="73">
        <v>280</v>
      </c>
      <c r="AF59" s="73">
        <v>203</v>
      </c>
      <c r="AG59" s="85"/>
      <c r="AH59" s="54">
        <f t="shared" si="2"/>
        <v>348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40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40</v>
      </c>
      <c r="M60" s="58">
        <v>40</v>
      </c>
      <c r="N60" s="73">
        <v>29</v>
      </c>
      <c r="O60" s="73">
        <v>52</v>
      </c>
      <c r="P60" s="73">
        <v>35</v>
      </c>
      <c r="Q60" s="73">
        <v>48</v>
      </c>
      <c r="R60" s="73">
        <v>35.5</v>
      </c>
      <c r="S60" s="73">
        <v>47</v>
      </c>
      <c r="T60" s="73">
        <v>43</v>
      </c>
      <c r="U60" s="73">
        <v>46</v>
      </c>
      <c r="V60" s="73">
        <v>46</v>
      </c>
      <c r="W60" s="73">
        <v>40</v>
      </c>
      <c r="X60" s="73">
        <v>42</v>
      </c>
      <c r="Y60" s="73">
        <v>42</v>
      </c>
      <c r="Z60" s="73">
        <v>42</v>
      </c>
      <c r="AA60" s="73">
        <v>42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68</v>
      </c>
      <c r="Y61" s="50">
        <v>72.099999999999994</v>
      </c>
      <c r="Z61" s="50">
        <v>58.5</v>
      </c>
      <c r="AA61" s="50">
        <v>69.3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72.099999999999994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0">
        <v>0</v>
      </c>
      <c r="Q62" s="5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0">
        <v>0</v>
      </c>
      <c r="Q63" s="5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0">
        <v>0</v>
      </c>
      <c r="Q64" s="50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0">
        <v>0</v>
      </c>
      <c r="Q65" s="50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0">
        <v>0</v>
      </c>
      <c r="Q66" s="50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12</v>
      </c>
      <c r="AA66" s="63">
        <v>12</v>
      </c>
      <c r="AB66" s="63">
        <v>12</v>
      </c>
      <c r="AC66" s="63">
        <v>12</v>
      </c>
      <c r="AD66" s="63">
        <v>12</v>
      </c>
      <c r="AE66" s="63">
        <v>10</v>
      </c>
      <c r="AF66" s="63">
        <v>0</v>
      </c>
      <c r="AG66" s="87"/>
      <c r="AH66" s="54">
        <f t="shared" si="2"/>
        <v>12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0">
        <v>0</v>
      </c>
      <c r="Q67" s="50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169</v>
      </c>
      <c r="C68" s="72">
        <f>SUM(C57:C67)</f>
        <v>168</v>
      </c>
      <c r="D68" s="72">
        <f t="shared" ref="D68:AF68" si="8">SUM(D57:D67)</f>
        <v>170</v>
      </c>
      <c r="E68" s="72">
        <f t="shared" si="8"/>
        <v>185.6</v>
      </c>
      <c r="F68" s="72">
        <f t="shared" si="8"/>
        <v>231.9</v>
      </c>
      <c r="G68" s="72">
        <f t="shared" si="8"/>
        <v>275</v>
      </c>
      <c r="H68" s="72">
        <f t="shared" si="8"/>
        <v>291.10000000000002</v>
      </c>
      <c r="I68" s="72">
        <f t="shared" si="8"/>
        <v>298</v>
      </c>
      <c r="J68" s="72">
        <f t="shared" si="8"/>
        <v>337.9</v>
      </c>
      <c r="K68" s="72">
        <f t="shared" si="8"/>
        <v>190</v>
      </c>
      <c r="L68" s="72">
        <f t="shared" si="8"/>
        <v>127.7</v>
      </c>
      <c r="M68" s="72">
        <f t="shared" si="8"/>
        <v>113</v>
      </c>
      <c r="N68" s="72">
        <f t="shared" si="8"/>
        <v>205.8</v>
      </c>
      <c r="O68" s="72">
        <f t="shared" si="8"/>
        <v>135</v>
      </c>
      <c r="P68" s="72">
        <f t="shared" si="8"/>
        <v>400</v>
      </c>
      <c r="Q68" s="72">
        <f t="shared" si="8"/>
        <v>452.1</v>
      </c>
      <c r="R68" s="72">
        <f t="shared" si="8"/>
        <v>430.3</v>
      </c>
      <c r="S68" s="72">
        <f t="shared" si="8"/>
        <v>464.5</v>
      </c>
      <c r="T68" s="72">
        <f t="shared" si="8"/>
        <v>437.1</v>
      </c>
      <c r="U68" s="72">
        <f t="shared" si="8"/>
        <v>444.9</v>
      </c>
      <c r="V68" s="72">
        <f t="shared" si="8"/>
        <v>394</v>
      </c>
      <c r="W68" s="72">
        <f t="shared" si="8"/>
        <v>123.4</v>
      </c>
      <c r="X68" s="72">
        <f t="shared" si="8"/>
        <v>194.2</v>
      </c>
      <c r="Y68" s="72">
        <f t="shared" si="8"/>
        <v>185.7</v>
      </c>
      <c r="Z68" s="72">
        <f t="shared" si="8"/>
        <v>276</v>
      </c>
      <c r="AA68" s="72">
        <f t="shared" si="8"/>
        <v>350.2</v>
      </c>
      <c r="AB68" s="72">
        <f t="shared" si="8"/>
        <v>306</v>
      </c>
      <c r="AC68" s="72">
        <f t="shared" si="8"/>
        <v>293</v>
      </c>
      <c r="AD68" s="72">
        <f t="shared" si="8"/>
        <v>324</v>
      </c>
      <c r="AE68" s="72">
        <f t="shared" si="8"/>
        <v>358</v>
      </c>
      <c r="AF68" s="72">
        <f t="shared" si="8"/>
        <v>275.10000000000002</v>
      </c>
      <c r="AG68" s="78">
        <f>SUM(AG57:AG67)</f>
        <v>0</v>
      </c>
      <c r="AH68" s="54">
        <f t="shared" si="2"/>
        <v>464.5</v>
      </c>
      <c r="AI68" s="55">
        <f t="shared" si="3"/>
        <v>113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956.14</v>
      </c>
      <c r="C73" s="89">
        <f>C68+C56+C52+C38+C72</f>
        <v>889.13999999999987</v>
      </c>
      <c r="D73" s="89">
        <f t="shared" ref="D73:AG73" si="10">D68+D56+D52+D38+D72</f>
        <v>831.13999999999987</v>
      </c>
      <c r="E73" s="89">
        <f t="shared" si="10"/>
        <v>850.7399999999999</v>
      </c>
      <c r="F73" s="89">
        <f t="shared" si="10"/>
        <v>865.04</v>
      </c>
      <c r="G73" s="89">
        <f t="shared" si="10"/>
        <v>929.33999999999992</v>
      </c>
      <c r="H73" s="89">
        <f t="shared" si="10"/>
        <v>983.7399999999999</v>
      </c>
      <c r="I73" s="89">
        <f t="shared" si="10"/>
        <v>1060.6399999999999</v>
      </c>
      <c r="J73" s="89">
        <f t="shared" si="10"/>
        <v>1202.04</v>
      </c>
      <c r="K73" s="89">
        <f t="shared" si="10"/>
        <v>1374.14</v>
      </c>
      <c r="L73" s="89">
        <f t="shared" si="10"/>
        <v>1512.4400000000003</v>
      </c>
      <c r="M73" s="89">
        <f t="shared" si="10"/>
        <v>1541.5400000000004</v>
      </c>
      <c r="N73" s="89">
        <f t="shared" si="10"/>
        <v>1466.54</v>
      </c>
      <c r="O73" s="89">
        <f t="shared" si="10"/>
        <v>1318.6399999999999</v>
      </c>
      <c r="P73" s="89">
        <f t="shared" si="10"/>
        <v>1336.34</v>
      </c>
      <c r="Q73" s="89">
        <f t="shared" si="10"/>
        <v>1269.24</v>
      </c>
      <c r="R73" s="89">
        <f t="shared" si="10"/>
        <v>1137.1399999999999</v>
      </c>
      <c r="S73" s="89">
        <f t="shared" si="10"/>
        <v>1199.1399999999999</v>
      </c>
      <c r="T73" s="89">
        <f t="shared" si="10"/>
        <v>1167.8400000000001</v>
      </c>
      <c r="U73" s="89">
        <f t="shared" si="10"/>
        <v>1248.94</v>
      </c>
      <c r="V73" s="89">
        <f t="shared" si="10"/>
        <v>1381.44</v>
      </c>
      <c r="W73" s="89">
        <f t="shared" si="10"/>
        <v>1424.5400000000002</v>
      </c>
      <c r="X73" s="89">
        <f t="shared" si="10"/>
        <v>1614.1400000000003</v>
      </c>
      <c r="Y73" s="89">
        <f t="shared" si="10"/>
        <v>1610.54</v>
      </c>
      <c r="Z73" s="89">
        <f t="shared" si="10"/>
        <v>1520.94</v>
      </c>
      <c r="AA73" s="89">
        <f t="shared" si="10"/>
        <v>1485.3400000000001</v>
      </c>
      <c r="AB73" s="89">
        <f t="shared" si="10"/>
        <v>1445.84</v>
      </c>
      <c r="AC73" s="89">
        <f t="shared" si="10"/>
        <v>1368.84</v>
      </c>
      <c r="AD73" s="89">
        <f t="shared" si="10"/>
        <v>1329.84</v>
      </c>
      <c r="AE73" s="89">
        <f t="shared" si="10"/>
        <v>1105.54</v>
      </c>
      <c r="AF73" s="89">
        <f t="shared" si="10"/>
        <v>980.24</v>
      </c>
      <c r="AG73" s="89">
        <f t="shared" si="10"/>
        <v>2144.14</v>
      </c>
      <c r="AH73" s="54">
        <f t="shared" si="2"/>
        <v>1614.1400000000003</v>
      </c>
      <c r="AI73" s="55">
        <f t="shared" si="3"/>
        <v>831.13999999999987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>
        <v>20</v>
      </c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20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956.14</v>
      </c>
      <c r="C75" s="89">
        <f>C73+C74</f>
        <v>889.13999999999987</v>
      </c>
      <c r="D75" s="89">
        <f t="shared" ref="D75:AF75" si="11">D72+D68+D56+D52+D38+D74</f>
        <v>831.13999999999987</v>
      </c>
      <c r="E75" s="89">
        <f t="shared" si="11"/>
        <v>850.7399999999999</v>
      </c>
      <c r="F75" s="89">
        <f t="shared" si="11"/>
        <v>865.04</v>
      </c>
      <c r="G75" s="89">
        <f t="shared" si="11"/>
        <v>929.33999999999992</v>
      </c>
      <c r="H75" s="89">
        <f t="shared" si="11"/>
        <v>983.7399999999999</v>
      </c>
      <c r="I75" s="89">
        <f t="shared" si="11"/>
        <v>1060.6399999999999</v>
      </c>
      <c r="J75" s="89">
        <f t="shared" si="11"/>
        <v>1202.04</v>
      </c>
      <c r="K75" s="89">
        <f t="shared" si="11"/>
        <v>1374.14</v>
      </c>
      <c r="L75" s="89">
        <f t="shared" si="11"/>
        <v>1512.4400000000003</v>
      </c>
      <c r="M75" s="89">
        <f t="shared" si="11"/>
        <v>1541.5400000000004</v>
      </c>
      <c r="N75" s="89">
        <f t="shared" si="11"/>
        <v>1486.54</v>
      </c>
      <c r="O75" s="89">
        <f t="shared" si="11"/>
        <v>1318.6399999999999</v>
      </c>
      <c r="P75" s="89">
        <f t="shared" si="11"/>
        <v>1336.34</v>
      </c>
      <c r="Q75" s="89">
        <f t="shared" si="11"/>
        <v>1269.24</v>
      </c>
      <c r="R75" s="89">
        <f t="shared" si="11"/>
        <v>1137.1399999999999</v>
      </c>
      <c r="S75" s="89">
        <f t="shared" si="11"/>
        <v>1199.1399999999999</v>
      </c>
      <c r="T75" s="89">
        <f t="shared" si="11"/>
        <v>1167.8400000000001</v>
      </c>
      <c r="U75" s="89">
        <f t="shared" si="11"/>
        <v>1248.94</v>
      </c>
      <c r="V75" s="89">
        <f t="shared" si="11"/>
        <v>1381.44</v>
      </c>
      <c r="W75" s="89">
        <f t="shared" si="11"/>
        <v>1424.5400000000002</v>
      </c>
      <c r="X75" s="89">
        <f t="shared" si="11"/>
        <v>1614.1400000000003</v>
      </c>
      <c r="Y75" s="89">
        <f t="shared" si="11"/>
        <v>1610.54</v>
      </c>
      <c r="Z75" s="89">
        <f t="shared" si="11"/>
        <v>1520.94</v>
      </c>
      <c r="AA75" s="89">
        <f t="shared" si="11"/>
        <v>1485.3400000000001</v>
      </c>
      <c r="AB75" s="89">
        <f t="shared" si="11"/>
        <v>1445.84</v>
      </c>
      <c r="AC75" s="89">
        <f t="shared" si="11"/>
        <v>1368.84</v>
      </c>
      <c r="AD75" s="89">
        <f t="shared" si="11"/>
        <v>1329.84</v>
      </c>
      <c r="AE75" s="89">
        <f t="shared" si="11"/>
        <v>1105.54</v>
      </c>
      <c r="AF75" s="89">
        <f t="shared" si="11"/>
        <v>980.24</v>
      </c>
      <c r="AG75" s="78">
        <f>AG72+AG68+AG56+AG52+AG38+AG74</f>
        <v>2144.14</v>
      </c>
      <c r="AH75" s="54">
        <f t="shared" si="2"/>
        <v>1614.1400000000003</v>
      </c>
      <c r="AI75" s="55">
        <f t="shared" si="3"/>
        <v>831.13999999999987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1912.28</v>
      </c>
      <c r="C83" s="72">
        <f t="shared" ref="C83:AG83" si="20">SUM(C70:C82)</f>
        <v>1778.2799999999997</v>
      </c>
      <c r="D83" s="72">
        <f t="shared" si="20"/>
        <v>1662.2799999999997</v>
      </c>
      <c r="E83" s="72">
        <f t="shared" si="20"/>
        <v>1701.4799999999998</v>
      </c>
      <c r="F83" s="72">
        <f t="shared" si="20"/>
        <v>1730.08</v>
      </c>
      <c r="G83" s="72">
        <f t="shared" si="20"/>
        <v>1858.6799999999998</v>
      </c>
      <c r="H83" s="72">
        <f t="shared" si="20"/>
        <v>1967.4799999999998</v>
      </c>
      <c r="I83" s="72">
        <f t="shared" si="20"/>
        <v>2121.2799999999997</v>
      </c>
      <c r="J83" s="72">
        <f t="shared" si="20"/>
        <v>2404.08</v>
      </c>
      <c r="K83" s="72">
        <f t="shared" si="20"/>
        <v>2748.28</v>
      </c>
      <c r="L83" s="72">
        <f t="shared" si="20"/>
        <v>3024.8800000000006</v>
      </c>
      <c r="M83" s="72">
        <f t="shared" si="20"/>
        <v>3083.0800000000008</v>
      </c>
      <c r="N83" s="72">
        <f t="shared" si="20"/>
        <v>2973.08</v>
      </c>
      <c r="O83" s="72">
        <f t="shared" si="20"/>
        <v>2637.2799999999997</v>
      </c>
      <c r="P83" s="72">
        <f t="shared" si="20"/>
        <v>2672.68</v>
      </c>
      <c r="Q83" s="72">
        <f t="shared" si="20"/>
        <v>2538.48</v>
      </c>
      <c r="R83" s="72">
        <f t="shared" si="20"/>
        <v>2274.2799999999997</v>
      </c>
      <c r="S83" s="72">
        <f t="shared" si="20"/>
        <v>2398.2799999999997</v>
      </c>
      <c r="T83" s="72">
        <f t="shared" si="20"/>
        <v>2335.6800000000003</v>
      </c>
      <c r="U83" s="72">
        <f t="shared" si="20"/>
        <v>2497.88</v>
      </c>
      <c r="V83" s="72">
        <f t="shared" si="20"/>
        <v>2762.88</v>
      </c>
      <c r="W83" s="72">
        <f t="shared" si="20"/>
        <v>2849.0800000000004</v>
      </c>
      <c r="X83" s="72">
        <f t="shared" si="20"/>
        <v>3228.2800000000007</v>
      </c>
      <c r="Y83" s="72">
        <f t="shared" si="20"/>
        <v>3221.08</v>
      </c>
      <c r="Z83" s="72">
        <f t="shared" si="20"/>
        <v>3041.88</v>
      </c>
      <c r="AA83" s="72">
        <f t="shared" si="20"/>
        <v>2970.6800000000003</v>
      </c>
      <c r="AB83" s="72">
        <f t="shared" si="20"/>
        <v>2891.68</v>
      </c>
      <c r="AC83" s="72">
        <f t="shared" si="20"/>
        <v>2737.68</v>
      </c>
      <c r="AD83" s="72">
        <f t="shared" si="20"/>
        <v>2659.68</v>
      </c>
      <c r="AE83" s="72">
        <f t="shared" si="20"/>
        <v>2211.08</v>
      </c>
      <c r="AF83" s="72">
        <f t="shared" si="20"/>
        <v>1960.48</v>
      </c>
      <c r="AG83" s="78">
        <f t="shared" si="20"/>
        <v>4360.08</v>
      </c>
      <c r="AH83" s="54">
        <f t="shared" si="13"/>
        <v>3228.2800000000007</v>
      </c>
      <c r="AI83" s="55">
        <f t="shared" si="14"/>
        <v>1662.2799999999997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50.03</v>
      </c>
      <c r="C84" s="95">
        <v>49.99</v>
      </c>
      <c r="D84" s="95">
        <v>50.02</v>
      </c>
      <c r="E84" s="95">
        <v>49.972999999999999</v>
      </c>
      <c r="F84" s="95">
        <v>49.875999999999998</v>
      </c>
      <c r="G84" s="95">
        <v>50.024000000000001</v>
      </c>
      <c r="H84" s="95">
        <v>50.012</v>
      </c>
      <c r="I84" s="95">
        <v>50.072000000000003</v>
      </c>
      <c r="J84" s="95">
        <v>50.061999999999998</v>
      </c>
      <c r="K84" s="95">
        <v>49.960999999999999</v>
      </c>
      <c r="L84" s="95">
        <v>50.003</v>
      </c>
      <c r="M84" s="95">
        <v>49.914000000000001</v>
      </c>
      <c r="N84" s="95">
        <v>49.948</v>
      </c>
      <c r="O84" s="95">
        <v>49.96</v>
      </c>
      <c r="P84" s="95">
        <v>49.929000000000002</v>
      </c>
      <c r="Q84" s="95">
        <v>49.875</v>
      </c>
      <c r="R84" s="95">
        <v>50.6</v>
      </c>
      <c r="S84" s="95">
        <v>49.957000000000001</v>
      </c>
      <c r="T84" s="95">
        <v>49.988</v>
      </c>
      <c r="U84" s="95">
        <v>50.021000000000001</v>
      </c>
      <c r="V84" s="95">
        <v>50.05</v>
      </c>
      <c r="W84" s="95">
        <v>50.029000000000003</v>
      </c>
      <c r="X84" s="95">
        <v>50.064999999999998</v>
      </c>
      <c r="Y84" s="95">
        <v>50.052</v>
      </c>
      <c r="Z84" s="95">
        <v>50.026000000000003</v>
      </c>
      <c r="AA84" s="95">
        <v>50.088000000000001</v>
      </c>
      <c r="AB84" s="95">
        <v>50.069000000000003</v>
      </c>
      <c r="AC84" s="95">
        <v>49.957000000000001</v>
      </c>
      <c r="AD84" s="95">
        <v>50.009</v>
      </c>
      <c r="AE84" s="95">
        <v>50.01</v>
      </c>
      <c r="AF84" s="95">
        <v>49.99</v>
      </c>
      <c r="AG84" s="96"/>
      <c r="AH84" s="54">
        <f t="shared" si="13"/>
        <v>50.6</v>
      </c>
      <c r="AI84" s="55">
        <f t="shared" si="14"/>
        <v>49.875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</v>
      </c>
      <c r="C85" s="73">
        <v>128</v>
      </c>
      <c r="D85" s="73">
        <v>128</v>
      </c>
      <c r="E85" s="73">
        <v>127.3</v>
      </c>
      <c r="F85" s="73">
        <v>127.1</v>
      </c>
      <c r="G85" s="73">
        <v>127.1</v>
      </c>
      <c r="H85" s="73">
        <v>124.6</v>
      </c>
      <c r="I85" s="73">
        <v>123.6</v>
      </c>
      <c r="J85" s="73">
        <v>121.8</v>
      </c>
      <c r="K85" s="73">
        <v>122.9</v>
      </c>
      <c r="L85" s="73">
        <v>122.7</v>
      </c>
      <c r="M85" s="73">
        <v>123</v>
      </c>
      <c r="N85" s="73">
        <v>123</v>
      </c>
      <c r="O85" s="73">
        <v>123.9</v>
      </c>
      <c r="P85" s="73">
        <v>123.6</v>
      </c>
      <c r="Q85" s="73">
        <v>123.2</v>
      </c>
      <c r="R85" s="73">
        <v>124.2</v>
      </c>
      <c r="S85" s="73">
        <v>122.4</v>
      </c>
      <c r="T85" s="73">
        <v>124.5</v>
      </c>
      <c r="U85" s="98">
        <v>124.1</v>
      </c>
      <c r="V85" s="98">
        <v>124.9</v>
      </c>
      <c r="W85" s="98">
        <v>124.3</v>
      </c>
      <c r="X85" s="98">
        <v>123.3</v>
      </c>
      <c r="Y85" s="98">
        <v>122.7</v>
      </c>
      <c r="Z85" s="98">
        <v>124.8</v>
      </c>
      <c r="AA85" s="98">
        <v>126.6</v>
      </c>
      <c r="AB85" s="73">
        <v>124.6</v>
      </c>
      <c r="AC85" s="73">
        <v>125.6</v>
      </c>
      <c r="AD85" s="73">
        <v>125.6</v>
      </c>
      <c r="AE85" s="73">
        <v>127.8</v>
      </c>
      <c r="AF85" s="73">
        <v>126</v>
      </c>
      <c r="AG85" s="99"/>
      <c r="AH85" s="54">
        <f t="shared" si="13"/>
        <v>128</v>
      </c>
      <c r="AI85" s="55">
        <f t="shared" si="14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</v>
      </c>
      <c r="C86" s="73">
        <v>131</v>
      </c>
      <c r="D86" s="73">
        <v>132</v>
      </c>
      <c r="E86" s="73">
        <v>131.4</v>
      </c>
      <c r="F86" s="73">
        <v>131.19999999999999</v>
      </c>
      <c r="G86" s="73">
        <v>130.4</v>
      </c>
      <c r="H86" s="73">
        <v>128.5</v>
      </c>
      <c r="I86" s="73">
        <v>127.7</v>
      </c>
      <c r="J86" s="73">
        <v>126.3</v>
      </c>
      <c r="K86" s="73">
        <v>125.7</v>
      </c>
      <c r="L86" s="73">
        <v>125.1</v>
      </c>
      <c r="M86" s="73">
        <v>125</v>
      </c>
      <c r="N86" s="73">
        <v>126</v>
      </c>
      <c r="O86" s="73">
        <v>125.9</v>
      </c>
      <c r="P86" s="73">
        <v>126.1</v>
      </c>
      <c r="Q86" s="73">
        <v>126.1</v>
      </c>
      <c r="R86" s="73">
        <v>126.5</v>
      </c>
      <c r="S86" s="73">
        <v>124.7</v>
      </c>
      <c r="T86" s="73">
        <v>126.1</v>
      </c>
      <c r="U86" s="98">
        <v>126.1</v>
      </c>
      <c r="V86" s="98">
        <v>126.6</v>
      </c>
      <c r="W86" s="98">
        <v>125.5</v>
      </c>
      <c r="X86" s="98">
        <v>124.1</v>
      </c>
      <c r="Y86" s="98">
        <v>124</v>
      </c>
      <c r="Z86" s="98">
        <v>125.7</v>
      </c>
      <c r="AA86" s="98">
        <v>127</v>
      </c>
      <c r="AB86" s="73">
        <v>126.2</v>
      </c>
      <c r="AC86" s="73">
        <v>126.7</v>
      </c>
      <c r="AD86" s="73">
        <v>127.2</v>
      </c>
      <c r="AE86" s="73">
        <v>130.30000000000001</v>
      </c>
      <c r="AF86" s="73">
        <v>129.4</v>
      </c>
      <c r="AG86" s="99"/>
      <c r="AH86" s="54">
        <f t="shared" si="13"/>
        <v>132</v>
      </c>
      <c r="AI86" s="55">
        <f t="shared" si="14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131</v>
      </c>
      <c r="C87" s="73">
        <v>132</v>
      </c>
      <c r="D87" s="73">
        <v>132</v>
      </c>
      <c r="E87" s="73">
        <v>132.80000000000001</v>
      </c>
      <c r="F87" s="73">
        <v>131.4</v>
      </c>
      <c r="G87" s="73">
        <v>130.19999999999999</v>
      </c>
      <c r="H87" s="73">
        <v>129.30000000000001</v>
      </c>
      <c r="I87" s="73">
        <v>127.9</v>
      </c>
      <c r="J87" s="73">
        <v>126.8</v>
      </c>
      <c r="K87" s="73">
        <v>126.9</v>
      </c>
      <c r="L87" s="73">
        <v>128</v>
      </c>
      <c r="M87" s="73">
        <v>126</v>
      </c>
      <c r="N87" s="73">
        <v>130</v>
      </c>
      <c r="O87" s="73">
        <v>130.4</v>
      </c>
      <c r="P87" s="73">
        <v>127.3</v>
      </c>
      <c r="Q87" s="73">
        <v>130.69999999999999</v>
      </c>
      <c r="R87" s="73">
        <v>130.80000000000001</v>
      </c>
      <c r="S87" s="73">
        <v>129</v>
      </c>
      <c r="T87" s="73">
        <v>128.5</v>
      </c>
      <c r="U87" s="73">
        <v>128.6</v>
      </c>
      <c r="V87" s="73">
        <v>129.1</v>
      </c>
      <c r="W87" s="73">
        <v>127.7</v>
      </c>
      <c r="X87" s="98">
        <v>128.6</v>
      </c>
      <c r="Y87" s="98">
        <v>129.5</v>
      </c>
      <c r="Z87" s="98">
        <v>130.5</v>
      </c>
      <c r="AA87" s="98">
        <v>130.30000000000001</v>
      </c>
      <c r="AB87" s="73">
        <v>131.30000000000001</v>
      </c>
      <c r="AC87" s="73">
        <v>130.30000000000001</v>
      </c>
      <c r="AD87" s="73">
        <v>131.4</v>
      </c>
      <c r="AE87" s="73">
        <v>131.30000000000001</v>
      </c>
      <c r="AF87" s="73">
        <v>129.80000000000001</v>
      </c>
      <c r="AG87" s="99"/>
      <c r="AH87" s="54">
        <f t="shared" si="13"/>
        <v>132.80000000000001</v>
      </c>
      <c r="AI87" s="55">
        <f t="shared" si="14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135</v>
      </c>
      <c r="C88" s="73">
        <v>135</v>
      </c>
      <c r="D88" s="73">
        <v>136</v>
      </c>
      <c r="E88" s="73">
        <v>136.5</v>
      </c>
      <c r="F88" s="73">
        <v>133.9</v>
      </c>
      <c r="G88" s="73">
        <v>132.69999999999999</v>
      </c>
      <c r="H88" s="73">
        <v>131.6</v>
      </c>
      <c r="I88" s="73">
        <v>129.80000000000001</v>
      </c>
      <c r="J88" s="73">
        <v>130.5</v>
      </c>
      <c r="K88" s="73">
        <v>131.1</v>
      </c>
      <c r="L88" s="73">
        <v>131</v>
      </c>
      <c r="M88" s="73">
        <v>128</v>
      </c>
      <c r="N88" s="73">
        <v>132</v>
      </c>
      <c r="O88" s="73">
        <v>134.5</v>
      </c>
      <c r="P88" s="73">
        <v>130.30000000000001</v>
      </c>
      <c r="Q88" s="73">
        <v>133.9</v>
      </c>
      <c r="R88" s="73">
        <v>134.6</v>
      </c>
      <c r="S88" s="73">
        <v>132.30000000000001</v>
      </c>
      <c r="T88" s="73">
        <v>131.6</v>
      </c>
      <c r="U88" s="73">
        <v>131.4</v>
      </c>
      <c r="V88" s="73">
        <v>131.80000000000001</v>
      </c>
      <c r="W88" s="73">
        <v>130.80000000000001</v>
      </c>
      <c r="X88" s="98">
        <v>130.80000000000001</v>
      </c>
      <c r="Y88" s="98">
        <v>132.69999999999999</v>
      </c>
      <c r="Z88" s="98">
        <v>133.80000000000001</v>
      </c>
      <c r="AA88" s="98">
        <v>134.6</v>
      </c>
      <c r="AB88" s="73">
        <v>135.69999999999999</v>
      </c>
      <c r="AC88" s="73">
        <v>133.30000000000001</v>
      </c>
      <c r="AD88" s="73">
        <v>134.4</v>
      </c>
      <c r="AE88" s="73">
        <v>135.30000000000001</v>
      </c>
      <c r="AF88" s="73">
        <v>134.30000000000001</v>
      </c>
      <c r="AG88" s="99"/>
      <c r="AH88" s="54">
        <f t="shared" si="13"/>
        <v>136.5</v>
      </c>
      <c r="AI88" s="55">
        <f t="shared" si="14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133</v>
      </c>
      <c r="C89" s="101">
        <v>133</v>
      </c>
      <c r="D89" s="101">
        <v>131</v>
      </c>
      <c r="E89" s="101">
        <v>129.4</v>
      </c>
      <c r="F89" s="101">
        <v>132.5</v>
      </c>
      <c r="G89" s="101">
        <v>131.9</v>
      </c>
      <c r="H89" s="101">
        <v>130.5</v>
      </c>
      <c r="I89" s="101">
        <v>136.1</v>
      </c>
      <c r="J89" s="101">
        <v>134.6</v>
      </c>
      <c r="K89" s="101">
        <v>132.30000000000001</v>
      </c>
      <c r="L89" s="101">
        <v>135</v>
      </c>
      <c r="M89" s="101">
        <v>135</v>
      </c>
      <c r="N89" s="101">
        <v>134</v>
      </c>
      <c r="O89" s="101">
        <v>133.80000000000001</v>
      </c>
      <c r="P89" s="101">
        <v>134.5</v>
      </c>
      <c r="Q89" s="101">
        <v>135</v>
      </c>
      <c r="R89" s="101">
        <v>132.6</v>
      </c>
      <c r="S89" s="101">
        <v>132.9</v>
      </c>
      <c r="T89" s="101">
        <v>132</v>
      </c>
      <c r="U89" s="101">
        <v>129.5</v>
      </c>
      <c r="V89" s="101">
        <v>133.4</v>
      </c>
      <c r="W89" s="101">
        <v>134</v>
      </c>
      <c r="X89" s="98">
        <v>132.1</v>
      </c>
      <c r="Y89" s="98">
        <v>131.69999999999999</v>
      </c>
      <c r="Z89" s="98">
        <v>134.6</v>
      </c>
      <c r="AA89" s="98">
        <v>133.1</v>
      </c>
      <c r="AB89" s="101">
        <v>132.80000000000001</v>
      </c>
      <c r="AC89" s="101">
        <v>134</v>
      </c>
      <c r="AD89" s="101">
        <v>135</v>
      </c>
      <c r="AE89" s="101">
        <v>134.1</v>
      </c>
      <c r="AF89" s="101">
        <v>129.9</v>
      </c>
      <c r="AG89" s="102"/>
      <c r="AH89" s="54">
        <f t="shared" si="13"/>
        <v>136.1</v>
      </c>
      <c r="AI89" s="55">
        <f t="shared" si="14"/>
        <v>129.4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135</v>
      </c>
      <c r="C90" s="73">
        <v>130</v>
      </c>
      <c r="D90" s="73">
        <v>130.80000000000001</v>
      </c>
      <c r="E90" s="73">
        <v>132.1</v>
      </c>
      <c r="F90" s="73">
        <v>132.5</v>
      </c>
      <c r="G90" s="73">
        <v>128.30000000000001</v>
      </c>
      <c r="H90" s="73">
        <v>134.4</v>
      </c>
      <c r="I90" s="73">
        <v>129.6</v>
      </c>
      <c r="J90" s="73">
        <v>128.30000000000001</v>
      </c>
      <c r="K90" s="73">
        <v>133</v>
      </c>
      <c r="L90" s="73">
        <v>130.4</v>
      </c>
      <c r="M90" s="73">
        <v>129</v>
      </c>
      <c r="N90" s="73">
        <v>132</v>
      </c>
      <c r="O90" s="73">
        <v>133.80000000000001</v>
      </c>
      <c r="P90" s="73">
        <v>130.19999999999999</v>
      </c>
      <c r="Q90" s="73">
        <v>131.69999999999999</v>
      </c>
      <c r="R90" s="73">
        <v>135.19999999999999</v>
      </c>
      <c r="S90" s="73">
        <v>136</v>
      </c>
      <c r="T90" s="73">
        <v>133.9</v>
      </c>
      <c r="U90" s="73">
        <v>133</v>
      </c>
      <c r="V90" s="73">
        <v>131</v>
      </c>
      <c r="W90" s="73">
        <v>133.30000000000001</v>
      </c>
      <c r="X90" s="98">
        <v>132.30000000000001</v>
      </c>
      <c r="Y90" s="98">
        <v>133.4</v>
      </c>
      <c r="Z90" s="98">
        <v>135</v>
      </c>
      <c r="AA90" s="98">
        <v>132.5</v>
      </c>
      <c r="AB90" s="73">
        <v>133.30000000000001</v>
      </c>
      <c r="AC90" s="73">
        <v>133.69999999999999</v>
      </c>
      <c r="AD90" s="73">
        <v>134.80000000000001</v>
      </c>
      <c r="AE90" s="73">
        <v>134</v>
      </c>
      <c r="AF90" s="73">
        <v>135.19999999999999</v>
      </c>
      <c r="AG90" s="99"/>
      <c r="AH90" s="54">
        <f t="shared" si="13"/>
        <v>136</v>
      </c>
      <c r="AI90" s="55">
        <f t="shared" si="14"/>
        <v>128.30000000000001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66.2</v>
      </c>
      <c r="C91" s="103">
        <v>67</v>
      </c>
      <c r="D91" s="103">
        <v>67.3</v>
      </c>
      <c r="E91" s="103">
        <v>66.7</v>
      </c>
      <c r="F91" s="103">
        <v>66.599999999999994</v>
      </c>
      <c r="G91" s="103">
        <v>66.400000000000006</v>
      </c>
      <c r="H91" s="103">
        <v>65.400000000000006</v>
      </c>
      <c r="I91" s="103">
        <v>64.599999999999994</v>
      </c>
      <c r="J91" s="103">
        <v>63.8</v>
      </c>
      <c r="K91" s="103">
        <v>63.9</v>
      </c>
      <c r="L91" s="103">
        <v>63.5</v>
      </c>
      <c r="M91" s="103">
        <v>63.5</v>
      </c>
      <c r="N91" s="103">
        <v>64</v>
      </c>
      <c r="O91" s="103">
        <v>64.400000000000006</v>
      </c>
      <c r="P91" s="103">
        <v>63.8</v>
      </c>
      <c r="Q91" s="103">
        <v>64.2</v>
      </c>
      <c r="R91" s="103">
        <v>63.9</v>
      </c>
      <c r="S91" s="103">
        <v>63.4</v>
      </c>
      <c r="T91" s="103">
        <v>63.7</v>
      </c>
      <c r="U91" s="103">
        <v>63.7</v>
      </c>
      <c r="V91" s="103">
        <v>64.2</v>
      </c>
      <c r="W91" s="103">
        <v>63.5</v>
      </c>
      <c r="X91" s="103">
        <v>63</v>
      </c>
      <c r="Y91" s="103">
        <v>62.9</v>
      </c>
      <c r="Z91" s="103">
        <v>63.6</v>
      </c>
      <c r="AA91" s="103">
        <v>64.3</v>
      </c>
      <c r="AB91" s="103">
        <v>64.2</v>
      </c>
      <c r="AC91" s="103">
        <v>64.3</v>
      </c>
      <c r="AD91" s="103">
        <v>64.8</v>
      </c>
      <c r="AE91" s="103">
        <v>66</v>
      </c>
      <c r="AF91" s="103">
        <v>65.099999999999994</v>
      </c>
      <c r="AG91" s="104"/>
      <c r="AH91" s="54">
        <f t="shared" si="13"/>
        <v>67.3</v>
      </c>
      <c r="AI91" s="55">
        <f t="shared" si="14"/>
        <v>62.9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192.54</v>
      </c>
      <c r="C93" s="110">
        <f>SUM(C15,C18,C21:C22,C42,C44:C45,C47,C49,C94:C97,C102,C108,C114,C123,C125,C137,C144,C147:C148,C155,C157,C159,C163:C165,C167:C169,C174,C180:C181,C183:C185,C193,C198)</f>
        <v>192.54</v>
      </c>
      <c r="D93" s="110">
        <f t="shared" ref="D93:AF93" si="21">SUM(D15,D18,D21:D22,D42,D44:D45,D47,D49,D94:D97,D102,D108,D114,D123,D125,D137,D144,D147:D148,D155,D157,D159,D163:D165,D167:D169,D174,D180:D181,D183:D185,D193,D198)</f>
        <v>192.54</v>
      </c>
      <c r="E93" s="110">
        <f t="shared" si="21"/>
        <v>167.64</v>
      </c>
      <c r="F93" s="110">
        <f t="shared" si="21"/>
        <v>175.83999999999997</v>
      </c>
      <c r="G93" s="109">
        <f t="shared" si="21"/>
        <v>207.83999999999997</v>
      </c>
      <c r="H93" s="109">
        <f t="shared" si="21"/>
        <v>225.23999999999998</v>
      </c>
      <c r="I93" s="109">
        <f t="shared" si="21"/>
        <v>295.34000000000003</v>
      </c>
      <c r="J93" s="109">
        <f t="shared" si="21"/>
        <v>310.94000000000005</v>
      </c>
      <c r="K93" s="109">
        <f t="shared" si="21"/>
        <v>382.54</v>
      </c>
      <c r="L93" s="109">
        <f t="shared" si="21"/>
        <v>436.54</v>
      </c>
      <c r="M93" s="109">
        <f t="shared" si="21"/>
        <v>450.84000000000003</v>
      </c>
      <c r="N93" s="109">
        <f t="shared" si="21"/>
        <v>420.94000000000005</v>
      </c>
      <c r="O93" s="109">
        <f t="shared" si="21"/>
        <v>402.74</v>
      </c>
      <c r="P93" s="109">
        <f t="shared" si="21"/>
        <v>383.64000000000004</v>
      </c>
      <c r="Q93" s="109">
        <f t="shared" si="21"/>
        <v>357.64</v>
      </c>
      <c r="R93" s="109">
        <f t="shared" si="21"/>
        <v>353.14</v>
      </c>
      <c r="S93" s="109">
        <f t="shared" si="21"/>
        <v>382.14000000000004</v>
      </c>
      <c r="T93" s="109">
        <f t="shared" si="21"/>
        <v>399.43999999999994</v>
      </c>
      <c r="U93" s="109">
        <f t="shared" si="21"/>
        <v>398.84000000000003</v>
      </c>
      <c r="V93" s="109">
        <f t="shared" si="21"/>
        <v>447.94</v>
      </c>
      <c r="W93" s="109">
        <f t="shared" si="21"/>
        <v>482.84000000000003</v>
      </c>
      <c r="X93" s="109">
        <f t="shared" si="21"/>
        <v>502.93999999999994</v>
      </c>
      <c r="Y93" s="109">
        <f t="shared" si="21"/>
        <v>511.64</v>
      </c>
      <c r="Z93" s="109">
        <f t="shared" si="21"/>
        <v>503.84</v>
      </c>
      <c r="AA93" s="109">
        <f t="shared" si="21"/>
        <v>497.64</v>
      </c>
      <c r="AB93" s="109">
        <f t="shared" si="21"/>
        <v>477.64</v>
      </c>
      <c r="AC93" s="109">
        <f t="shared" si="21"/>
        <v>453.64</v>
      </c>
      <c r="AD93" s="109">
        <f t="shared" si="21"/>
        <v>420.94</v>
      </c>
      <c r="AE93" s="109">
        <f t="shared" si="21"/>
        <v>345.74</v>
      </c>
      <c r="AF93" s="109">
        <f t="shared" si="21"/>
        <v>247.63999999999996</v>
      </c>
      <c r="AG93" s="111"/>
      <c r="AH93" s="54">
        <f>MAX(C93:AF93)</f>
        <v>511.64</v>
      </c>
      <c r="AI93" s="55">
        <f>MIN(C93:AF93)</f>
        <v>167.64</v>
      </c>
    </row>
    <row r="94" spans="1:88" x14ac:dyDescent="0.25">
      <c r="A94" s="112" t="s">
        <v>98</v>
      </c>
      <c r="B94" s="175">
        <v>39</v>
      </c>
      <c r="C94" s="175">
        <v>39</v>
      </c>
      <c r="D94" s="175">
        <v>39</v>
      </c>
      <c r="E94" s="58">
        <v>16.399999999999999</v>
      </c>
      <c r="F94" s="58">
        <v>17.600000000000001</v>
      </c>
      <c r="G94" s="114">
        <v>-10.9</v>
      </c>
      <c r="H94" s="114">
        <v>-5.4</v>
      </c>
      <c r="I94" s="114">
        <v>33.1</v>
      </c>
      <c r="J94" s="114">
        <v>29.8</v>
      </c>
      <c r="K94" s="114">
        <v>54.6</v>
      </c>
      <c r="L94" s="114">
        <v>62.8</v>
      </c>
      <c r="M94" s="113">
        <v>64.5</v>
      </c>
      <c r="N94" s="114">
        <v>66.400000000000006</v>
      </c>
      <c r="O94" s="114">
        <v>64.400000000000006</v>
      </c>
      <c r="P94" s="114">
        <v>62.7</v>
      </c>
      <c r="Q94" s="114">
        <v>44.4</v>
      </c>
      <c r="R94" s="114">
        <v>21.9</v>
      </c>
      <c r="S94" s="114">
        <v>34.299999999999997</v>
      </c>
      <c r="T94" s="114">
        <v>29.6</v>
      </c>
      <c r="U94" s="113">
        <v>35.5</v>
      </c>
      <c r="V94" s="113">
        <v>83.2</v>
      </c>
      <c r="W94" s="113">
        <v>75.7</v>
      </c>
      <c r="X94" s="114">
        <v>70.3</v>
      </c>
      <c r="Y94" s="114">
        <v>66.099999999999994</v>
      </c>
      <c r="Z94" s="114">
        <v>87.9</v>
      </c>
      <c r="AA94" s="114">
        <v>89.6</v>
      </c>
      <c r="AB94" s="113">
        <v>78</v>
      </c>
      <c r="AC94" s="113">
        <v>80</v>
      </c>
      <c r="AD94" s="113">
        <v>87</v>
      </c>
      <c r="AE94" s="113">
        <v>39.200000000000003</v>
      </c>
      <c r="AF94" s="113">
        <v>21.2</v>
      </c>
      <c r="AG94" s="115">
        <v>75</v>
      </c>
      <c r="AH94" s="54">
        <f t="shared" ref="AH94:AH99" si="22">IF(ABS(MAX(C94:AF94))&gt;ABS(MIN(C94:AF94)),MAX(C94:AF94),MIN(C94:AF94))</f>
        <v>89.6</v>
      </c>
      <c r="AI94" s="116">
        <f t="shared" ref="AI94:AI99" si="23">INDEX($C$9:$AF$9,1,MATCH(AH94,C94:AF94,0))</f>
        <v>0.8125</v>
      </c>
    </row>
    <row r="95" spans="1:88" x14ac:dyDescent="0.25">
      <c r="A95" s="117" t="s">
        <v>99</v>
      </c>
      <c r="B95" s="176">
        <v>-60</v>
      </c>
      <c r="C95" s="176">
        <v>-60</v>
      </c>
      <c r="D95" s="176">
        <v>-60</v>
      </c>
      <c r="E95" s="60">
        <v>-61</v>
      </c>
      <c r="F95" s="60">
        <v>-56</v>
      </c>
      <c r="G95" s="60">
        <v>-40</v>
      </c>
      <c r="H95" s="60">
        <v>-36</v>
      </c>
      <c r="I95" s="60">
        <v>-20</v>
      </c>
      <c r="J95" s="60">
        <v>-12</v>
      </c>
      <c r="K95" s="60">
        <v>13</v>
      </c>
      <c r="L95" s="60">
        <v>32</v>
      </c>
      <c r="M95" s="60">
        <v>42</v>
      </c>
      <c r="N95" s="60">
        <v>26</v>
      </c>
      <c r="O95" s="60">
        <f>16.9+10.2</f>
        <v>27.099999999999998</v>
      </c>
      <c r="P95" s="60">
        <v>8.9</v>
      </c>
      <c r="Q95" s="60">
        <v>5.7</v>
      </c>
      <c r="R95" s="60">
        <f>13.9+14.7</f>
        <v>28.6</v>
      </c>
      <c r="S95" s="60">
        <v>32.200000000000003</v>
      </c>
      <c r="T95" s="60">
        <v>41.2</v>
      </c>
      <c r="U95" s="60">
        <v>36</v>
      </c>
      <c r="V95" s="60">
        <v>36</v>
      </c>
      <c r="W95" s="60">
        <v>66</v>
      </c>
      <c r="X95" s="60">
        <v>78.599999999999994</v>
      </c>
      <c r="Y95" s="60">
        <v>88</v>
      </c>
      <c r="Z95" s="60">
        <v>62</v>
      </c>
      <c r="AA95" s="60">
        <v>57.3</v>
      </c>
      <c r="AB95" s="73">
        <v>62</v>
      </c>
      <c r="AC95" s="73">
        <v>47</v>
      </c>
      <c r="AD95" s="73">
        <v>30</v>
      </c>
      <c r="AE95" s="73">
        <f>2.1+3</f>
        <v>5.0999999999999996</v>
      </c>
      <c r="AF95" s="73">
        <v>47.5</v>
      </c>
      <c r="AG95" s="115">
        <v>240</v>
      </c>
      <c r="AH95" s="54">
        <f t="shared" si="22"/>
        <v>88</v>
      </c>
      <c r="AI95" s="116">
        <f t="shared" si="23"/>
        <v>0.77083333333333337</v>
      </c>
    </row>
    <row r="96" spans="1:88" x14ac:dyDescent="0.25">
      <c r="A96" s="117" t="s">
        <v>100</v>
      </c>
      <c r="B96" s="176">
        <v>-7</v>
      </c>
      <c r="C96" s="176">
        <v>-7</v>
      </c>
      <c r="D96" s="176">
        <v>-7</v>
      </c>
      <c r="E96" s="60">
        <v>-7.9</v>
      </c>
      <c r="F96" s="60">
        <v>-6.7</v>
      </c>
      <c r="G96" s="60">
        <v>5.7</v>
      </c>
      <c r="H96" s="60">
        <v>2.5</v>
      </c>
      <c r="I96" s="60">
        <v>8.1</v>
      </c>
      <c r="J96" s="60">
        <v>10.6</v>
      </c>
      <c r="K96" s="60">
        <v>45.2</v>
      </c>
      <c r="L96" s="60">
        <v>47.5</v>
      </c>
      <c r="M96" s="60">
        <v>52.8</v>
      </c>
      <c r="N96" s="60">
        <v>50</v>
      </c>
      <c r="O96" s="60">
        <v>52.3</v>
      </c>
      <c r="P96" s="60">
        <v>40.200000000000003</v>
      </c>
      <c r="Q96" s="60">
        <v>29.4</v>
      </c>
      <c r="R96" s="60">
        <v>18</v>
      </c>
      <c r="S96" s="60">
        <v>16.8</v>
      </c>
      <c r="T96" s="60">
        <v>38.4</v>
      </c>
      <c r="U96" s="60">
        <v>38.700000000000003</v>
      </c>
      <c r="V96" s="60">
        <v>56.9</v>
      </c>
      <c r="W96" s="60">
        <v>64.099999999999994</v>
      </c>
      <c r="X96" s="60">
        <v>64.400000000000006</v>
      </c>
      <c r="Y96" s="60">
        <v>66.5</v>
      </c>
      <c r="Z96" s="60">
        <v>66.099999999999994</v>
      </c>
      <c r="AA96" s="60">
        <v>66.099999999999994</v>
      </c>
      <c r="AB96" s="73">
        <v>64</v>
      </c>
      <c r="AC96" s="73">
        <v>60</v>
      </c>
      <c r="AD96" s="73">
        <v>28.3</v>
      </c>
      <c r="AE96" s="73">
        <v>15</v>
      </c>
      <c r="AF96" s="73">
        <f>-12.6-14</f>
        <v>-26.6</v>
      </c>
      <c r="AG96" s="115">
        <v>60</v>
      </c>
      <c r="AH96" s="54">
        <f t="shared" si="22"/>
        <v>66.5</v>
      </c>
      <c r="AI96" s="116">
        <f t="shared" si="23"/>
        <v>0.77083333333333337</v>
      </c>
    </row>
    <row r="97" spans="1:37" x14ac:dyDescent="0.25">
      <c r="A97" s="118" t="s">
        <v>101</v>
      </c>
      <c r="B97" s="177">
        <v>41</v>
      </c>
      <c r="C97" s="177">
        <v>41</v>
      </c>
      <c r="D97" s="177">
        <v>41</v>
      </c>
      <c r="E97" s="63">
        <v>40.6</v>
      </c>
      <c r="F97" s="63">
        <v>41.4</v>
      </c>
      <c r="G97" s="63">
        <v>73.5</v>
      </c>
      <c r="H97" s="63">
        <v>84.6</v>
      </c>
      <c r="I97" s="63">
        <v>94.6</v>
      </c>
      <c r="J97" s="63">
        <v>103</v>
      </c>
      <c r="K97" s="63">
        <v>90.2</v>
      </c>
      <c r="L97" s="63">
        <v>114.7</v>
      </c>
      <c r="M97" s="63">
        <v>112</v>
      </c>
      <c r="N97" s="63">
        <v>99</v>
      </c>
      <c r="O97" s="63">
        <v>79.400000000000006</v>
      </c>
      <c r="P97" s="63">
        <v>92.2</v>
      </c>
      <c r="Q97" s="63">
        <v>98.5</v>
      </c>
      <c r="R97" s="63">
        <v>105</v>
      </c>
      <c r="S97" s="63">
        <v>109.5</v>
      </c>
      <c r="T97" s="63">
        <v>100.6</v>
      </c>
      <c r="U97" s="63">
        <v>99</v>
      </c>
      <c r="V97" s="63">
        <v>82.2</v>
      </c>
      <c r="W97" s="63">
        <v>87.4</v>
      </c>
      <c r="X97" s="63">
        <v>100</v>
      </c>
      <c r="Y97" s="63">
        <v>101.4</v>
      </c>
      <c r="Z97" s="63">
        <v>98.2</v>
      </c>
      <c r="AA97" s="63">
        <v>95</v>
      </c>
      <c r="AB97" s="119">
        <v>84</v>
      </c>
      <c r="AC97" s="119">
        <v>77</v>
      </c>
      <c r="AD97" s="119">
        <v>86</v>
      </c>
      <c r="AE97" s="119">
        <v>95.9</v>
      </c>
      <c r="AF97" s="119">
        <v>14.4</v>
      </c>
      <c r="AG97" s="120">
        <v>120</v>
      </c>
      <c r="AH97" s="54">
        <f t="shared" si="22"/>
        <v>114.7</v>
      </c>
      <c r="AI97" s="116">
        <f t="shared" si="23"/>
        <v>0.3125</v>
      </c>
    </row>
    <row r="98" spans="1:37" x14ac:dyDescent="0.25">
      <c r="A98" s="118" t="s">
        <v>102</v>
      </c>
      <c r="B98" s="177">
        <v>49</v>
      </c>
      <c r="C98" s="177">
        <v>49</v>
      </c>
      <c r="D98" s="177">
        <v>49</v>
      </c>
      <c r="E98" s="63">
        <v>54</v>
      </c>
      <c r="F98" s="63">
        <v>53</v>
      </c>
      <c r="G98" s="63">
        <v>80</v>
      </c>
      <c r="H98" s="63">
        <v>89.2</v>
      </c>
      <c r="I98" s="63">
        <v>89.8</v>
      </c>
      <c r="J98" s="63">
        <v>98</v>
      </c>
      <c r="K98" s="63">
        <v>92.4</v>
      </c>
      <c r="L98" s="63">
        <v>97.8</v>
      </c>
      <c r="M98" s="63">
        <v>95</v>
      </c>
      <c r="N98" s="63">
        <v>95</v>
      </c>
      <c r="O98" s="63">
        <v>56.4</v>
      </c>
      <c r="P98" s="63">
        <v>89.3</v>
      </c>
      <c r="Q98" s="63">
        <v>95.3</v>
      </c>
      <c r="R98" s="63">
        <v>88.7</v>
      </c>
      <c r="S98" s="63">
        <v>94</v>
      </c>
      <c r="T98" s="63">
        <v>83.8</v>
      </c>
      <c r="U98" s="63">
        <v>80.2</v>
      </c>
      <c r="V98" s="63">
        <v>51.4</v>
      </c>
      <c r="W98" s="63">
        <v>77.599999999999994</v>
      </c>
      <c r="X98" s="63">
        <v>87.6</v>
      </c>
      <c r="Y98" s="63">
        <v>95</v>
      </c>
      <c r="Z98" s="63">
        <v>61.1</v>
      </c>
      <c r="AA98" s="63">
        <v>48</v>
      </c>
      <c r="AB98" s="119">
        <v>95</v>
      </c>
      <c r="AC98" s="119">
        <v>66</v>
      </c>
      <c r="AD98" s="119">
        <v>70</v>
      </c>
      <c r="AE98" s="119">
        <v>83.5</v>
      </c>
      <c r="AF98" s="119">
        <v>87.8</v>
      </c>
      <c r="AG98" s="120"/>
      <c r="AH98" s="54">
        <f t="shared" si="22"/>
        <v>98</v>
      </c>
      <c r="AI98" s="116">
        <f t="shared" si="23"/>
        <v>0.27083333333333331</v>
      </c>
    </row>
    <row r="99" spans="1:37" ht="15.75" thickBot="1" x14ac:dyDescent="0.3">
      <c r="A99" s="118" t="s">
        <v>217</v>
      </c>
      <c r="B99" s="177">
        <v>52</v>
      </c>
      <c r="C99" s="177">
        <v>52</v>
      </c>
      <c r="D99" s="177">
        <v>52</v>
      </c>
      <c r="E99" s="63">
        <v>61.3</v>
      </c>
      <c r="F99" s="63">
        <v>32.1</v>
      </c>
      <c r="G99" s="63">
        <v>69.5</v>
      </c>
      <c r="H99" s="63">
        <v>74.599999999999994</v>
      </c>
      <c r="I99" s="63">
        <v>40.299999999999997</v>
      </c>
      <c r="J99" s="63">
        <v>44.8</v>
      </c>
      <c r="K99" s="63">
        <v>48.6</v>
      </c>
      <c r="L99" s="63">
        <v>23</v>
      </c>
      <c r="M99" s="63">
        <v>22.4</v>
      </c>
      <c r="N99" s="63">
        <v>7.2</v>
      </c>
      <c r="O99" s="63">
        <v>3.2</v>
      </c>
      <c r="P99" s="63">
        <v>9.3000000000000007</v>
      </c>
      <c r="Q99" s="63">
        <v>11.6</v>
      </c>
      <c r="R99" s="63">
        <v>11.9</v>
      </c>
      <c r="S99" s="63">
        <v>12.6</v>
      </c>
      <c r="T99" s="63">
        <v>13.4</v>
      </c>
      <c r="U99" s="63">
        <v>12.7</v>
      </c>
      <c r="V99" s="63">
        <v>0</v>
      </c>
      <c r="W99" s="63">
        <v>14.6</v>
      </c>
      <c r="X99" s="63">
        <v>19.2</v>
      </c>
      <c r="Y99" s="63">
        <v>25.1</v>
      </c>
      <c r="Z99" s="63">
        <v>-1.9</v>
      </c>
      <c r="AA99" s="63">
        <v>0</v>
      </c>
      <c r="AB99" s="119">
        <v>26</v>
      </c>
      <c r="AC99" s="119">
        <v>19</v>
      </c>
      <c r="AD99" s="119">
        <v>14</v>
      </c>
      <c r="AE99" s="119">
        <v>40.299999999999997</v>
      </c>
      <c r="AF99" s="119">
        <v>56</v>
      </c>
      <c r="AG99" s="121"/>
      <c r="AH99" s="54">
        <f t="shared" si="22"/>
        <v>74.599999999999994</v>
      </c>
      <c r="AI99" s="116">
        <f t="shared" si="23"/>
        <v>0.22916666666666666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1541.5400000000004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2078/09/21)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956.14</v>
      </c>
      <c r="U213" s="167">
        <f t="shared" si="60"/>
        <v>889.13999999999987</v>
      </c>
      <c r="V213" s="167">
        <f t="shared" si="60"/>
        <v>831.13999999999987</v>
      </c>
      <c r="W213" s="167">
        <f t="shared" si="60"/>
        <v>850.7399999999999</v>
      </c>
      <c r="X213" s="167">
        <f t="shared" si="60"/>
        <v>865.04</v>
      </c>
      <c r="Y213" s="167">
        <f t="shared" si="60"/>
        <v>929.33999999999992</v>
      </c>
      <c r="Z213" s="167">
        <f t="shared" si="60"/>
        <v>983.7399999999999</v>
      </c>
      <c r="AA213" s="167">
        <f t="shared" si="60"/>
        <v>1060.6399999999999</v>
      </c>
      <c r="AB213" s="167">
        <f t="shared" si="60"/>
        <v>1202.04</v>
      </c>
      <c r="AC213" s="167">
        <f t="shared" si="60"/>
        <v>1374.14</v>
      </c>
      <c r="AD213" s="167">
        <f t="shared" si="60"/>
        <v>1512.4400000000003</v>
      </c>
      <c r="AE213" s="167">
        <f t="shared" si="60"/>
        <v>1541.5400000000004</v>
      </c>
      <c r="AF213" s="167">
        <f t="shared" si="60"/>
        <v>1486.54</v>
      </c>
      <c r="AG213" s="167">
        <f t="shared" si="60"/>
        <v>1318.6399999999999</v>
      </c>
      <c r="AH213" s="167">
        <f t="shared" si="60"/>
        <v>1336.34</v>
      </c>
      <c r="AI213" s="167">
        <f t="shared" si="60"/>
        <v>1269.24</v>
      </c>
      <c r="AJ213" s="167">
        <f t="shared" si="60"/>
        <v>1137.1399999999999</v>
      </c>
      <c r="AK213" s="167">
        <f t="shared" si="60"/>
        <v>1199.1399999999999</v>
      </c>
      <c r="AL213" s="167">
        <f t="shared" si="60"/>
        <v>1167.8400000000001</v>
      </c>
      <c r="AM213" s="167">
        <f t="shared" si="60"/>
        <v>1248.94</v>
      </c>
      <c r="AN213" s="167">
        <f t="shared" si="60"/>
        <v>1381.44</v>
      </c>
      <c r="AO213" s="167">
        <f t="shared" si="60"/>
        <v>1424.5400000000002</v>
      </c>
      <c r="AP213" s="167">
        <f t="shared" si="60"/>
        <v>1614.1400000000003</v>
      </c>
      <c r="AQ213" s="167">
        <f t="shared" si="60"/>
        <v>1610.54</v>
      </c>
      <c r="AR213" s="167">
        <f t="shared" si="60"/>
        <v>1520.94</v>
      </c>
      <c r="AS213" s="167">
        <f t="shared" si="60"/>
        <v>1485.3400000000001</v>
      </c>
      <c r="AT213" s="167">
        <f t="shared" si="60"/>
        <v>1445.84</v>
      </c>
      <c r="AU213" s="167">
        <f t="shared" si="60"/>
        <v>1368.84</v>
      </c>
      <c r="AV213" s="167">
        <f t="shared" si="60"/>
        <v>1329.84</v>
      </c>
      <c r="AW213" s="167">
        <f t="shared" si="60"/>
        <v>1105.54</v>
      </c>
      <c r="AX213" s="167">
        <f t="shared" si="60"/>
        <v>980.24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M37 P39:R39 P40:Q42 R40:T41 X85:AA91 AB81:AF81 B81:R81 C56:AF56 B82:AF83 D193:AF199 B193:B199 C68:AF72 AB84:AF91 B84:B91 B73:AF80 B9:AF10 B191:AF191 AF57:AF67 B53:B72 AG73 AB94:AF99 U212:AF212 C53:C55 B94:D99 K57:L57 C57:J67 B36:M36 M11:O14 P12:P14 M16:O32 N36:O37 M39:O42 K58:O67 P60:R67 P11:AE11 R39:R42 S61:S67 U40:Y42 M53:AF55 P58:W59 N45:W48 AE12:AE14 X18:AD30 Z40:AE43 AE16:AF26 AE28:AF31 AF11:AF14 X36:AF36">
    <cfRule type="expression" dxfId="3567" priority="297">
      <formula>B$9&gt;=20/24</formula>
    </cfRule>
    <cfRule type="expression" dxfId="3566" priority="298">
      <formula>AND(B$9&gt;=14/24,B$9&lt;20/24)</formula>
    </cfRule>
    <cfRule type="expression" dxfId="3565" priority="299">
      <formula>AND(B$9&gt;=8/24,B$9&lt;14/24)</formula>
    </cfRule>
    <cfRule type="expression" dxfId="3564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563" priority="292">
      <formula>M$9&gt;=20/24</formula>
    </cfRule>
    <cfRule type="expression" dxfId="3562" priority="293">
      <formula>AND(M$9&gt;=14/24,M$9&lt;20/24)</formula>
    </cfRule>
    <cfRule type="expression" dxfId="3561" priority="294">
      <formula>AND(M$9&gt;=8/24,M$9&lt;14/24)</formula>
    </cfRule>
    <cfRule type="expression" dxfId="3560" priority="295">
      <formula>M$9&lt;8/24</formula>
    </cfRule>
  </conditionalFormatting>
  <conditionalFormatting sqref="M43:R43">
    <cfRule type="expression" dxfId="3559" priority="288">
      <formula>M$9&gt;=20/24</formula>
    </cfRule>
    <cfRule type="expression" dxfId="3558" priority="289">
      <formula>AND(M$9&gt;=14/24,M$9&lt;20/24)</formula>
    </cfRule>
    <cfRule type="expression" dxfId="3557" priority="290">
      <formula>AND(M$9&gt;=8/24,M$9&lt;14/24)</formula>
    </cfRule>
    <cfRule type="expression" dxfId="3556" priority="291">
      <formula>M$9&lt;8/24</formula>
    </cfRule>
  </conditionalFormatting>
  <conditionalFormatting sqref="AE32:AF32">
    <cfRule type="expression" dxfId="3555" priority="284">
      <formula>AE$9&gt;=20/24</formula>
    </cfRule>
    <cfRule type="expression" dxfId="3554" priority="285">
      <formula>AND(AE$9&gt;=14/24,AE$9&lt;20/24)</formula>
    </cfRule>
    <cfRule type="expression" dxfId="3553" priority="286">
      <formula>AND(AE$9&gt;=8/24,AE$9&lt;14/24)</formula>
    </cfRule>
    <cfRule type="expression" dxfId="3552" priority="287">
      <formula>AE$9&lt;8/24</formula>
    </cfRule>
  </conditionalFormatting>
  <conditionalFormatting sqref="S39:AE39">
    <cfRule type="expression" dxfId="3551" priority="280">
      <formula>S$9&gt;=20/24</formula>
    </cfRule>
    <cfRule type="expression" dxfId="3550" priority="281">
      <formula>AND(S$9&gt;=14/24,S$9&lt;20/24)</formula>
    </cfRule>
    <cfRule type="expression" dxfId="3549" priority="282">
      <formula>AND(S$9&gt;=8/24,S$9&lt;14/24)</formula>
    </cfRule>
    <cfRule type="expression" dxfId="3548" priority="283">
      <formula>S$9&lt;8/24</formula>
    </cfRule>
  </conditionalFormatting>
  <conditionalFormatting sqref="S57:AE57">
    <cfRule type="expression" dxfId="3547" priority="276">
      <formula>S$9&gt;=20/24</formula>
    </cfRule>
    <cfRule type="expression" dxfId="3546" priority="277">
      <formula>AND(S$9&gt;=14/24,S$9&lt;20/24)</formula>
    </cfRule>
    <cfRule type="expression" dxfId="3545" priority="278">
      <formula>AND(S$9&gt;=8/24,S$9&lt;14/24)</formula>
    </cfRule>
    <cfRule type="expression" dxfId="3544" priority="279">
      <formula>S$9&lt;8/24</formula>
    </cfRule>
  </conditionalFormatting>
  <conditionalFormatting sqref="S81:AA81">
    <cfRule type="expression" dxfId="3543" priority="272">
      <formula>S$9&gt;=20/24</formula>
    </cfRule>
    <cfRule type="expression" dxfId="3542" priority="273">
      <formula>AND(S$9&gt;=14/24,S$9&lt;20/24)</formula>
    </cfRule>
    <cfRule type="expression" dxfId="3541" priority="274">
      <formula>AND(S$9&gt;=8/24,S$9&lt;14/24)</formula>
    </cfRule>
    <cfRule type="expression" dxfId="3540" priority="275">
      <formula>S$9&lt;8/24</formula>
    </cfRule>
  </conditionalFormatting>
  <conditionalFormatting sqref="U84:AA84">
    <cfRule type="expression" dxfId="3539" priority="268">
      <formula>U$9&gt;=20/24</formula>
    </cfRule>
    <cfRule type="expression" dxfId="3538" priority="269">
      <formula>AND(U$9&gt;=14/24,U$9&lt;20/24)</formula>
    </cfRule>
    <cfRule type="expression" dxfId="3537" priority="270">
      <formula>AND(U$9&gt;=8/24,U$9&lt;14/24)</formula>
    </cfRule>
    <cfRule type="expression" dxfId="3536" priority="271">
      <formula>U$9&lt;8/24</formula>
    </cfRule>
  </conditionalFormatting>
  <conditionalFormatting sqref="M35:O35">
    <cfRule type="expression" dxfId="3535" priority="264">
      <formula>M$9&gt;=20/24</formula>
    </cfRule>
    <cfRule type="expression" dxfId="3534" priority="265">
      <formula>AND(M$9&gt;=14/24,M$9&lt;20/24)</formula>
    </cfRule>
    <cfRule type="expression" dxfId="3533" priority="266">
      <formula>AND(M$9&gt;=8/24,M$9&lt;14/24)</formula>
    </cfRule>
    <cfRule type="expression" dxfId="3532" priority="267">
      <formula>M$9&lt;8/24</formula>
    </cfRule>
  </conditionalFormatting>
  <conditionalFormatting sqref="M49:W49">
    <cfRule type="expression" dxfId="3531" priority="260">
      <formula>M$9&gt;=20/24</formula>
    </cfRule>
    <cfRule type="expression" dxfId="3530" priority="261">
      <formula>AND(M$9&gt;=14/24,M$9&lt;20/24)</formula>
    </cfRule>
    <cfRule type="expression" dxfId="3529" priority="262">
      <formula>AND(M$9&gt;=8/24,M$9&lt;14/24)</formula>
    </cfRule>
    <cfRule type="expression" dxfId="3528" priority="263">
      <formula>M$9&lt;8/24</formula>
    </cfRule>
  </conditionalFormatting>
  <conditionalFormatting sqref="M50:W50">
    <cfRule type="expression" dxfId="3527" priority="256">
      <formula>M$9&gt;=20/24</formula>
    </cfRule>
    <cfRule type="expression" dxfId="3526" priority="257">
      <formula>AND(M$9&gt;=14/24,M$9&lt;20/24)</formula>
    </cfRule>
    <cfRule type="expression" dxfId="3525" priority="258">
      <formula>AND(M$9&gt;=8/24,M$9&lt;14/24)</formula>
    </cfRule>
    <cfRule type="expression" dxfId="3524" priority="259">
      <formula>M$9&lt;8/24</formula>
    </cfRule>
  </conditionalFormatting>
  <conditionalFormatting sqref="M45:W48">
    <cfRule type="expression" dxfId="3523" priority="252">
      <formula>M$9&gt;=20/24</formula>
    </cfRule>
    <cfRule type="expression" dxfId="3522" priority="253">
      <formula>AND(M$9&gt;=14/24,M$9&lt;20/24)</formula>
    </cfRule>
    <cfRule type="expression" dxfId="3521" priority="254">
      <formula>AND(M$9&gt;=8/24,M$9&lt;14/24)</formula>
    </cfRule>
    <cfRule type="expression" dxfId="3520" priority="255">
      <formula>M$9&lt;8/24</formula>
    </cfRule>
  </conditionalFormatting>
  <conditionalFormatting sqref="S37:AF37">
    <cfRule type="expression" dxfId="3519" priority="248">
      <formula>S$9&gt;=20/24</formula>
    </cfRule>
    <cfRule type="expression" dxfId="3518" priority="249">
      <formula>AND(S$9&gt;=14/24,S$9&lt;20/24)</formula>
    </cfRule>
    <cfRule type="expression" dxfId="3517" priority="250">
      <formula>AND(S$9&gt;=8/24,S$9&lt;14/24)</formula>
    </cfRule>
    <cfRule type="expression" dxfId="3516" priority="251">
      <formula>S$9&lt;8/24</formula>
    </cfRule>
  </conditionalFormatting>
  <conditionalFormatting sqref="X31:AD32 X35:AF35">
    <cfRule type="expression" dxfId="3515" priority="244">
      <formula>X$9&gt;=20/24</formula>
    </cfRule>
    <cfRule type="expression" dxfId="3514" priority="245">
      <formula>AND(X$9&gt;=14/24,X$9&lt;20/24)</formula>
    </cfRule>
    <cfRule type="expression" dxfId="3513" priority="246">
      <formula>AND(X$9&gt;=8/24,X$9&lt;14/24)</formula>
    </cfRule>
    <cfRule type="expression" dxfId="3512" priority="247">
      <formula>X$9&lt;8/24</formula>
    </cfRule>
  </conditionalFormatting>
  <conditionalFormatting sqref="S42:V43 U43:AD43 S45:AE48">
    <cfRule type="expression" dxfId="3511" priority="240">
      <formula>S$9&gt;=20/24</formula>
    </cfRule>
    <cfRule type="expression" dxfId="3510" priority="241">
      <formula>AND(S$9&gt;=14/24,S$9&lt;20/24)</formula>
    </cfRule>
    <cfRule type="expression" dxfId="3509" priority="242">
      <formula>AND(S$9&gt;=8/24,S$9&lt;14/24)</formula>
    </cfRule>
    <cfRule type="expression" dxfId="3508" priority="243">
      <formula>S$9&lt;8/24</formula>
    </cfRule>
  </conditionalFormatting>
  <conditionalFormatting sqref="S49:AE49">
    <cfRule type="expression" dxfId="3507" priority="236">
      <formula>S$9&gt;=20/24</formula>
    </cfRule>
    <cfRule type="expression" dxfId="3506" priority="237">
      <formula>AND(S$9&gt;=14/24,S$9&lt;20/24)</formula>
    </cfRule>
    <cfRule type="expression" dxfId="3505" priority="238">
      <formula>AND(S$9&gt;=8/24,S$9&lt;14/24)</formula>
    </cfRule>
    <cfRule type="expression" dxfId="3504" priority="239">
      <formula>S$9&lt;8/24</formula>
    </cfRule>
  </conditionalFormatting>
  <conditionalFormatting sqref="S50:AE50">
    <cfRule type="expression" dxfId="3503" priority="232">
      <formula>S$9&gt;=20/24</formula>
    </cfRule>
    <cfRule type="expression" dxfId="3502" priority="233">
      <formula>AND(S$9&gt;=14/24,S$9&lt;20/24)</formula>
    </cfRule>
    <cfRule type="expression" dxfId="3501" priority="234">
      <formula>AND(S$9&gt;=8/24,S$9&lt;14/24)</formula>
    </cfRule>
    <cfRule type="expression" dxfId="3500" priority="235">
      <formula>S$9&lt;8/24</formula>
    </cfRule>
  </conditionalFormatting>
  <conditionalFormatting sqref="S60:T60 T61:T67 X60:AE67">
    <cfRule type="expression" dxfId="3499" priority="228">
      <formula>S$9&gt;=20/24</formula>
    </cfRule>
    <cfRule type="expression" dxfId="3498" priority="229">
      <formula>AND(S$9&gt;=14/24,S$9&lt;20/24)</formula>
    </cfRule>
    <cfRule type="expression" dxfId="3497" priority="230">
      <formula>AND(S$9&gt;=8/24,S$9&lt;14/24)</formula>
    </cfRule>
    <cfRule type="expression" dxfId="3496" priority="231">
      <formula>S$9&lt;8/24</formula>
    </cfRule>
  </conditionalFormatting>
  <conditionalFormatting sqref="U94:AA97">
    <cfRule type="expression" dxfId="3495" priority="220">
      <formula>U$9&gt;=20/24</formula>
    </cfRule>
    <cfRule type="expression" dxfId="3494" priority="221">
      <formula>AND(U$9&gt;=14/24,U$9&lt;20/24)</formula>
    </cfRule>
    <cfRule type="expression" dxfId="3493" priority="222">
      <formula>AND(U$9&gt;=8/24,U$9&lt;14/24)</formula>
    </cfRule>
    <cfRule type="expression" dxfId="3492" priority="223">
      <formula>U$9&lt;8/24</formula>
    </cfRule>
  </conditionalFormatting>
  <conditionalFormatting sqref="AG51 M12:M14 AE12:AE32 H11:M11 B11:G32 H12:L32 N11:O14 M16:O32 P12:P14 B34:O37 P11:AE11 S37:AE37 X18:AD32 X34:AE36 B38:AF56 AF11:AF32 AF34:AF37">
    <cfRule type="expression" dxfId="3491" priority="219">
      <formula>B11&gt;$AG11</formula>
    </cfRule>
  </conditionalFormatting>
  <conditionalFormatting sqref="A100:A156 A84:A97 A11:A14 A16:A32 A45:A72 A80:A82 A74:A78 A35:A43 A169:A199">
    <cfRule type="expression" dxfId="3490" priority="218">
      <formula>$AH11=0</formula>
    </cfRule>
  </conditionalFormatting>
  <conditionalFormatting sqref="U98:AA98">
    <cfRule type="expression" dxfId="3489" priority="214">
      <formula>U$9&gt;=20/24</formula>
    </cfRule>
    <cfRule type="expression" dxfId="3488" priority="215">
      <formula>AND(U$9&gt;=14/24,U$9&lt;20/24)</formula>
    </cfRule>
    <cfRule type="expression" dxfId="3487" priority="216">
      <formula>AND(U$9&gt;=8/24,U$9&lt;14/24)</formula>
    </cfRule>
    <cfRule type="expression" dxfId="3486" priority="217">
      <formula>U$9&lt;8/24</formula>
    </cfRule>
  </conditionalFormatting>
  <conditionalFormatting sqref="A98">
    <cfRule type="expression" dxfId="3485" priority="213">
      <formula>$AH98=0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E34:AF34">
    <cfRule type="expression" dxfId="3484" priority="196">
      <formula>AE$9&gt;=20/24</formula>
    </cfRule>
    <cfRule type="expression" dxfId="3483" priority="197">
      <formula>AND(AE$9&gt;=14/24,AE$9&lt;20/24)</formula>
    </cfRule>
    <cfRule type="expression" dxfId="3482" priority="198">
      <formula>AND(AE$9&gt;=8/24,AE$9&lt;14/24)</formula>
    </cfRule>
    <cfRule type="expression" dxfId="3481" priority="199">
      <formula>AE$9&lt;8/24</formula>
    </cfRule>
  </conditionalFormatting>
  <conditionalFormatting sqref="M34:O34">
    <cfRule type="expression" dxfId="3480" priority="192">
      <formula>M$9&gt;=20/24</formula>
    </cfRule>
    <cfRule type="expression" dxfId="3479" priority="193">
      <formula>AND(M$9&gt;=14/24,M$9&lt;20/24)</formula>
    </cfRule>
    <cfRule type="expression" dxfId="3478" priority="194">
      <formula>AND(M$9&gt;=8/24,M$9&lt;14/24)</formula>
    </cfRule>
    <cfRule type="expression" dxfId="3477" priority="195">
      <formula>M$9&lt;8/24</formula>
    </cfRule>
  </conditionalFormatting>
  <conditionalFormatting sqref="X34:AD34">
    <cfRule type="expression" dxfId="3476" priority="188">
      <formula>X$9&gt;=20/24</formula>
    </cfRule>
    <cfRule type="expression" dxfId="3475" priority="189">
      <formula>AND(X$9&gt;=14/24,X$9&lt;20/24)</formula>
    </cfRule>
    <cfRule type="expression" dxfId="3474" priority="190">
      <formula>AND(X$9&gt;=8/24,X$9&lt;14/24)</formula>
    </cfRule>
    <cfRule type="expression" dxfId="3473" priority="191">
      <formula>X$9&lt;8/24</formula>
    </cfRule>
  </conditionalFormatting>
  <conditionalFormatting sqref="A34">
    <cfRule type="expression" dxfId="3472" priority="187">
      <formula>$AH34=0</formula>
    </cfRule>
  </conditionalFormatting>
  <conditionalFormatting sqref="A83">
    <cfRule type="expression" dxfId="3471" priority="186">
      <formula>$AH83=0</formula>
    </cfRule>
  </conditionalFormatting>
  <conditionalFormatting sqref="AE15:AF15">
    <cfRule type="expression" dxfId="3470" priority="182">
      <formula>AE$9&gt;=20/24</formula>
    </cfRule>
    <cfRule type="expression" dxfId="3469" priority="183">
      <formula>AND(AE$9&gt;=14/24,AE$9&lt;20/24)</formula>
    </cfRule>
    <cfRule type="expression" dxfId="3468" priority="184">
      <formula>AND(AE$9&gt;=8/24,AE$9&lt;14/24)</formula>
    </cfRule>
    <cfRule type="expression" dxfId="3467" priority="185">
      <formula>AE$9&lt;8/24</formula>
    </cfRule>
  </conditionalFormatting>
  <conditionalFormatting sqref="M15:P15">
    <cfRule type="expression" dxfId="3466" priority="178">
      <formula>M$9&gt;=20/24</formula>
    </cfRule>
    <cfRule type="expression" dxfId="3465" priority="179">
      <formula>AND(M$9&gt;=14/24,M$9&lt;20/24)</formula>
    </cfRule>
    <cfRule type="expression" dxfId="3464" priority="180">
      <formula>AND(M$9&gt;=8/24,M$9&lt;14/24)</formula>
    </cfRule>
    <cfRule type="expression" dxfId="3463" priority="181">
      <formula>M$9&lt;8/24</formula>
    </cfRule>
  </conditionalFormatting>
  <conditionalFormatting sqref="M15:P15">
    <cfRule type="expression" dxfId="3462" priority="177">
      <formula>M15&gt;$AG15</formula>
    </cfRule>
  </conditionalFormatting>
  <conditionalFormatting sqref="A15">
    <cfRule type="expression" dxfId="3461" priority="176">
      <formula>$AH15=0</formula>
    </cfRule>
  </conditionalFormatting>
  <conditionalFormatting sqref="A163:A168">
    <cfRule type="expression" dxfId="3460" priority="175">
      <formula>$AH163=0</formula>
    </cfRule>
  </conditionalFormatting>
  <conditionalFormatting sqref="A157:A162">
    <cfRule type="expression" dxfId="3459" priority="174">
      <formula>$AH157=0</formula>
    </cfRule>
  </conditionalFormatting>
  <conditionalFormatting sqref="Z44:AE44">
    <cfRule type="expression" dxfId="3458" priority="170">
      <formula>Z$9&gt;=20/24</formula>
    </cfRule>
    <cfRule type="expression" dxfId="3457" priority="171">
      <formula>AND(Z$9&gt;=14/24,Z$9&lt;20/24)</formula>
    </cfRule>
    <cfRule type="expression" dxfId="3456" priority="172">
      <formula>AND(Z$9&gt;=8/24,Z$9&lt;14/24)</formula>
    </cfRule>
    <cfRule type="expression" dxfId="3455" priority="173">
      <formula>Z$9&lt;8/24</formula>
    </cfRule>
  </conditionalFormatting>
  <conditionalFormatting sqref="M44:W44">
    <cfRule type="expression" dxfId="3454" priority="166">
      <formula>M$9&gt;=20/24</formula>
    </cfRule>
    <cfRule type="expression" dxfId="3453" priority="167">
      <formula>AND(M$9&gt;=14/24,M$9&lt;20/24)</formula>
    </cfRule>
    <cfRule type="expression" dxfId="3452" priority="168">
      <formula>AND(M$9&gt;=8/24,M$9&lt;14/24)</formula>
    </cfRule>
    <cfRule type="expression" dxfId="3451" priority="169">
      <formula>M$9&lt;8/24</formula>
    </cfRule>
  </conditionalFormatting>
  <conditionalFormatting sqref="S44:AD44">
    <cfRule type="expression" dxfId="3450" priority="162">
      <formula>S$9&gt;=20/24</formula>
    </cfRule>
    <cfRule type="expression" dxfId="3449" priority="163">
      <formula>AND(S$9&gt;=14/24,S$9&lt;20/24)</formula>
    </cfRule>
    <cfRule type="expression" dxfId="3448" priority="164">
      <formula>AND(S$9&gt;=8/24,S$9&lt;14/24)</formula>
    </cfRule>
    <cfRule type="expression" dxfId="3447" priority="165">
      <formula>S$9&lt;8/24</formula>
    </cfRule>
  </conditionalFormatting>
  <conditionalFormatting sqref="A44">
    <cfRule type="expression" dxfId="3446" priority="161">
      <formula>$AH44=0</formula>
    </cfRule>
  </conditionalFormatting>
  <conditionalFormatting sqref="A79">
    <cfRule type="expression" dxfId="3445" priority="160">
      <formula>$AH79=0</formula>
    </cfRule>
  </conditionalFormatting>
  <conditionalFormatting sqref="A73">
    <cfRule type="expression" dxfId="3444" priority="159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3443" priority="155">
      <formula>U$9&gt;=20/24</formula>
    </cfRule>
    <cfRule type="expression" dxfId="3442" priority="156">
      <formula>AND(U$9&gt;=14/24,U$9&lt;20/24)</formula>
    </cfRule>
    <cfRule type="expression" dxfId="3441" priority="157">
      <formula>AND(U$9&gt;=8/24,U$9&lt;14/24)</formula>
    </cfRule>
    <cfRule type="expression" dxfId="3440" priority="158">
      <formula>U$9&lt;8/24</formula>
    </cfRule>
  </conditionalFormatting>
  <conditionalFormatting sqref="U85:W91">
    <cfRule type="expression" dxfId="3439" priority="151">
      <formula>U$9&gt;=20/24</formula>
    </cfRule>
    <cfRule type="expression" dxfId="3438" priority="152">
      <formula>AND(U$9&gt;=14/24,U$9&lt;20/24)</formula>
    </cfRule>
    <cfRule type="expression" dxfId="3437" priority="153">
      <formula>AND(U$9&gt;=8/24,U$9&lt;14/24)</formula>
    </cfRule>
    <cfRule type="expression" dxfId="3436" priority="154">
      <formula>U$9&lt;8/24</formula>
    </cfRule>
  </conditionalFormatting>
  <conditionalFormatting sqref="S85:T91 C84:R91">
    <cfRule type="expression" dxfId="3435" priority="147">
      <formula>C$9&gt;=20/24</formula>
    </cfRule>
    <cfRule type="expression" dxfId="3434" priority="148">
      <formula>AND(C$9&gt;=14/24,C$9&lt;20/24)</formula>
    </cfRule>
    <cfRule type="expression" dxfId="3433" priority="149">
      <formula>AND(C$9&gt;=8/24,C$9&lt;14/24)</formula>
    </cfRule>
    <cfRule type="expression" dxfId="3432" priority="150">
      <formula>C$9&lt;8/24</formula>
    </cfRule>
  </conditionalFormatting>
  <conditionalFormatting sqref="S84:T84">
    <cfRule type="expression" dxfId="3431" priority="143">
      <formula>S$9&gt;=20/24</formula>
    </cfRule>
    <cfRule type="expression" dxfId="3430" priority="144">
      <formula>AND(S$9&gt;=14/24,S$9&lt;20/24)</formula>
    </cfRule>
    <cfRule type="expression" dxfId="3429" priority="145">
      <formula>AND(S$9&gt;=8/24,S$9&lt;14/24)</formula>
    </cfRule>
    <cfRule type="expression" dxfId="3428" priority="146">
      <formula>S$9&lt;8/24</formula>
    </cfRule>
  </conditionalFormatting>
  <conditionalFormatting sqref="E95:M97 E94:F94">
    <cfRule type="expression" dxfId="3427" priority="139">
      <formula>E$9&gt;=20/24</formula>
    </cfRule>
    <cfRule type="expression" dxfId="3426" priority="140">
      <formula>AND(E$9&gt;=14/24,E$9&lt;20/24)</formula>
    </cfRule>
    <cfRule type="expression" dxfId="3425" priority="141">
      <formula>AND(E$9&gt;=8/24,E$9&lt;14/24)</formula>
    </cfRule>
    <cfRule type="expression" dxfId="3424" priority="142">
      <formula>E$9&lt;8/24</formula>
    </cfRule>
  </conditionalFormatting>
  <conditionalFormatting sqref="N95:R97 O94:R94">
    <cfRule type="expression" dxfId="3423" priority="135">
      <formula>N$9&gt;=20/24</formula>
    </cfRule>
    <cfRule type="expression" dxfId="3422" priority="136">
      <formula>AND(N$9&gt;=14/24,N$9&lt;20/24)</formula>
    </cfRule>
    <cfRule type="expression" dxfId="3421" priority="137">
      <formula>AND(N$9&gt;=8/24,N$9&lt;14/24)</formula>
    </cfRule>
    <cfRule type="expression" dxfId="3420" priority="138">
      <formula>N$9&lt;8/24</formula>
    </cfRule>
  </conditionalFormatting>
  <conditionalFormatting sqref="S94:T97">
    <cfRule type="expression" dxfId="3419" priority="131">
      <formula>S$9&gt;=20/24</formula>
    </cfRule>
    <cfRule type="expression" dxfId="3418" priority="132">
      <formula>AND(S$9&gt;=14/24,S$9&lt;20/24)</formula>
    </cfRule>
    <cfRule type="expression" dxfId="3417" priority="133">
      <formula>AND(S$9&gt;=8/24,S$9&lt;14/24)</formula>
    </cfRule>
    <cfRule type="expression" dxfId="3416" priority="134">
      <formula>S$9&lt;8/24</formula>
    </cfRule>
  </conditionalFormatting>
  <conditionalFormatting sqref="E98:M98">
    <cfRule type="expression" dxfId="3415" priority="127">
      <formula>E$9&gt;=20/24</formula>
    </cfRule>
    <cfRule type="expression" dxfId="3414" priority="128">
      <formula>AND(E$9&gt;=14/24,E$9&lt;20/24)</formula>
    </cfRule>
    <cfRule type="expression" dxfId="3413" priority="129">
      <formula>AND(E$9&gt;=8/24,E$9&lt;14/24)</formula>
    </cfRule>
    <cfRule type="expression" dxfId="3412" priority="130">
      <formula>E$9&lt;8/24</formula>
    </cfRule>
  </conditionalFormatting>
  <conditionalFormatting sqref="N98:R98">
    <cfRule type="expression" dxfId="3411" priority="123">
      <formula>N$9&gt;=20/24</formula>
    </cfRule>
    <cfRule type="expression" dxfId="3410" priority="124">
      <formula>AND(N$9&gt;=14/24,N$9&lt;20/24)</formula>
    </cfRule>
    <cfRule type="expression" dxfId="3409" priority="125">
      <formula>AND(N$9&gt;=8/24,N$9&lt;14/24)</formula>
    </cfRule>
    <cfRule type="expression" dxfId="3408" priority="126">
      <formula>N$9&lt;8/24</formula>
    </cfRule>
  </conditionalFormatting>
  <conditionalFormatting sqref="S98:T98">
    <cfRule type="expression" dxfId="3407" priority="119">
      <formula>S$9&gt;=20/24</formula>
    </cfRule>
    <cfRule type="expression" dxfId="3406" priority="120">
      <formula>AND(S$9&gt;=14/24,S$9&lt;20/24)</formula>
    </cfRule>
    <cfRule type="expression" dxfId="3405" priority="121">
      <formula>AND(S$9&gt;=8/24,S$9&lt;14/24)</formula>
    </cfRule>
    <cfRule type="expression" dxfId="3404" priority="122">
      <formula>S$9&lt;8/24</formula>
    </cfRule>
  </conditionalFormatting>
  <conditionalFormatting sqref="M94:N94">
    <cfRule type="expression" dxfId="3403" priority="115">
      <formula>M$9&gt;=20/24</formula>
    </cfRule>
    <cfRule type="expression" dxfId="3402" priority="116">
      <formula>AND(M$9&gt;=14/24,M$9&lt;20/24)</formula>
    </cfRule>
    <cfRule type="expression" dxfId="3401" priority="117">
      <formula>AND(M$9&gt;=8/24,M$9&lt;14/24)</formula>
    </cfRule>
    <cfRule type="expression" dxfId="3400" priority="118">
      <formula>M$9&lt;8/24</formula>
    </cfRule>
  </conditionalFormatting>
  <conditionalFormatting sqref="G94:L94">
    <cfRule type="expression" dxfId="3399" priority="111">
      <formula>G$9&gt;=20/24</formula>
    </cfRule>
    <cfRule type="expression" dxfId="3398" priority="112">
      <formula>AND(G$9&gt;=14/24,G$9&lt;20/24)</formula>
    </cfRule>
    <cfRule type="expression" dxfId="3397" priority="113">
      <formula>AND(G$9&gt;=8/24,G$9&lt;14/24)</formula>
    </cfRule>
    <cfRule type="expression" dxfId="3396" priority="114">
      <formula>G$9&lt;8/24</formula>
    </cfRule>
  </conditionalFormatting>
  <conditionalFormatting sqref="U94:W94">
    <cfRule type="expression" dxfId="3395" priority="107">
      <formula>U$9&gt;=20/24</formula>
    </cfRule>
    <cfRule type="expression" dxfId="3394" priority="108">
      <formula>AND(U$9&gt;=14/24,U$9&lt;20/24)</formula>
    </cfRule>
    <cfRule type="expression" dxfId="3393" priority="109">
      <formula>AND(U$9&gt;=8/24,U$9&lt;14/24)</formula>
    </cfRule>
    <cfRule type="expression" dxfId="3392" priority="110">
      <formula>U$9&lt;8/24</formula>
    </cfRule>
  </conditionalFormatting>
  <conditionalFormatting sqref="N94:T94">
    <cfRule type="expression" dxfId="3391" priority="103">
      <formula>N$9&gt;=20/24</formula>
    </cfRule>
    <cfRule type="expression" dxfId="3390" priority="104">
      <formula>AND(N$9&gt;=14/24,N$9&lt;20/24)</formula>
    </cfRule>
    <cfRule type="expression" dxfId="3389" priority="105">
      <formula>AND(N$9&gt;=8/24,N$9&lt;14/24)</formula>
    </cfRule>
    <cfRule type="expression" dxfId="3388" priority="106">
      <formula>N$9&lt;8/24</formula>
    </cfRule>
  </conditionalFormatting>
  <conditionalFormatting sqref="U99:AA99">
    <cfRule type="expression" dxfId="3387" priority="99">
      <formula>U$9&gt;=20/24</formula>
    </cfRule>
    <cfRule type="expression" dxfId="3386" priority="100">
      <formula>AND(U$9&gt;=14/24,U$9&lt;20/24)</formula>
    </cfRule>
    <cfRule type="expression" dxfId="3385" priority="101">
      <formula>AND(U$9&gt;=8/24,U$9&lt;14/24)</formula>
    </cfRule>
    <cfRule type="expression" dxfId="3384" priority="102">
      <formula>U$9&lt;8/24</formula>
    </cfRule>
  </conditionalFormatting>
  <conditionalFormatting sqref="E99:M99">
    <cfRule type="expression" dxfId="3383" priority="95">
      <formula>E$9&gt;=20/24</formula>
    </cfRule>
    <cfRule type="expression" dxfId="3382" priority="96">
      <formula>AND(E$9&gt;=14/24,E$9&lt;20/24)</formula>
    </cfRule>
    <cfRule type="expression" dxfId="3381" priority="97">
      <formula>AND(E$9&gt;=8/24,E$9&lt;14/24)</formula>
    </cfRule>
    <cfRule type="expression" dxfId="3380" priority="98">
      <formula>E$9&lt;8/24</formula>
    </cfRule>
  </conditionalFormatting>
  <conditionalFormatting sqref="N99:R99">
    <cfRule type="expression" dxfId="3379" priority="91">
      <formula>N$9&gt;=20/24</formula>
    </cfRule>
    <cfRule type="expression" dxfId="3378" priority="92">
      <formula>AND(N$9&gt;=14/24,N$9&lt;20/24)</formula>
    </cfRule>
    <cfRule type="expression" dxfId="3377" priority="93">
      <formula>AND(N$9&gt;=8/24,N$9&lt;14/24)</formula>
    </cfRule>
    <cfRule type="expression" dxfId="3376" priority="94">
      <formula>N$9&lt;8/24</formula>
    </cfRule>
  </conditionalFormatting>
  <conditionalFormatting sqref="S99:T99">
    <cfRule type="expression" dxfId="3375" priority="87">
      <formula>S$9&gt;=20/24</formula>
    </cfRule>
    <cfRule type="expression" dxfId="3374" priority="88">
      <formula>AND(S$9&gt;=14/24,S$9&lt;20/24)</formula>
    </cfRule>
    <cfRule type="expression" dxfId="3373" priority="89">
      <formula>AND(S$9&gt;=8/24,S$9&lt;14/24)</formula>
    </cfRule>
    <cfRule type="expression" dxfId="3372" priority="90">
      <formula>S$9&lt;8/24</formula>
    </cfRule>
  </conditionalFormatting>
  <conditionalFormatting sqref="X12:AD16">
    <cfRule type="expression" dxfId="3371" priority="83">
      <formula>X$9&gt;=20/24</formula>
    </cfRule>
    <cfRule type="expression" dxfId="3370" priority="84">
      <formula>AND(X$9&gt;=14/24,X$9&lt;20/24)</formula>
    </cfRule>
    <cfRule type="expression" dxfId="3369" priority="85">
      <formula>AND(X$9&gt;=8/24,X$9&lt;14/24)</formula>
    </cfRule>
    <cfRule type="expression" dxfId="3368" priority="86">
      <formula>X$9&lt;8/24</formula>
    </cfRule>
  </conditionalFormatting>
  <conditionalFormatting sqref="X17:AD17">
    <cfRule type="expression" dxfId="3367" priority="79">
      <formula>X$9&gt;=20/24</formula>
    </cfRule>
    <cfRule type="expression" dxfId="3366" priority="80">
      <formula>AND(X$9&gt;=14/24,X$9&lt;20/24)</formula>
    </cfRule>
    <cfRule type="expression" dxfId="3365" priority="81">
      <formula>AND(X$9&gt;=8/24,X$9&lt;14/24)</formula>
    </cfRule>
    <cfRule type="expression" dxfId="3364" priority="82">
      <formula>X$9&lt;8/24</formula>
    </cfRule>
  </conditionalFormatting>
  <conditionalFormatting sqref="X12:AD13">
    <cfRule type="expression" dxfId="3363" priority="75">
      <formula>X$9&gt;=20/24</formula>
    </cfRule>
    <cfRule type="expression" dxfId="3362" priority="76">
      <formula>AND(X$9&gt;=14/24,X$9&lt;20/24)</formula>
    </cfRule>
    <cfRule type="expression" dxfId="3361" priority="77">
      <formula>AND(X$9&gt;=8/24,X$9&lt;14/24)</formula>
    </cfRule>
    <cfRule type="expression" dxfId="3360" priority="78">
      <formula>X$9&lt;8/24</formula>
    </cfRule>
  </conditionalFormatting>
  <conditionalFormatting sqref="AB58:AE59">
    <cfRule type="expression" dxfId="3359" priority="71">
      <formula>AB$9&gt;=20/24</formula>
    </cfRule>
    <cfRule type="expression" dxfId="3358" priority="72">
      <formula>AND(AB$9&gt;=14/24,AB$9&lt;20/24)</formula>
    </cfRule>
    <cfRule type="expression" dxfId="3357" priority="73">
      <formula>AND(AB$9&gt;=8/24,AB$9&lt;14/24)</formula>
    </cfRule>
    <cfRule type="expression" dxfId="3356" priority="74">
      <formula>AB$9&lt;8/24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55" priority="304">
      <formula>C$9&gt;=20/24</formula>
    </cfRule>
    <cfRule type="expression" dxfId="3354" priority="305">
      <formula>AND(C$9&gt;=14/24,C$9&lt;20/24)</formula>
    </cfRule>
    <cfRule type="expression" dxfId="3353" priority="306">
      <formula>AND(C$9&gt;=8/24,C$9&lt;14/24)</formula>
    </cfRule>
    <cfRule type="expression" dxfId="3352" priority="307">
      <formula>C$9&lt;8/24</formula>
    </cfRule>
  </conditionalFormatting>
  <conditionalFormatting sqref="A200">
    <cfRule type="expression" dxfId="3351" priority="308">
      <formula>$AH200=0</formula>
    </cfRule>
  </conditionalFormatting>
  <conditionalFormatting sqref="AG212">
    <cfRule type="expression" dxfId="3350" priority="309">
      <formula>B$9&gt;=20/24</formula>
    </cfRule>
    <cfRule type="expression" dxfId="3349" priority="310">
      <formula>AND(B$9&gt;=14/24,B$9&lt;20/24)</formula>
    </cfRule>
    <cfRule type="expression" dxfId="3348" priority="311">
      <formula>AND(B$9&gt;=8/24,B$9&lt;14/24)</formula>
    </cfRule>
    <cfRule type="expression" dxfId="3347" priority="312">
      <formula>B$9&lt;8/24</formula>
    </cfRule>
  </conditionalFormatting>
  <conditionalFormatting sqref="S8">
    <cfRule type="expression" dxfId="3346" priority="65">
      <formula>U$9&gt;=20/24</formula>
    </cfRule>
    <cfRule type="expression" dxfId="3345" priority="66">
      <formula>AND(U$9&gt;=14/24,U$9&lt;20/24)</formula>
    </cfRule>
    <cfRule type="expression" dxfId="3344" priority="67">
      <formula>AND(U$9&gt;=8/24,U$9&lt;14/24)</formula>
    </cfRule>
    <cfRule type="expression" dxfId="3343" priority="68">
      <formula>U$9&lt;8/24</formula>
    </cfRule>
  </conditionalFormatting>
  <conditionalFormatting sqref="AB8">
    <cfRule type="expression" dxfId="3342" priority="61">
      <formula>AD$9&gt;=20/24</formula>
    </cfRule>
    <cfRule type="expression" dxfId="3341" priority="62">
      <formula>AND(AD$9&gt;=14/24,AD$9&lt;20/24)</formula>
    </cfRule>
    <cfRule type="expression" dxfId="3340" priority="63">
      <formula>AND(AD$9&gt;=8/24,AD$9&lt;14/24)</formula>
    </cfRule>
    <cfRule type="expression" dxfId="3339" priority="64">
      <formula>AD$9&lt;8/24</formula>
    </cfRule>
  </conditionalFormatting>
  <conditionalFormatting sqref="AH212:AX212">
    <cfRule type="expression" dxfId="3338" priority="313">
      <formula>AG$9&gt;=20/24</formula>
    </cfRule>
    <cfRule type="expression" dxfId="3337" priority="314">
      <formula>AND(AG$9&gt;=14/24,AG$9&lt;20/24)</formula>
    </cfRule>
    <cfRule type="expression" dxfId="3336" priority="315">
      <formula>AND(AG$9&gt;=8/24,AG$9&lt;14/24)</formula>
    </cfRule>
    <cfRule type="expression" dxfId="3335" priority="316">
      <formula>AG$9&lt;8/24</formula>
    </cfRule>
  </conditionalFormatting>
  <conditionalFormatting sqref="T212">
    <cfRule type="expression" dxfId="3334" priority="317">
      <formula>AX$9&gt;=20/24</formula>
    </cfRule>
    <cfRule type="expression" dxfId="3333" priority="318">
      <formula>AND(AX$9&gt;=14/24,AX$9&lt;20/24)</formula>
    </cfRule>
    <cfRule type="expression" dxfId="3332" priority="319">
      <formula>AND(AX$9&gt;=8/24,AX$9&lt;14/24)</formula>
    </cfRule>
    <cfRule type="expression" dxfId="3331" priority="320">
      <formula>AX$9&lt;8/24</formula>
    </cfRule>
  </conditionalFormatting>
  <conditionalFormatting sqref="A99">
    <cfRule type="expression" dxfId="3330" priority="60">
      <formula>$AH99=0</formula>
    </cfRule>
  </conditionalFormatting>
  <conditionalFormatting sqref="M33:O33">
    <cfRule type="expression" dxfId="3329" priority="56">
      <formula>M$9&gt;=20/24</formula>
    </cfRule>
    <cfRule type="expression" dxfId="3328" priority="57">
      <formula>AND(M$9&gt;=14/24,M$9&lt;20/24)</formula>
    </cfRule>
    <cfRule type="expression" dxfId="3327" priority="58">
      <formula>AND(M$9&gt;=8/24,M$9&lt;14/24)</formula>
    </cfRule>
    <cfRule type="expression" dxfId="3326" priority="59">
      <formula>M$9&lt;8/24</formula>
    </cfRule>
  </conditionalFormatting>
  <conditionalFormatting sqref="AE33:AF33">
    <cfRule type="expression" dxfId="3325" priority="52">
      <formula>AE$9&gt;=20/24</formula>
    </cfRule>
    <cfRule type="expression" dxfId="3324" priority="53">
      <formula>AND(AE$9&gt;=14/24,AE$9&lt;20/24)</formula>
    </cfRule>
    <cfRule type="expression" dxfId="3323" priority="54">
      <formula>AND(AE$9&gt;=8/24,AE$9&lt;14/24)</formula>
    </cfRule>
    <cfRule type="expression" dxfId="3322" priority="55">
      <formula>AE$9&lt;8/24</formula>
    </cfRule>
  </conditionalFormatting>
  <conditionalFormatting sqref="X33:AD33">
    <cfRule type="expression" dxfId="3321" priority="48">
      <formula>X$9&gt;=20/24</formula>
    </cfRule>
    <cfRule type="expression" dxfId="3320" priority="49">
      <formula>AND(X$9&gt;=14/24,X$9&lt;20/24)</formula>
    </cfRule>
    <cfRule type="expression" dxfId="3319" priority="50">
      <formula>AND(X$9&gt;=8/24,X$9&lt;14/24)</formula>
    </cfRule>
    <cfRule type="expression" dxfId="3318" priority="51">
      <formula>X$9&lt;8/24</formula>
    </cfRule>
  </conditionalFormatting>
  <conditionalFormatting sqref="B33:O33 X33:AF33">
    <cfRule type="expression" dxfId="3317" priority="47">
      <formula>B33&gt;$AG33</formula>
    </cfRule>
  </conditionalFormatting>
  <conditionalFormatting sqref="P16:P32 P36:P37">
    <cfRule type="expression" dxfId="3316" priority="43">
      <formula>P$9&gt;=20/24</formula>
    </cfRule>
    <cfRule type="expression" dxfId="3315" priority="44">
      <formula>AND(P$9&gt;=14/24,P$9&lt;20/24)</formula>
    </cfRule>
    <cfRule type="expression" dxfId="3314" priority="45">
      <formula>AND(P$9&gt;=8/24,P$9&lt;14/24)</formula>
    </cfRule>
    <cfRule type="expression" dxfId="3313" priority="46">
      <formula>P$9&lt;8/24</formula>
    </cfRule>
  </conditionalFormatting>
  <conditionalFormatting sqref="P35">
    <cfRule type="expression" dxfId="3312" priority="39">
      <formula>P$9&gt;=20/24</formula>
    </cfRule>
    <cfRule type="expression" dxfId="3311" priority="40">
      <formula>AND(P$9&gt;=14/24,P$9&lt;20/24)</formula>
    </cfRule>
    <cfRule type="expression" dxfId="3310" priority="41">
      <formula>AND(P$9&gt;=8/24,P$9&lt;14/24)</formula>
    </cfRule>
    <cfRule type="expression" dxfId="3309" priority="42">
      <formula>P$9&lt;8/24</formula>
    </cfRule>
  </conditionalFormatting>
  <conditionalFormatting sqref="P16:P32 P34:P37">
    <cfRule type="expression" dxfId="3308" priority="38">
      <formula>P16&gt;$AG16</formula>
    </cfRule>
  </conditionalFormatting>
  <conditionalFormatting sqref="P34">
    <cfRule type="expression" dxfId="3307" priority="34">
      <formula>P$9&gt;=20/24</formula>
    </cfRule>
    <cfRule type="expression" dxfId="3306" priority="35">
      <formula>AND(P$9&gt;=14/24,P$9&lt;20/24)</formula>
    </cfRule>
    <cfRule type="expression" dxfId="3305" priority="36">
      <formula>AND(P$9&gt;=8/24,P$9&lt;14/24)</formula>
    </cfRule>
    <cfRule type="expression" dxfId="3304" priority="37">
      <formula>P$9&lt;8/24</formula>
    </cfRule>
  </conditionalFormatting>
  <conditionalFormatting sqref="P33">
    <cfRule type="expression" dxfId="3303" priority="30">
      <formula>P$9&gt;=20/24</formula>
    </cfRule>
    <cfRule type="expression" dxfId="3302" priority="31">
      <formula>AND(P$9&gt;=14/24,P$9&lt;20/24)</formula>
    </cfRule>
    <cfRule type="expression" dxfId="3301" priority="32">
      <formula>AND(P$9&gt;=8/24,P$9&lt;14/24)</formula>
    </cfRule>
    <cfRule type="expression" dxfId="3300" priority="33">
      <formula>P$9&lt;8/24</formula>
    </cfRule>
  </conditionalFormatting>
  <conditionalFormatting sqref="P33">
    <cfRule type="expression" dxfId="3299" priority="29">
      <formula>P33&gt;$AG33</formula>
    </cfRule>
  </conditionalFormatting>
  <conditionalFormatting sqref="Q12:W14">
    <cfRule type="expression" dxfId="3298" priority="25">
      <formula>Q$9&gt;=20/24</formula>
    </cfRule>
    <cfRule type="expression" dxfId="3297" priority="26">
      <formula>AND(Q$9&gt;=14/24,Q$9&lt;20/24)</formula>
    </cfRule>
    <cfRule type="expression" dxfId="3296" priority="27">
      <formula>AND(Q$9&gt;=8/24,Q$9&lt;14/24)</formula>
    </cfRule>
    <cfRule type="expression" dxfId="3295" priority="28">
      <formula>Q$9&lt;8/24</formula>
    </cfRule>
  </conditionalFormatting>
  <conditionalFormatting sqref="Q12:W14">
    <cfRule type="expression" dxfId="3294" priority="24">
      <formula>Q12&gt;$AG12</formula>
    </cfRule>
  </conditionalFormatting>
  <conditionalFormatting sqref="Q15:W15">
    <cfRule type="expression" dxfId="3293" priority="20">
      <formula>Q$9&gt;=20/24</formula>
    </cfRule>
    <cfRule type="expression" dxfId="3292" priority="21">
      <formula>AND(Q$9&gt;=14/24,Q$9&lt;20/24)</formula>
    </cfRule>
    <cfRule type="expression" dxfId="3291" priority="22">
      <formula>AND(Q$9&gt;=8/24,Q$9&lt;14/24)</formula>
    </cfRule>
    <cfRule type="expression" dxfId="3290" priority="23">
      <formula>Q$9&lt;8/24</formula>
    </cfRule>
  </conditionalFormatting>
  <conditionalFormatting sqref="Q15:W15">
    <cfRule type="expression" dxfId="3289" priority="19">
      <formula>Q15&gt;$AG15</formula>
    </cfRule>
  </conditionalFormatting>
  <conditionalFormatting sqref="Q36:R37 Q16:W32 S36:W36">
    <cfRule type="expression" dxfId="3288" priority="15">
      <formula>Q$9&gt;=20/24</formula>
    </cfRule>
    <cfRule type="expression" dxfId="3287" priority="16">
      <formula>AND(Q$9&gt;=14/24,Q$9&lt;20/24)</formula>
    </cfRule>
    <cfRule type="expression" dxfId="3286" priority="17">
      <formula>AND(Q$9&gt;=8/24,Q$9&lt;14/24)</formula>
    </cfRule>
    <cfRule type="expression" dxfId="3285" priority="18">
      <formula>Q$9&lt;8/24</formula>
    </cfRule>
  </conditionalFormatting>
  <conditionalFormatting sqref="Q35:W35">
    <cfRule type="expression" dxfId="3284" priority="11">
      <formula>Q$9&gt;=20/24</formula>
    </cfRule>
    <cfRule type="expression" dxfId="3283" priority="12">
      <formula>AND(Q$9&gt;=14/24,Q$9&lt;20/24)</formula>
    </cfRule>
    <cfRule type="expression" dxfId="3282" priority="13">
      <formula>AND(Q$9&gt;=8/24,Q$9&lt;14/24)</formula>
    </cfRule>
    <cfRule type="expression" dxfId="3281" priority="14">
      <formula>Q$9&lt;8/24</formula>
    </cfRule>
  </conditionalFormatting>
  <conditionalFormatting sqref="Q34:R37 Q16:W32 S34:W36">
    <cfRule type="expression" dxfId="3280" priority="10">
      <formula>Q16&gt;$AG16</formula>
    </cfRule>
  </conditionalFormatting>
  <conditionalFormatting sqref="Q34:W34">
    <cfRule type="expression" dxfId="3279" priority="6">
      <formula>Q$9&gt;=20/24</formula>
    </cfRule>
    <cfRule type="expression" dxfId="3278" priority="7">
      <formula>AND(Q$9&gt;=14/24,Q$9&lt;20/24)</formula>
    </cfRule>
    <cfRule type="expression" dxfId="3277" priority="8">
      <formula>AND(Q$9&gt;=8/24,Q$9&lt;14/24)</formula>
    </cfRule>
    <cfRule type="expression" dxfId="3276" priority="9">
      <formula>Q$9&lt;8/24</formula>
    </cfRule>
  </conditionalFormatting>
  <conditionalFormatting sqref="Q33:W33">
    <cfRule type="expression" dxfId="3275" priority="2">
      <formula>Q$9&gt;=20/24</formula>
    </cfRule>
    <cfRule type="expression" dxfId="3274" priority="3">
      <formula>AND(Q$9&gt;=14/24,Q$9&lt;20/24)</formula>
    </cfRule>
    <cfRule type="expression" dxfId="3273" priority="4">
      <formula>AND(Q$9&gt;=8/24,Q$9&lt;14/24)</formula>
    </cfRule>
    <cfRule type="expression" dxfId="3272" priority="5">
      <formula>Q$9&lt;8/24</formula>
    </cfRule>
  </conditionalFormatting>
  <conditionalFormatting sqref="Q33:W33">
    <cfRule type="expression" dxfId="3271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CC78404C-EF9C-46E8-AB0A-16108788F4F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D54" sqref="AD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2078/09/22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221</v>
      </c>
      <c r="C5" s="32">
        <f t="shared" si="0"/>
        <v>196.2</v>
      </c>
      <c r="D5" s="32">
        <f t="shared" si="0"/>
        <v>185</v>
      </c>
      <c r="E5" s="32">
        <f t="shared" si="0"/>
        <v>190</v>
      </c>
      <c r="F5" s="32">
        <f t="shared" si="0"/>
        <v>293.5</v>
      </c>
      <c r="G5" s="32">
        <f t="shared" si="0"/>
        <v>325</v>
      </c>
      <c r="H5" s="32">
        <f t="shared" si="0"/>
        <v>350</v>
      </c>
      <c r="I5" s="32">
        <f t="shared" si="0"/>
        <v>0</v>
      </c>
      <c r="J5" s="32">
        <f t="shared" si="0"/>
        <v>316</v>
      </c>
      <c r="K5" s="32">
        <f t="shared" si="0"/>
        <v>292</v>
      </c>
      <c r="L5" s="32">
        <f t="shared" si="0"/>
        <v>186.8</v>
      </c>
      <c r="M5" s="32">
        <f t="shared" si="0"/>
        <v>240.20000000000002</v>
      </c>
      <c r="N5" s="32">
        <f t="shared" si="0"/>
        <v>463.49999999999994</v>
      </c>
      <c r="O5" s="32">
        <f t="shared" si="0"/>
        <v>402.1</v>
      </c>
      <c r="P5" s="32">
        <f t="shared" si="0"/>
        <v>428.7</v>
      </c>
      <c r="Q5" s="32">
        <f t="shared" si="0"/>
        <v>415.09999999999997</v>
      </c>
      <c r="R5" s="32">
        <f t="shared" si="0"/>
        <v>426.2</v>
      </c>
      <c r="S5" s="32">
        <f t="shared" si="0"/>
        <v>429.7</v>
      </c>
      <c r="T5" s="32">
        <f t="shared" si="0"/>
        <v>422.1</v>
      </c>
      <c r="U5" s="32">
        <f t="shared" si="0"/>
        <v>185</v>
      </c>
      <c r="V5" s="32">
        <f t="shared" si="0"/>
        <v>258.96999999999997</v>
      </c>
      <c r="W5" s="32">
        <f t="shared" si="0"/>
        <v>201.7</v>
      </c>
      <c r="X5" s="32">
        <f t="shared" si="0"/>
        <v>177.1</v>
      </c>
      <c r="Y5" s="32">
        <f t="shared" si="0"/>
        <v>159.6</v>
      </c>
      <c r="Z5" s="32">
        <f t="shared" si="0"/>
        <v>149.19999999999999</v>
      </c>
      <c r="AA5" s="32">
        <f t="shared" si="0"/>
        <v>313.39999999999998</v>
      </c>
      <c r="AB5" s="32">
        <f t="shared" si="0"/>
        <v>316.3</v>
      </c>
      <c r="AC5" s="32">
        <f t="shared" si="0"/>
        <v>322.8</v>
      </c>
      <c r="AD5" s="32">
        <f t="shared" si="0"/>
        <v>358.70000000000005</v>
      </c>
      <c r="AE5" s="32">
        <f t="shared" si="0"/>
        <v>314.60000000000002</v>
      </c>
      <c r="AF5" s="32">
        <f>B68</f>
        <v>233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1489MW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Load=743</v>
      </c>
      <c r="B7" s="37">
        <f>B75</f>
        <v>927.04</v>
      </c>
      <c r="C7" s="37">
        <f t="shared" ref="C7:AF7" si="1">C75</f>
        <v>889.83999999999992</v>
      </c>
      <c r="D7" s="37">
        <f t="shared" si="1"/>
        <v>882.93999999999994</v>
      </c>
      <c r="E7" s="37">
        <f t="shared" si="1"/>
        <v>871.74</v>
      </c>
      <c r="F7" s="37">
        <f t="shared" si="1"/>
        <v>881.74</v>
      </c>
      <c r="G7" s="37">
        <f t="shared" si="1"/>
        <v>955.93999999999994</v>
      </c>
      <c r="H7" s="37">
        <f t="shared" si="1"/>
        <v>987.43999999999994</v>
      </c>
      <c r="I7" s="37">
        <f t="shared" si="1"/>
        <v>1116.2399999999998</v>
      </c>
      <c r="J7" s="37">
        <f t="shared" si="1"/>
        <v>743.24</v>
      </c>
      <c r="K7" s="37">
        <f t="shared" si="1"/>
        <v>1375.2399999999998</v>
      </c>
      <c r="L7" s="37">
        <f t="shared" si="1"/>
        <v>1441.2399999999998</v>
      </c>
      <c r="M7" s="37">
        <f t="shared" si="1"/>
        <v>1468.8400000000001</v>
      </c>
      <c r="N7" s="37">
        <f t="shared" si="1"/>
        <v>1489.2400000000002</v>
      </c>
      <c r="O7" s="37">
        <f t="shared" si="1"/>
        <v>1382.4399999999998</v>
      </c>
      <c r="P7" s="37">
        <f t="shared" si="1"/>
        <v>1376.24</v>
      </c>
      <c r="Q7" s="37">
        <f t="shared" si="1"/>
        <v>1321.6399999999999</v>
      </c>
      <c r="R7" s="37">
        <f t="shared" si="1"/>
        <v>1249.2399999999998</v>
      </c>
      <c r="S7" s="37">
        <f t="shared" si="1"/>
        <v>1240.2399999999998</v>
      </c>
      <c r="T7" s="37">
        <f t="shared" si="1"/>
        <v>1279.54</v>
      </c>
      <c r="U7" s="37">
        <f t="shared" si="1"/>
        <v>1282.44</v>
      </c>
      <c r="V7" s="37">
        <f t="shared" si="1"/>
        <v>1364.94</v>
      </c>
      <c r="W7" s="37">
        <f t="shared" si="1"/>
        <v>1460.5099999999998</v>
      </c>
      <c r="X7" s="37">
        <f t="shared" si="1"/>
        <v>1600.64</v>
      </c>
      <c r="Y7" s="37">
        <f t="shared" si="1"/>
        <v>1567.14</v>
      </c>
      <c r="Z7" s="37">
        <f t="shared" si="1"/>
        <v>1544.74</v>
      </c>
      <c r="AA7" s="37">
        <f t="shared" si="1"/>
        <v>1501.64</v>
      </c>
      <c r="AB7" s="37">
        <f t="shared" si="1"/>
        <v>1407.04</v>
      </c>
      <c r="AC7" s="37">
        <f t="shared" si="1"/>
        <v>1355.24</v>
      </c>
      <c r="AD7" s="37">
        <f t="shared" si="1"/>
        <v>1291.1400000000001</v>
      </c>
      <c r="AE7" s="37">
        <f t="shared" si="1"/>
        <v>1103.6400000000001</v>
      </c>
      <c r="AF7" s="37">
        <f t="shared" si="1"/>
        <v>961.24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20</v>
      </c>
      <c r="C11" s="49">
        <v>10</v>
      </c>
      <c r="D11" s="49">
        <v>30</v>
      </c>
      <c r="E11" s="49">
        <v>20</v>
      </c>
      <c r="F11" s="49">
        <v>20</v>
      </c>
      <c r="G11" s="49">
        <v>15</v>
      </c>
      <c r="H11" s="49">
        <v>15</v>
      </c>
      <c r="I11" s="49">
        <v>25</v>
      </c>
      <c r="J11" s="49">
        <v>25</v>
      </c>
      <c r="K11" s="49">
        <v>150</v>
      </c>
      <c r="L11" s="49">
        <v>230</v>
      </c>
      <c r="M11" s="50">
        <v>330</v>
      </c>
      <c r="N11" s="50">
        <v>350</v>
      </c>
      <c r="O11" s="50">
        <v>50</v>
      </c>
      <c r="P11" s="50">
        <v>60</v>
      </c>
      <c r="Q11" s="50">
        <v>30</v>
      </c>
      <c r="R11" s="51">
        <v>50</v>
      </c>
      <c r="S11" s="50">
        <v>40</v>
      </c>
      <c r="T11" s="50">
        <v>60</v>
      </c>
      <c r="U11" s="50">
        <v>76.900000000000006</v>
      </c>
      <c r="V11" s="50">
        <v>350</v>
      </c>
      <c r="W11" s="50">
        <v>270</v>
      </c>
      <c r="X11" s="50">
        <v>440</v>
      </c>
      <c r="Y11" s="50">
        <v>430</v>
      </c>
      <c r="Z11" s="50">
        <v>429.8</v>
      </c>
      <c r="AA11" s="50">
        <v>400</v>
      </c>
      <c r="AB11" s="50">
        <v>160</v>
      </c>
      <c r="AC11" s="50">
        <v>140</v>
      </c>
      <c r="AD11" s="50">
        <v>120</v>
      </c>
      <c r="AE11" s="50">
        <v>40</v>
      </c>
      <c r="AF11" s="49">
        <v>0</v>
      </c>
      <c r="AG11" s="53">
        <v>456</v>
      </c>
      <c r="AH11" s="54">
        <f>MAX(B11:AF11)</f>
        <v>440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44</v>
      </c>
      <c r="C12" s="49">
        <v>44</v>
      </c>
      <c r="D12" s="49">
        <v>44</v>
      </c>
      <c r="E12" s="49">
        <v>44</v>
      </c>
      <c r="F12" s="49">
        <v>44</v>
      </c>
      <c r="G12" s="49">
        <v>44</v>
      </c>
      <c r="H12" s="49">
        <v>44</v>
      </c>
      <c r="I12" s="49">
        <v>44</v>
      </c>
      <c r="J12" s="49">
        <v>44</v>
      </c>
      <c r="K12" s="49">
        <v>44</v>
      </c>
      <c r="L12" s="49">
        <v>44</v>
      </c>
      <c r="M12" s="49">
        <v>44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58">
        <v>44</v>
      </c>
      <c r="T12" s="58">
        <v>44</v>
      </c>
      <c r="U12" s="58">
        <v>44</v>
      </c>
      <c r="V12" s="58">
        <v>44</v>
      </c>
      <c r="W12" s="58">
        <v>44</v>
      </c>
      <c r="X12" s="58">
        <v>44</v>
      </c>
      <c r="Y12" s="58">
        <v>44</v>
      </c>
      <c r="Z12" s="58">
        <v>44</v>
      </c>
      <c r="AA12" s="58">
        <v>44</v>
      </c>
      <c r="AB12" s="58">
        <v>44</v>
      </c>
      <c r="AC12" s="58">
        <v>44</v>
      </c>
      <c r="AD12" s="58">
        <v>44</v>
      </c>
      <c r="AE12" s="58">
        <v>44</v>
      </c>
      <c r="AF12" s="58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25.6</v>
      </c>
      <c r="C13" s="49">
        <v>25.6</v>
      </c>
      <c r="D13" s="49">
        <v>25.4</v>
      </c>
      <c r="E13" s="49">
        <v>25.4</v>
      </c>
      <c r="F13" s="49">
        <v>25.4</v>
      </c>
      <c r="G13" s="49">
        <v>25.4</v>
      </c>
      <c r="H13" s="49">
        <v>25.4</v>
      </c>
      <c r="I13" s="49">
        <v>25.4</v>
      </c>
      <c r="J13" s="49">
        <v>25.4</v>
      </c>
      <c r="K13" s="49">
        <v>25.4</v>
      </c>
      <c r="L13" s="49">
        <v>25.4</v>
      </c>
      <c r="M13" s="49">
        <v>25.3</v>
      </c>
      <c r="N13" s="49">
        <v>25.3</v>
      </c>
      <c r="O13" s="49">
        <v>25.3</v>
      </c>
      <c r="P13" s="49">
        <v>25.3</v>
      </c>
      <c r="Q13" s="49">
        <v>25.3</v>
      </c>
      <c r="R13" s="49">
        <v>25.3</v>
      </c>
      <c r="S13" s="58">
        <v>24.9</v>
      </c>
      <c r="T13" s="58">
        <v>24.9</v>
      </c>
      <c r="U13" s="58">
        <v>24.9</v>
      </c>
      <c r="V13" s="58">
        <v>24.9</v>
      </c>
      <c r="W13" s="58">
        <v>24.9</v>
      </c>
      <c r="X13" s="58">
        <v>25.6</v>
      </c>
      <c r="Y13" s="58">
        <v>24.9</v>
      </c>
      <c r="Z13" s="58">
        <v>24.9</v>
      </c>
      <c r="AA13" s="58">
        <v>24.9</v>
      </c>
      <c r="AB13" s="58">
        <v>24.9</v>
      </c>
      <c r="AC13" s="58">
        <v>24.9</v>
      </c>
      <c r="AD13" s="58">
        <v>24.9</v>
      </c>
      <c r="AE13" s="58">
        <v>24.9</v>
      </c>
      <c r="AF13" s="58">
        <v>24.9</v>
      </c>
      <c r="AG13" s="59">
        <v>52.4</v>
      </c>
      <c r="AH13" s="54">
        <f t="shared" si="2"/>
        <v>25.6</v>
      </c>
      <c r="AI13" s="55">
        <f t="shared" si="3"/>
        <v>24.9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47.5</v>
      </c>
      <c r="C14" s="49">
        <v>46.6</v>
      </c>
      <c r="D14" s="49">
        <v>45.9</v>
      </c>
      <c r="E14" s="49">
        <v>45.9</v>
      </c>
      <c r="F14" s="49">
        <v>45.9</v>
      </c>
      <c r="G14" s="49">
        <v>45.9</v>
      </c>
      <c r="H14" s="49">
        <v>45.9</v>
      </c>
      <c r="I14" s="49">
        <v>45.9</v>
      </c>
      <c r="J14" s="49">
        <v>45.9</v>
      </c>
      <c r="K14" s="49">
        <v>45.9</v>
      </c>
      <c r="L14" s="49">
        <v>45.9</v>
      </c>
      <c r="M14" s="50">
        <v>46.6</v>
      </c>
      <c r="N14" s="50">
        <v>46.6</v>
      </c>
      <c r="O14" s="50">
        <v>46.6</v>
      </c>
      <c r="P14" s="50">
        <v>46.6</v>
      </c>
      <c r="Q14" s="50">
        <v>46.6</v>
      </c>
      <c r="R14" s="50">
        <v>46.6</v>
      </c>
      <c r="S14" s="60">
        <v>46.2</v>
      </c>
      <c r="T14" s="60">
        <v>46.2</v>
      </c>
      <c r="U14" s="60">
        <v>46.2</v>
      </c>
      <c r="V14" s="60">
        <v>46.2</v>
      </c>
      <c r="W14" s="60">
        <v>46.2</v>
      </c>
      <c r="X14" s="60">
        <v>43.9</v>
      </c>
      <c r="Y14" s="60">
        <v>46.2</v>
      </c>
      <c r="Z14" s="60">
        <v>46.2</v>
      </c>
      <c r="AA14" s="60">
        <v>46.2</v>
      </c>
      <c r="AB14" s="60">
        <v>46.2</v>
      </c>
      <c r="AC14" s="60">
        <v>46.2</v>
      </c>
      <c r="AD14" s="60">
        <v>46.2</v>
      </c>
      <c r="AE14" s="60">
        <v>46.2</v>
      </c>
      <c r="AF14" s="60">
        <v>46.2</v>
      </c>
      <c r="AG14" s="59">
        <v>50</v>
      </c>
      <c r="AH14" s="54">
        <f t="shared" si="2"/>
        <v>47.5</v>
      </c>
      <c r="AI14" s="55">
        <f t="shared" si="3"/>
        <v>43.9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23.5</v>
      </c>
      <c r="C15" s="61">
        <v>23.9</v>
      </c>
      <c r="D15" s="61">
        <v>23.4</v>
      </c>
      <c r="E15" s="61">
        <v>23.4</v>
      </c>
      <c r="F15" s="61">
        <v>23.4</v>
      </c>
      <c r="G15" s="61">
        <v>23.4</v>
      </c>
      <c r="H15" s="61">
        <v>23.4</v>
      </c>
      <c r="I15" s="61">
        <v>23.4</v>
      </c>
      <c r="J15" s="61">
        <v>23.4</v>
      </c>
      <c r="K15" s="61">
        <v>23.4</v>
      </c>
      <c r="L15" s="61">
        <v>23.4</v>
      </c>
      <c r="M15" s="50">
        <v>23.7</v>
      </c>
      <c r="N15" s="50">
        <v>23.7</v>
      </c>
      <c r="O15" s="50">
        <v>23.7</v>
      </c>
      <c r="P15" s="50">
        <v>23.7</v>
      </c>
      <c r="Q15" s="50">
        <v>23.7</v>
      </c>
      <c r="R15" s="50">
        <v>23.7</v>
      </c>
      <c r="S15" s="60">
        <v>23.5</v>
      </c>
      <c r="T15" s="60">
        <v>23.5</v>
      </c>
      <c r="U15" s="60">
        <v>23.5</v>
      </c>
      <c r="V15" s="60">
        <v>23.5</v>
      </c>
      <c r="W15" s="60">
        <v>23.5</v>
      </c>
      <c r="X15" s="60">
        <v>23.8</v>
      </c>
      <c r="Y15" s="60">
        <v>23.5</v>
      </c>
      <c r="Z15" s="60">
        <v>23.5</v>
      </c>
      <c r="AA15" s="60">
        <v>23.5</v>
      </c>
      <c r="AB15" s="60">
        <v>23.5</v>
      </c>
      <c r="AC15" s="60">
        <v>23.5</v>
      </c>
      <c r="AD15" s="60">
        <v>23.5</v>
      </c>
      <c r="AE15" s="60">
        <v>23.5</v>
      </c>
      <c r="AF15" s="60">
        <v>23.5</v>
      </c>
      <c r="AG15" s="62">
        <v>45</v>
      </c>
      <c r="AH15" s="54">
        <f t="shared" si="2"/>
        <v>23.9</v>
      </c>
      <c r="AI15" s="55">
        <f t="shared" si="3"/>
        <v>23.4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63">
        <v>12</v>
      </c>
      <c r="T16" s="63">
        <v>12</v>
      </c>
      <c r="U16" s="63">
        <v>12</v>
      </c>
      <c r="V16" s="63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60">
        <v>11</v>
      </c>
      <c r="T17" s="60">
        <v>11</v>
      </c>
      <c r="U17" s="60">
        <v>11</v>
      </c>
      <c r="V17" s="60">
        <v>11</v>
      </c>
      <c r="W17" s="6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11.8</v>
      </c>
      <c r="C19" s="49">
        <v>11.6</v>
      </c>
      <c r="D19" s="49">
        <v>11.4</v>
      </c>
      <c r="E19" s="49">
        <v>11.4</v>
      </c>
      <c r="F19" s="49">
        <v>11.4</v>
      </c>
      <c r="G19" s="49">
        <v>11.4</v>
      </c>
      <c r="H19" s="49">
        <v>11.4</v>
      </c>
      <c r="I19" s="49">
        <v>11.4</v>
      </c>
      <c r="J19" s="49">
        <v>11.4</v>
      </c>
      <c r="K19" s="49">
        <v>11.4</v>
      </c>
      <c r="L19" s="49">
        <v>11.4</v>
      </c>
      <c r="M19" s="50">
        <v>11.7</v>
      </c>
      <c r="N19" s="50">
        <v>11.7</v>
      </c>
      <c r="O19" s="50">
        <v>11.7</v>
      </c>
      <c r="P19" s="50">
        <v>11.7</v>
      </c>
      <c r="Q19" s="50">
        <v>11.7</v>
      </c>
      <c r="R19" s="50">
        <v>11.7</v>
      </c>
      <c r="S19" s="50">
        <v>11.7</v>
      </c>
      <c r="T19" s="50">
        <v>11.7</v>
      </c>
      <c r="U19" s="50">
        <v>11.7</v>
      </c>
      <c r="V19" s="50">
        <v>11.7</v>
      </c>
      <c r="W19" s="50">
        <v>11.7</v>
      </c>
      <c r="X19" s="50">
        <v>11.7</v>
      </c>
      <c r="Y19" s="50">
        <v>11.7</v>
      </c>
      <c r="Z19" s="50">
        <v>11.7</v>
      </c>
      <c r="AA19" s="50">
        <v>11.7</v>
      </c>
      <c r="AB19" s="50">
        <v>11.7</v>
      </c>
      <c r="AC19" s="50">
        <v>11.7</v>
      </c>
      <c r="AD19" s="50">
        <v>11.7</v>
      </c>
      <c r="AE19" s="50">
        <v>11.7</v>
      </c>
      <c r="AF19" s="50">
        <v>11.7</v>
      </c>
      <c r="AG19" s="59">
        <v>30</v>
      </c>
      <c r="AH19" s="54">
        <f t="shared" si="2"/>
        <v>11.8</v>
      </c>
      <c r="AI19" s="55">
        <f t="shared" si="3"/>
        <v>11.4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15.7</v>
      </c>
      <c r="C22" s="49">
        <v>14.1</v>
      </c>
      <c r="D22" s="49">
        <v>14.1</v>
      </c>
      <c r="E22" s="49">
        <v>14.1</v>
      </c>
      <c r="F22" s="49">
        <v>14.1</v>
      </c>
      <c r="G22" s="49">
        <v>14.1</v>
      </c>
      <c r="H22" s="49">
        <v>14.1</v>
      </c>
      <c r="I22" s="49">
        <v>14.1</v>
      </c>
      <c r="J22" s="49">
        <v>14.1</v>
      </c>
      <c r="K22" s="49">
        <v>14.1</v>
      </c>
      <c r="L22" s="49">
        <v>14.1</v>
      </c>
      <c r="M22" s="50">
        <v>14.1</v>
      </c>
      <c r="N22" s="50">
        <v>14.1</v>
      </c>
      <c r="O22" s="50">
        <v>14.1</v>
      </c>
      <c r="P22" s="50">
        <v>14.1</v>
      </c>
      <c r="Q22" s="50">
        <v>14.1</v>
      </c>
      <c r="R22" s="50">
        <v>14.1</v>
      </c>
      <c r="S22" s="50">
        <v>14.1</v>
      </c>
      <c r="T22" s="50">
        <v>14.1</v>
      </c>
      <c r="U22" s="50">
        <v>14.1</v>
      </c>
      <c r="V22" s="50">
        <v>14.1</v>
      </c>
      <c r="W22" s="50">
        <v>14.1</v>
      </c>
      <c r="X22" s="50">
        <v>14.1</v>
      </c>
      <c r="Y22" s="50">
        <v>14.1</v>
      </c>
      <c r="Z22" s="50">
        <v>14.1</v>
      </c>
      <c r="AA22" s="50">
        <v>14.1</v>
      </c>
      <c r="AB22" s="50">
        <v>14.1</v>
      </c>
      <c r="AC22" s="50">
        <v>14.1</v>
      </c>
      <c r="AD22" s="50">
        <v>14.1</v>
      </c>
      <c r="AE22" s="50">
        <v>14.1</v>
      </c>
      <c r="AF22" s="50">
        <v>14.1</v>
      </c>
      <c r="AG22" s="59">
        <v>25</v>
      </c>
      <c r="AH22" s="54">
        <f t="shared" si="2"/>
        <v>15.7</v>
      </c>
      <c r="AI22" s="55">
        <f t="shared" si="3"/>
        <v>14.1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15</v>
      </c>
      <c r="C24" s="49">
        <v>14</v>
      </c>
      <c r="D24" s="49">
        <v>14</v>
      </c>
      <c r="E24" s="49">
        <v>14</v>
      </c>
      <c r="F24" s="49">
        <v>14</v>
      </c>
      <c r="G24" s="49">
        <v>14</v>
      </c>
      <c r="H24" s="49">
        <v>14</v>
      </c>
      <c r="I24" s="49">
        <v>14</v>
      </c>
      <c r="J24" s="49">
        <v>14</v>
      </c>
      <c r="K24" s="49">
        <v>14</v>
      </c>
      <c r="L24" s="49">
        <v>14</v>
      </c>
      <c r="M24" s="50">
        <v>14</v>
      </c>
      <c r="N24" s="50">
        <v>14</v>
      </c>
      <c r="O24" s="50">
        <v>14</v>
      </c>
      <c r="P24" s="50">
        <v>14</v>
      </c>
      <c r="Q24" s="50">
        <v>14</v>
      </c>
      <c r="R24" s="50">
        <v>14</v>
      </c>
      <c r="S24" s="50">
        <v>11.5</v>
      </c>
      <c r="T24" s="50">
        <v>11.5</v>
      </c>
      <c r="U24" s="50">
        <v>11.5</v>
      </c>
      <c r="V24" s="50">
        <v>11.5</v>
      </c>
      <c r="W24" s="50">
        <v>13.3</v>
      </c>
      <c r="X24" s="50">
        <v>14.6</v>
      </c>
      <c r="Y24" s="50">
        <v>13.3</v>
      </c>
      <c r="Z24" s="50">
        <v>13.3</v>
      </c>
      <c r="AA24" s="50">
        <v>13.3</v>
      </c>
      <c r="AB24" s="50">
        <v>13.3</v>
      </c>
      <c r="AC24" s="50">
        <v>13.3</v>
      </c>
      <c r="AD24" s="50">
        <v>13.3</v>
      </c>
      <c r="AE24" s="50">
        <v>13.3</v>
      </c>
      <c r="AF24" s="50">
        <v>13.3</v>
      </c>
      <c r="AG24" s="59">
        <v>25</v>
      </c>
      <c r="AH24" s="54">
        <f t="shared" si="2"/>
        <v>15</v>
      </c>
      <c r="AI24" s="55">
        <f t="shared" si="3"/>
        <v>11.5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9.6999999999999993</v>
      </c>
      <c r="C26" s="49">
        <v>9.5</v>
      </c>
      <c r="D26" s="49">
        <v>9.5</v>
      </c>
      <c r="E26" s="49">
        <v>9.5</v>
      </c>
      <c r="F26" s="49">
        <v>9.5</v>
      </c>
      <c r="G26" s="49">
        <v>9.5</v>
      </c>
      <c r="H26" s="49">
        <v>9.5</v>
      </c>
      <c r="I26" s="49">
        <v>9.5</v>
      </c>
      <c r="J26" s="49">
        <v>9.5</v>
      </c>
      <c r="K26" s="49">
        <v>9.5</v>
      </c>
      <c r="L26" s="49">
        <v>9.5</v>
      </c>
      <c r="M26" s="50">
        <v>9.5</v>
      </c>
      <c r="N26" s="50">
        <v>9.5</v>
      </c>
      <c r="O26" s="50">
        <v>9.5</v>
      </c>
      <c r="P26" s="50">
        <v>9.5</v>
      </c>
      <c r="Q26" s="50">
        <v>9.5</v>
      </c>
      <c r="R26" s="50">
        <v>9.5</v>
      </c>
      <c r="S26" s="50">
        <v>9.5</v>
      </c>
      <c r="T26" s="50">
        <v>9.5</v>
      </c>
      <c r="U26" s="50">
        <v>9.5</v>
      </c>
      <c r="V26" s="50">
        <v>9.5</v>
      </c>
      <c r="W26" s="50">
        <v>9.5</v>
      </c>
      <c r="X26" s="50">
        <v>9.5</v>
      </c>
      <c r="Y26" s="50">
        <v>9.5</v>
      </c>
      <c r="Z26" s="50">
        <v>9.5</v>
      </c>
      <c r="AA26" s="50">
        <v>9.5</v>
      </c>
      <c r="AB26" s="50">
        <v>9.5</v>
      </c>
      <c r="AC26" s="50">
        <v>9.5</v>
      </c>
      <c r="AD26" s="50">
        <v>9.5</v>
      </c>
      <c r="AE26" s="50">
        <v>9.5</v>
      </c>
      <c r="AF26" s="50">
        <v>9.5</v>
      </c>
      <c r="AG26" s="59">
        <v>20</v>
      </c>
      <c r="AH26" s="54">
        <f t="shared" si="2"/>
        <v>9.6999999999999993</v>
      </c>
      <c r="AI26" s="55">
        <f t="shared" si="3"/>
        <v>9.5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22.1+40.6</f>
        <v>62.7</v>
      </c>
      <c r="C37" s="61">
        <f>22.1+40.4</f>
        <v>62.5</v>
      </c>
      <c r="D37" s="61">
        <f>22.3+40.7</f>
        <v>63</v>
      </c>
      <c r="E37" s="61">
        <v>62</v>
      </c>
      <c r="F37" s="61">
        <v>61</v>
      </c>
      <c r="G37" s="61">
        <v>60.7</v>
      </c>
      <c r="H37" s="61">
        <v>61.6</v>
      </c>
      <c r="I37" s="61">
        <v>61.6</v>
      </c>
      <c r="J37" s="61">
        <v>61.6</v>
      </c>
      <c r="K37" s="61">
        <v>61.6</v>
      </c>
      <c r="L37" s="61">
        <v>61.6</v>
      </c>
      <c r="M37" s="70">
        <f>20.6+37.6</f>
        <v>58.2</v>
      </c>
      <c r="N37" s="70">
        <f>20.8+37.7</f>
        <v>58.5</v>
      </c>
      <c r="O37" s="70">
        <f>21.5+39</f>
        <v>60.5</v>
      </c>
      <c r="P37" s="70">
        <f>21.5+38.6</f>
        <v>60.1</v>
      </c>
      <c r="Q37" s="70">
        <f>38.6+21.6</f>
        <v>60.2</v>
      </c>
      <c r="R37" s="70">
        <f>21.9+39.7</f>
        <v>61.6</v>
      </c>
      <c r="S37" s="70">
        <f>21.7+38.2</f>
        <v>59.900000000000006</v>
      </c>
      <c r="T37" s="70">
        <f>22.1+40.6</f>
        <v>62.7</v>
      </c>
      <c r="U37" s="70">
        <f>21.1+38.2</f>
        <v>59.300000000000004</v>
      </c>
      <c r="V37" s="70">
        <f>21.1+38.2</f>
        <v>59.300000000000004</v>
      </c>
      <c r="W37" s="70">
        <f>19.9+34.8</f>
        <v>54.699999999999996</v>
      </c>
      <c r="X37" s="70">
        <v>53.3</v>
      </c>
      <c r="Y37" s="70">
        <f>19.9+34.8</f>
        <v>54.699999999999996</v>
      </c>
      <c r="Z37" s="70">
        <f>16.8+31.2</f>
        <v>48</v>
      </c>
      <c r="AA37" s="70">
        <f>19.1+33.1</f>
        <v>52.2</v>
      </c>
      <c r="AB37" s="70">
        <v>53.4</v>
      </c>
      <c r="AC37" s="70">
        <v>55.7</v>
      </c>
      <c r="AD37" s="70">
        <v>56.2</v>
      </c>
      <c r="AE37" s="70">
        <v>60</v>
      </c>
      <c r="AF37" s="61">
        <v>61.5</v>
      </c>
      <c r="AG37" s="67">
        <v>240</v>
      </c>
      <c r="AH37" s="54">
        <f t="shared" si="2"/>
        <v>63</v>
      </c>
      <c r="AI37" s="55">
        <f t="shared" si="3"/>
        <v>48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477.49999999999994</v>
      </c>
      <c r="C38" s="72">
        <f t="shared" ref="C38:AF38" si="5">SUM(C11:C36)</f>
        <v>464</v>
      </c>
      <c r="D38" s="72">
        <f t="shared" si="5"/>
        <v>482.4</v>
      </c>
      <c r="E38" s="72">
        <f t="shared" si="5"/>
        <v>472.4</v>
      </c>
      <c r="F38" s="72">
        <f t="shared" si="5"/>
        <v>472.4</v>
      </c>
      <c r="G38" s="72">
        <f t="shared" si="5"/>
        <v>467.4</v>
      </c>
      <c r="H38" s="72">
        <f t="shared" si="5"/>
        <v>467.4</v>
      </c>
      <c r="I38" s="72">
        <f t="shared" si="5"/>
        <v>477.4</v>
      </c>
      <c r="J38" s="72">
        <f t="shared" si="5"/>
        <v>477.4</v>
      </c>
      <c r="K38" s="72">
        <f t="shared" si="5"/>
        <v>602.4</v>
      </c>
      <c r="L38" s="72">
        <f t="shared" si="5"/>
        <v>682.39999999999986</v>
      </c>
      <c r="M38" s="72">
        <f t="shared" si="5"/>
        <v>783.60000000000014</v>
      </c>
      <c r="N38" s="72">
        <f t="shared" si="5"/>
        <v>803.60000000000014</v>
      </c>
      <c r="O38" s="72">
        <f t="shared" si="5"/>
        <v>503.59999999999997</v>
      </c>
      <c r="P38" s="72">
        <f t="shared" si="5"/>
        <v>513.6</v>
      </c>
      <c r="Q38" s="72">
        <f t="shared" si="5"/>
        <v>483.59999999999997</v>
      </c>
      <c r="R38" s="72">
        <f t="shared" si="5"/>
        <v>503.59999999999997</v>
      </c>
      <c r="S38" s="72">
        <f t="shared" si="5"/>
        <v>490.1</v>
      </c>
      <c r="T38" s="72">
        <f t="shared" si="5"/>
        <v>510.1</v>
      </c>
      <c r="U38" s="72">
        <f t="shared" si="5"/>
        <v>527</v>
      </c>
      <c r="V38" s="72">
        <f t="shared" si="5"/>
        <v>800.1</v>
      </c>
      <c r="W38" s="72">
        <f t="shared" si="5"/>
        <v>721.9</v>
      </c>
      <c r="X38" s="72">
        <v>891.90000000000009</v>
      </c>
      <c r="Y38" s="72">
        <f t="shared" si="5"/>
        <v>881.90000000000009</v>
      </c>
      <c r="Z38" s="72">
        <f t="shared" si="5"/>
        <v>881.7</v>
      </c>
      <c r="AA38" s="72">
        <f t="shared" si="5"/>
        <v>851.90000000000009</v>
      </c>
      <c r="AB38" s="72">
        <f t="shared" si="5"/>
        <v>611.90000000000009</v>
      </c>
      <c r="AC38" s="72">
        <f t="shared" si="5"/>
        <v>591.90000000000009</v>
      </c>
      <c r="AD38" s="72">
        <f t="shared" si="5"/>
        <v>571.90000000000009</v>
      </c>
      <c r="AE38" s="72">
        <f t="shared" si="5"/>
        <v>491.90000000000003</v>
      </c>
      <c r="AF38" s="72">
        <f t="shared" si="5"/>
        <v>451.9</v>
      </c>
      <c r="AG38" s="67">
        <f>SUM(AG11:AG37)</f>
        <v>1492.8299999999997</v>
      </c>
      <c r="AH38" s="54">
        <f t="shared" si="2"/>
        <v>891.90000000000009</v>
      </c>
      <c r="AI38" s="55">
        <f t="shared" si="3"/>
        <v>451.9</v>
      </c>
      <c r="AK38" s="56"/>
    </row>
    <row r="39" spans="1:88" x14ac:dyDescent="0.25">
      <c r="A39" s="57" t="s">
        <v>47</v>
      </c>
      <c r="B39" s="49">
        <v>30.7</v>
      </c>
      <c r="C39" s="61">
        <v>30.6</v>
      </c>
      <c r="D39" s="61">
        <v>30.6</v>
      </c>
      <c r="E39" s="61">
        <v>30.6</v>
      </c>
      <c r="F39" s="61">
        <v>30.6</v>
      </c>
      <c r="G39" s="61">
        <v>30.6</v>
      </c>
      <c r="H39" s="61">
        <v>30.6</v>
      </c>
      <c r="I39" s="61">
        <v>82</v>
      </c>
      <c r="J39" s="61">
        <v>60</v>
      </c>
      <c r="K39" s="61">
        <v>144</v>
      </c>
      <c r="L39" s="61">
        <v>144</v>
      </c>
      <c r="M39" s="50">
        <v>147.4</v>
      </c>
      <c r="N39" s="50">
        <v>97.3</v>
      </c>
      <c r="O39" s="50">
        <v>110</v>
      </c>
      <c r="P39" s="50">
        <v>145.9</v>
      </c>
      <c r="Q39" s="50">
        <v>144.9</v>
      </c>
      <c r="R39" s="50">
        <v>127.6</v>
      </c>
      <c r="S39" s="50">
        <v>122.4</v>
      </c>
      <c r="T39" s="50">
        <v>145.9</v>
      </c>
      <c r="U39" s="50">
        <v>139.5</v>
      </c>
      <c r="V39" s="50">
        <v>112</v>
      </c>
      <c r="W39" s="50">
        <v>145.69999999999999</v>
      </c>
      <c r="X39" s="50">
        <v>145.19999999999999</v>
      </c>
      <c r="Y39" s="50">
        <v>145.69999999999999</v>
      </c>
      <c r="Z39" s="50">
        <v>145</v>
      </c>
      <c r="AA39" s="50">
        <v>144.9</v>
      </c>
      <c r="AB39" s="50">
        <v>135</v>
      </c>
      <c r="AC39" s="50">
        <v>105.7</v>
      </c>
      <c r="AD39" s="50">
        <v>81.3</v>
      </c>
      <c r="AE39" s="50">
        <v>60.5</v>
      </c>
      <c r="AF39" s="49">
        <v>0</v>
      </c>
      <c r="AG39" s="62">
        <v>144</v>
      </c>
      <c r="AH39" s="54">
        <f t="shared" si="2"/>
        <v>147.4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24.4</v>
      </c>
      <c r="C40" s="61">
        <v>25.9</v>
      </c>
      <c r="D40" s="61">
        <v>25</v>
      </c>
      <c r="E40" s="61">
        <v>25</v>
      </c>
      <c r="F40" s="61">
        <v>25</v>
      </c>
      <c r="G40" s="61">
        <v>0</v>
      </c>
      <c r="H40" s="61">
        <v>0</v>
      </c>
      <c r="I40" s="61">
        <v>22</v>
      </c>
      <c r="J40" s="61">
        <v>20</v>
      </c>
      <c r="K40" s="61">
        <v>71</v>
      </c>
      <c r="L40" s="61">
        <v>72</v>
      </c>
      <c r="M40" s="73">
        <v>71.400000000000006</v>
      </c>
      <c r="N40" s="73">
        <v>72.2</v>
      </c>
      <c r="O40" s="73">
        <v>64.7</v>
      </c>
      <c r="P40" s="73">
        <v>69.7</v>
      </c>
      <c r="Q40" s="73">
        <v>60.8</v>
      </c>
      <c r="R40" s="73">
        <v>34.200000000000003</v>
      </c>
      <c r="S40" s="73">
        <v>33.799999999999997</v>
      </c>
      <c r="T40" s="73">
        <v>29.8</v>
      </c>
      <c r="U40" s="73">
        <v>29.8</v>
      </c>
      <c r="V40" s="73">
        <v>44</v>
      </c>
      <c r="W40" s="73">
        <v>68.900000000000006</v>
      </c>
      <c r="X40" s="73">
        <v>71.2</v>
      </c>
      <c r="Y40" s="73">
        <v>68.900000000000006</v>
      </c>
      <c r="Z40" s="73">
        <v>71.599999999999994</v>
      </c>
      <c r="AA40" s="73">
        <v>70.3</v>
      </c>
      <c r="AB40" s="73">
        <v>70</v>
      </c>
      <c r="AC40" s="73">
        <v>69.8</v>
      </c>
      <c r="AD40" s="73">
        <v>56</v>
      </c>
      <c r="AE40" s="73">
        <v>44.7</v>
      </c>
      <c r="AF40" s="61">
        <v>33</v>
      </c>
      <c r="AG40" s="67">
        <v>70</v>
      </c>
      <c r="AH40" s="54">
        <f t="shared" si="2"/>
        <v>72.2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45.6</v>
      </c>
      <c r="C41" s="61">
        <v>32.5</v>
      </c>
      <c r="D41" s="61">
        <v>32.9</v>
      </c>
      <c r="E41" s="61">
        <v>32.9</v>
      </c>
      <c r="F41" s="61">
        <v>32.9</v>
      </c>
      <c r="G41" s="61">
        <v>33.6</v>
      </c>
      <c r="H41" s="61">
        <v>33.6</v>
      </c>
      <c r="I41" s="61">
        <v>54</v>
      </c>
      <c r="J41" s="61">
        <v>55</v>
      </c>
      <c r="K41" s="61">
        <v>68</v>
      </c>
      <c r="L41" s="61">
        <v>68</v>
      </c>
      <c r="M41" s="73">
        <v>67.099999999999994</v>
      </c>
      <c r="N41" s="73">
        <v>66.7</v>
      </c>
      <c r="O41" s="73">
        <v>61.9</v>
      </c>
      <c r="P41" s="73">
        <v>51.9</v>
      </c>
      <c r="Q41" s="73">
        <v>49.3</v>
      </c>
      <c r="R41" s="73">
        <v>37</v>
      </c>
      <c r="S41" s="73">
        <v>37</v>
      </c>
      <c r="T41" s="73">
        <v>33.299999999999997</v>
      </c>
      <c r="U41" s="73">
        <v>33.299999999999997</v>
      </c>
      <c r="V41" s="73">
        <v>56</v>
      </c>
      <c r="W41" s="73">
        <v>56</v>
      </c>
      <c r="X41" s="73">
        <v>67.8</v>
      </c>
      <c r="Y41" s="73">
        <v>67.7</v>
      </c>
      <c r="Z41" s="73">
        <v>67.099999999999994</v>
      </c>
      <c r="AA41" s="73">
        <v>67.3</v>
      </c>
      <c r="AB41" s="73">
        <v>67.5</v>
      </c>
      <c r="AC41" s="73">
        <v>67</v>
      </c>
      <c r="AD41" s="73">
        <v>67</v>
      </c>
      <c r="AE41" s="73">
        <v>32</v>
      </c>
      <c r="AF41" s="61">
        <v>45.7</v>
      </c>
      <c r="AG41" s="67">
        <v>69</v>
      </c>
      <c r="AH41" s="54">
        <f t="shared" si="2"/>
        <v>68</v>
      </c>
      <c r="AI41" s="55">
        <f t="shared" si="3"/>
        <v>32</v>
      </c>
      <c r="AK41" s="56"/>
    </row>
    <row r="42" spans="1:88" x14ac:dyDescent="0.25">
      <c r="A42" s="66" t="s">
        <v>50</v>
      </c>
      <c r="B42" s="61">
        <v>60.7</v>
      </c>
      <c r="C42" s="61">
        <v>60.7</v>
      </c>
      <c r="D42" s="61">
        <v>60.7</v>
      </c>
      <c r="E42" s="61">
        <v>60.7</v>
      </c>
      <c r="F42" s="61">
        <v>60.7</v>
      </c>
      <c r="G42" s="61">
        <v>60.7</v>
      </c>
      <c r="H42" s="61">
        <v>60.7</v>
      </c>
      <c r="I42" s="61">
        <v>60.7</v>
      </c>
      <c r="J42" s="61">
        <v>60.7</v>
      </c>
      <c r="K42" s="61">
        <v>60.7</v>
      </c>
      <c r="L42" s="61">
        <v>60.7</v>
      </c>
      <c r="M42" s="73">
        <v>60.7</v>
      </c>
      <c r="N42" s="73">
        <v>60.7</v>
      </c>
      <c r="O42" s="73">
        <v>60.7</v>
      </c>
      <c r="P42" s="73">
        <v>60.7</v>
      </c>
      <c r="Q42" s="73">
        <v>60.7</v>
      </c>
      <c r="R42" s="73">
        <v>60.7</v>
      </c>
      <c r="S42" s="73">
        <v>60.7</v>
      </c>
      <c r="T42" s="73">
        <v>60.7</v>
      </c>
      <c r="U42" s="73">
        <v>60.7</v>
      </c>
      <c r="V42" s="73">
        <v>60.7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61">
        <v>60.9</v>
      </c>
      <c r="AG42" s="67">
        <v>60</v>
      </c>
      <c r="AH42" s="54">
        <f t="shared" si="2"/>
        <v>60.9</v>
      </c>
      <c r="AI42" s="55">
        <f t="shared" si="3"/>
        <v>60.7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15</v>
      </c>
      <c r="G43" s="61">
        <v>15</v>
      </c>
      <c r="H43" s="61">
        <v>15</v>
      </c>
      <c r="I43" s="61">
        <v>15</v>
      </c>
      <c r="J43" s="61">
        <v>15</v>
      </c>
      <c r="K43" s="61">
        <v>29</v>
      </c>
      <c r="L43" s="61">
        <v>29</v>
      </c>
      <c r="M43" s="50">
        <v>28.9</v>
      </c>
      <c r="N43" s="50">
        <v>22.4</v>
      </c>
      <c r="O43" s="50">
        <v>12.3</v>
      </c>
      <c r="P43" s="50">
        <v>12.4</v>
      </c>
      <c r="Q43" s="50">
        <v>0</v>
      </c>
      <c r="R43" s="50">
        <v>0</v>
      </c>
      <c r="S43" s="50">
        <v>14.9</v>
      </c>
      <c r="T43" s="50">
        <v>14.9</v>
      </c>
      <c r="U43" s="50">
        <v>14.9</v>
      </c>
      <c r="V43" s="50">
        <v>28</v>
      </c>
      <c r="W43" s="50">
        <v>28</v>
      </c>
      <c r="X43" s="50">
        <v>27.9</v>
      </c>
      <c r="Y43" s="50">
        <v>28</v>
      </c>
      <c r="Z43" s="50">
        <v>28</v>
      </c>
      <c r="AA43" s="50">
        <v>28</v>
      </c>
      <c r="AB43" s="73">
        <v>28</v>
      </c>
      <c r="AC43" s="73">
        <v>27.7</v>
      </c>
      <c r="AD43" s="73">
        <v>27.7</v>
      </c>
      <c r="AE43" s="73">
        <v>0</v>
      </c>
      <c r="AF43" s="73">
        <v>0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74">
        <v>6.4</v>
      </c>
      <c r="D48" s="74">
        <v>6.4</v>
      </c>
      <c r="E48" s="74">
        <v>6.4</v>
      </c>
      <c r="F48" s="74">
        <v>6.4</v>
      </c>
      <c r="G48" s="74">
        <v>6.4</v>
      </c>
      <c r="H48" s="74">
        <v>6.4</v>
      </c>
      <c r="I48" s="74">
        <v>6.4</v>
      </c>
      <c r="J48" s="74">
        <v>6.4</v>
      </c>
      <c r="K48" s="74">
        <v>6.4</v>
      </c>
      <c r="L48" s="74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216.53999999999996</v>
      </c>
      <c r="C52" s="72">
        <f t="shared" ref="C52:AF52" si="9">SUM(C39:C51)</f>
        <v>204.83999999999997</v>
      </c>
      <c r="D52" s="72">
        <f t="shared" si="9"/>
        <v>204.33999999999997</v>
      </c>
      <c r="E52" s="72">
        <f t="shared" si="9"/>
        <v>214.33999999999997</v>
      </c>
      <c r="F52" s="72">
        <f t="shared" si="9"/>
        <v>219.33999999999997</v>
      </c>
      <c r="G52" s="72">
        <f t="shared" si="9"/>
        <v>195.04</v>
      </c>
      <c r="H52" s="72">
        <f t="shared" si="9"/>
        <v>195.04</v>
      </c>
      <c r="I52" s="72">
        <f t="shared" si="9"/>
        <v>288.83999999999997</v>
      </c>
      <c r="J52" s="72">
        <f t="shared" si="9"/>
        <v>265.83999999999997</v>
      </c>
      <c r="K52" s="72">
        <f t="shared" si="9"/>
        <v>427.84</v>
      </c>
      <c r="L52" s="72">
        <f t="shared" si="9"/>
        <v>428.84</v>
      </c>
      <c r="M52" s="72">
        <f t="shared" si="9"/>
        <v>430.63999999999993</v>
      </c>
      <c r="N52" s="72">
        <f t="shared" si="9"/>
        <v>374.43999999999994</v>
      </c>
      <c r="O52" s="72">
        <f t="shared" si="9"/>
        <v>364.74</v>
      </c>
      <c r="P52" s="72">
        <f t="shared" si="9"/>
        <v>395.73999999999995</v>
      </c>
      <c r="Q52" s="72">
        <f t="shared" si="9"/>
        <v>370.84</v>
      </c>
      <c r="R52" s="72">
        <f t="shared" si="9"/>
        <v>314.64</v>
      </c>
      <c r="S52" s="72">
        <f t="shared" si="9"/>
        <v>323.93999999999994</v>
      </c>
      <c r="T52" s="72">
        <f t="shared" si="9"/>
        <v>339.73999999999995</v>
      </c>
      <c r="U52" s="72">
        <f t="shared" si="9"/>
        <v>333.34</v>
      </c>
      <c r="V52" s="72">
        <f t="shared" si="9"/>
        <v>355.84</v>
      </c>
      <c r="W52" s="72">
        <f t="shared" si="9"/>
        <v>414.44</v>
      </c>
      <c r="X52" s="72">
        <v>427.93999999999994</v>
      </c>
      <c r="Y52" s="72">
        <f t="shared" si="9"/>
        <v>426.14</v>
      </c>
      <c r="Z52" s="72">
        <f t="shared" si="9"/>
        <v>427.53999999999996</v>
      </c>
      <c r="AA52" s="72">
        <f t="shared" si="9"/>
        <v>426.34</v>
      </c>
      <c r="AB52" s="72">
        <f t="shared" si="9"/>
        <v>416.34</v>
      </c>
      <c r="AC52" s="72">
        <f t="shared" si="9"/>
        <v>386.03999999999996</v>
      </c>
      <c r="AD52" s="72">
        <f t="shared" si="9"/>
        <v>347.84</v>
      </c>
      <c r="AE52" s="72">
        <f t="shared" si="9"/>
        <v>253.03999999999996</v>
      </c>
      <c r="AF52" s="72">
        <f t="shared" si="9"/>
        <v>194.73999999999998</v>
      </c>
      <c r="AG52" s="78">
        <f>SUM(AG39:AG51)</f>
        <v>489.91</v>
      </c>
      <c r="AH52" s="54">
        <f t="shared" si="2"/>
        <v>430.63999999999993</v>
      </c>
      <c r="AI52" s="55">
        <f t="shared" si="3"/>
        <v>194.73999999999998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15</v>
      </c>
      <c r="L53" s="61">
        <v>15</v>
      </c>
      <c r="M53" s="79">
        <v>43.2</v>
      </c>
      <c r="N53" s="79">
        <v>44</v>
      </c>
      <c r="O53" s="79">
        <v>29.8</v>
      </c>
      <c r="P53" s="79">
        <v>40.4</v>
      </c>
      <c r="Q53" s="50">
        <v>14.1</v>
      </c>
      <c r="R53" s="50">
        <v>10.9</v>
      </c>
      <c r="S53" s="50">
        <v>0</v>
      </c>
      <c r="T53" s="50">
        <v>0</v>
      </c>
      <c r="U53" s="50">
        <v>0</v>
      </c>
      <c r="V53" s="50">
        <v>14</v>
      </c>
      <c r="W53" s="50">
        <v>40.1</v>
      </c>
      <c r="X53" s="50">
        <v>42.9</v>
      </c>
      <c r="Y53" s="50">
        <v>50.1</v>
      </c>
      <c r="Z53" s="50">
        <v>44</v>
      </c>
      <c r="AA53" s="50">
        <v>45.1</v>
      </c>
      <c r="AB53" s="50">
        <v>40.1</v>
      </c>
      <c r="AC53" s="50">
        <v>33.700000000000003</v>
      </c>
      <c r="AD53" s="50">
        <v>29.3</v>
      </c>
      <c r="AE53" s="50">
        <v>0</v>
      </c>
      <c r="AF53" s="50">
        <v>0</v>
      </c>
      <c r="AG53" s="62">
        <v>60</v>
      </c>
      <c r="AH53" s="54">
        <f t="shared" si="2"/>
        <v>50.1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10</v>
      </c>
      <c r="L54" s="61">
        <v>16</v>
      </c>
      <c r="M54" s="79">
        <v>18</v>
      </c>
      <c r="N54" s="79">
        <v>19.8</v>
      </c>
      <c r="O54" s="79">
        <v>15.2</v>
      </c>
      <c r="P54" s="79">
        <v>17.899999999999999</v>
      </c>
      <c r="Q54" s="73">
        <v>17.899999999999999</v>
      </c>
      <c r="R54" s="73">
        <v>3.7</v>
      </c>
      <c r="S54" s="50">
        <v>0</v>
      </c>
      <c r="T54" s="50">
        <v>0</v>
      </c>
      <c r="U54" s="50">
        <v>0</v>
      </c>
      <c r="V54" s="73">
        <v>7</v>
      </c>
      <c r="W54" s="73">
        <v>18.399999999999999</v>
      </c>
      <c r="X54" s="73">
        <v>19.2</v>
      </c>
      <c r="Y54" s="73">
        <v>23.4</v>
      </c>
      <c r="Z54" s="73">
        <v>23.4</v>
      </c>
      <c r="AA54" s="73">
        <v>21.3</v>
      </c>
      <c r="AB54" s="73">
        <v>18.5</v>
      </c>
      <c r="AC54" s="73">
        <v>20</v>
      </c>
      <c r="AD54" s="73">
        <v>14.1</v>
      </c>
      <c r="AE54" s="73">
        <v>0</v>
      </c>
      <c r="AF54" s="73">
        <v>0</v>
      </c>
      <c r="AG54" s="67">
        <v>32</v>
      </c>
      <c r="AH54" s="54">
        <f t="shared" si="2"/>
        <v>23.4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4</v>
      </c>
      <c r="L55" s="74">
        <v>7</v>
      </c>
      <c r="M55" s="81">
        <v>6.6</v>
      </c>
      <c r="N55" s="81">
        <v>7.2</v>
      </c>
      <c r="O55" s="81">
        <v>5.6</v>
      </c>
      <c r="P55" s="81">
        <v>6.5</v>
      </c>
      <c r="Q55" s="80">
        <v>6.5</v>
      </c>
      <c r="R55" s="80">
        <v>1.3</v>
      </c>
      <c r="S55" s="50">
        <v>0</v>
      </c>
      <c r="T55" s="50">
        <v>0</v>
      </c>
      <c r="U55" s="50">
        <v>0</v>
      </c>
      <c r="V55" s="80">
        <v>3</v>
      </c>
      <c r="W55" s="80">
        <v>6.7</v>
      </c>
      <c r="X55" s="80">
        <v>7</v>
      </c>
      <c r="Y55" s="80">
        <v>8.5</v>
      </c>
      <c r="Z55" s="80">
        <v>8.5</v>
      </c>
      <c r="AA55" s="80">
        <v>7.8</v>
      </c>
      <c r="AB55" s="80">
        <v>6.8</v>
      </c>
      <c r="AC55" s="80">
        <v>7.3</v>
      </c>
      <c r="AD55" s="80">
        <v>5.2</v>
      </c>
      <c r="AE55" s="80">
        <v>0</v>
      </c>
      <c r="AF55" s="80">
        <v>0</v>
      </c>
      <c r="AG55" s="82">
        <v>14</v>
      </c>
      <c r="AH55" s="54">
        <f t="shared" si="2"/>
        <v>8.5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29</v>
      </c>
      <c r="L56" s="72">
        <f t="shared" si="11"/>
        <v>38</v>
      </c>
      <c r="M56" s="72">
        <f t="shared" si="11"/>
        <v>67.8</v>
      </c>
      <c r="N56" s="72">
        <f t="shared" si="11"/>
        <v>71</v>
      </c>
      <c r="O56" s="72">
        <f t="shared" si="11"/>
        <v>50.6</v>
      </c>
      <c r="P56" s="72">
        <f t="shared" si="11"/>
        <v>64.8</v>
      </c>
      <c r="Q56" s="72">
        <f t="shared" si="11"/>
        <v>38.5</v>
      </c>
      <c r="R56" s="72">
        <f t="shared" si="11"/>
        <v>15.900000000000002</v>
      </c>
      <c r="S56" s="72">
        <f t="shared" si="11"/>
        <v>0</v>
      </c>
      <c r="T56" s="72">
        <f t="shared" si="11"/>
        <v>0</v>
      </c>
      <c r="U56" s="72">
        <f t="shared" si="11"/>
        <v>0</v>
      </c>
      <c r="V56" s="72">
        <f t="shared" si="11"/>
        <v>24</v>
      </c>
      <c r="W56" s="72">
        <f t="shared" si="11"/>
        <v>65.2</v>
      </c>
      <c r="X56" s="72">
        <v>69.099999999999994</v>
      </c>
      <c r="Y56" s="72">
        <f t="shared" si="11"/>
        <v>82</v>
      </c>
      <c r="Z56" s="72">
        <f t="shared" si="11"/>
        <v>75.900000000000006</v>
      </c>
      <c r="AA56" s="72">
        <f t="shared" si="11"/>
        <v>74.2</v>
      </c>
      <c r="AB56" s="72">
        <f t="shared" si="11"/>
        <v>65.400000000000006</v>
      </c>
      <c r="AC56" s="72">
        <f t="shared" si="11"/>
        <v>61</v>
      </c>
      <c r="AD56" s="72">
        <f t="shared" si="11"/>
        <v>48.6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82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63</v>
      </c>
      <c r="C57" s="50">
        <v>61</v>
      </c>
      <c r="D57" s="50">
        <v>66.2</v>
      </c>
      <c r="E57" s="50">
        <v>62</v>
      </c>
      <c r="F57" s="50">
        <v>60</v>
      </c>
      <c r="G57" s="50">
        <v>63.5</v>
      </c>
      <c r="H57" s="50">
        <v>55</v>
      </c>
      <c r="I57" s="50">
        <v>74</v>
      </c>
      <c r="J57" s="50"/>
      <c r="K57" s="50">
        <v>76</v>
      </c>
      <c r="L57" s="50">
        <v>76</v>
      </c>
      <c r="M57" s="50">
        <v>79.7</v>
      </c>
      <c r="N57" s="50">
        <v>65.7</v>
      </c>
      <c r="O57" s="50">
        <v>64.400000000000006</v>
      </c>
      <c r="P57" s="50">
        <v>60.5</v>
      </c>
      <c r="Q57" s="50">
        <v>68.7</v>
      </c>
      <c r="R57" s="50">
        <v>67.2</v>
      </c>
      <c r="S57" s="50">
        <v>61.8</v>
      </c>
      <c r="T57" s="50">
        <v>74.7</v>
      </c>
      <c r="U57" s="50">
        <v>74.099999999999994</v>
      </c>
      <c r="V57" s="50">
        <v>70</v>
      </c>
      <c r="W57" s="50">
        <v>75.069999999999993</v>
      </c>
      <c r="X57" s="50">
        <v>71.3</v>
      </c>
      <c r="Y57" s="50">
        <v>72.099999999999994</v>
      </c>
      <c r="Z57" s="50">
        <v>70.599999999999994</v>
      </c>
      <c r="AA57" s="50">
        <v>60</v>
      </c>
      <c r="AB57" s="50">
        <v>69.7</v>
      </c>
      <c r="AC57" s="50">
        <v>74.400000000000006</v>
      </c>
      <c r="AD57" s="50">
        <v>72.8</v>
      </c>
      <c r="AE57" s="50">
        <v>64.599999999999994</v>
      </c>
      <c r="AF57" s="50">
        <v>65.599999999999994</v>
      </c>
      <c r="AG57" s="62"/>
      <c r="AH57" s="54">
        <f t="shared" si="2"/>
        <v>79.7</v>
      </c>
      <c r="AI57" s="55">
        <f t="shared" si="3"/>
        <v>55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/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50">
        <v>0</v>
      </c>
      <c r="Z58" s="50">
        <v>0</v>
      </c>
      <c r="AA58" s="50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170</v>
      </c>
      <c r="C59" s="73">
        <v>160</v>
      </c>
      <c r="D59" s="73">
        <v>130</v>
      </c>
      <c r="E59" s="73">
        <v>123</v>
      </c>
      <c r="F59" s="73">
        <v>130</v>
      </c>
      <c r="G59" s="73">
        <v>230</v>
      </c>
      <c r="H59" s="50">
        <v>270</v>
      </c>
      <c r="I59" s="50">
        <v>276</v>
      </c>
      <c r="J59" s="50"/>
      <c r="K59" s="50">
        <v>112</v>
      </c>
      <c r="L59" s="50">
        <v>96</v>
      </c>
      <c r="M59" s="73">
        <v>75.599999999999994</v>
      </c>
      <c r="N59" s="73">
        <v>100.6</v>
      </c>
      <c r="O59" s="73">
        <v>324.89999999999998</v>
      </c>
      <c r="P59" s="73">
        <v>331.6</v>
      </c>
      <c r="Q59" s="73">
        <v>350</v>
      </c>
      <c r="R59" s="73">
        <v>337.9</v>
      </c>
      <c r="S59" s="73">
        <v>354.4</v>
      </c>
      <c r="T59" s="73">
        <v>345</v>
      </c>
      <c r="U59" s="73">
        <v>296</v>
      </c>
      <c r="V59" s="73">
        <v>60</v>
      </c>
      <c r="W59" s="73">
        <v>60</v>
      </c>
      <c r="X59" s="84">
        <v>3.8</v>
      </c>
      <c r="Y59" s="73">
        <v>11.9</v>
      </c>
      <c r="Z59" s="73">
        <v>0</v>
      </c>
      <c r="AA59" s="73">
        <v>0</v>
      </c>
      <c r="AB59" s="73">
        <v>243.7</v>
      </c>
      <c r="AC59" s="73">
        <v>241.9</v>
      </c>
      <c r="AD59" s="73">
        <v>250</v>
      </c>
      <c r="AE59" s="73">
        <v>294.10000000000002</v>
      </c>
      <c r="AF59" s="73">
        <v>249</v>
      </c>
      <c r="AG59" s="85"/>
      <c r="AH59" s="54">
        <f t="shared" si="2"/>
        <v>354.4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/>
      <c r="K60" s="58">
        <v>50</v>
      </c>
      <c r="L60" s="58">
        <v>50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42</v>
      </c>
      <c r="V60" s="73">
        <v>45</v>
      </c>
      <c r="W60" s="73">
        <v>44.7</v>
      </c>
      <c r="X60" s="73">
        <v>44.2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50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/>
      <c r="K61" s="58">
        <v>78</v>
      </c>
      <c r="L61" s="58">
        <v>70</v>
      </c>
      <c r="M61" s="50">
        <v>31.5</v>
      </c>
      <c r="N61" s="50">
        <v>63.9</v>
      </c>
      <c r="O61" s="50">
        <v>64.2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69.2</v>
      </c>
      <c r="X61" s="50">
        <v>72.400000000000006</v>
      </c>
      <c r="Y61" s="50">
        <v>83.1</v>
      </c>
      <c r="Z61" s="50">
        <v>79</v>
      </c>
      <c r="AA61" s="50">
        <v>79.2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83.1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10</v>
      </c>
      <c r="O66" s="63">
        <v>10</v>
      </c>
      <c r="P66" s="63">
        <v>10</v>
      </c>
      <c r="Q66" s="58">
        <v>10</v>
      </c>
      <c r="R66" s="63">
        <v>10</v>
      </c>
      <c r="S66" s="63">
        <v>10</v>
      </c>
      <c r="T66" s="63">
        <v>10</v>
      </c>
      <c r="U66" s="63">
        <v>10</v>
      </c>
      <c r="V66" s="63">
        <v>10</v>
      </c>
      <c r="W66" s="63">
        <v>10</v>
      </c>
      <c r="X66" s="63">
        <v>10</v>
      </c>
      <c r="Y66" s="63">
        <v>10</v>
      </c>
      <c r="Z66" s="63">
        <v>10</v>
      </c>
      <c r="AA66" s="63">
        <v>10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58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233</v>
      </c>
      <c r="C68" s="72">
        <f>SUM(C57:C67)</f>
        <v>221</v>
      </c>
      <c r="D68" s="72">
        <f t="shared" ref="D68:AF68" si="13">SUM(D57:D67)</f>
        <v>196.2</v>
      </c>
      <c r="E68" s="72">
        <f t="shared" si="13"/>
        <v>185</v>
      </c>
      <c r="F68" s="72">
        <f t="shared" si="13"/>
        <v>190</v>
      </c>
      <c r="G68" s="72">
        <f t="shared" si="13"/>
        <v>293.5</v>
      </c>
      <c r="H68" s="72">
        <f t="shared" si="13"/>
        <v>325</v>
      </c>
      <c r="I68" s="72">
        <f t="shared" si="13"/>
        <v>350</v>
      </c>
      <c r="J68" s="72">
        <f t="shared" si="13"/>
        <v>0</v>
      </c>
      <c r="K68" s="72">
        <f t="shared" si="13"/>
        <v>316</v>
      </c>
      <c r="L68" s="72">
        <f t="shared" si="13"/>
        <v>292</v>
      </c>
      <c r="M68" s="72">
        <f t="shared" si="13"/>
        <v>186.8</v>
      </c>
      <c r="N68" s="72">
        <f t="shared" si="13"/>
        <v>240.20000000000002</v>
      </c>
      <c r="O68" s="72">
        <f t="shared" si="13"/>
        <v>463.49999999999994</v>
      </c>
      <c r="P68" s="72">
        <f t="shared" si="13"/>
        <v>402.1</v>
      </c>
      <c r="Q68" s="72">
        <f t="shared" si="13"/>
        <v>428.7</v>
      </c>
      <c r="R68" s="72">
        <f t="shared" si="13"/>
        <v>415.09999999999997</v>
      </c>
      <c r="S68" s="72">
        <f t="shared" si="13"/>
        <v>426.2</v>
      </c>
      <c r="T68" s="72">
        <f t="shared" si="13"/>
        <v>429.7</v>
      </c>
      <c r="U68" s="72">
        <f t="shared" si="13"/>
        <v>422.1</v>
      </c>
      <c r="V68" s="72">
        <f t="shared" si="13"/>
        <v>185</v>
      </c>
      <c r="W68" s="72">
        <f t="shared" si="13"/>
        <v>258.96999999999997</v>
      </c>
      <c r="X68" s="72">
        <v>201.7</v>
      </c>
      <c r="Y68" s="72">
        <f t="shared" si="13"/>
        <v>177.1</v>
      </c>
      <c r="Z68" s="72">
        <f t="shared" si="13"/>
        <v>159.6</v>
      </c>
      <c r="AA68" s="72">
        <f t="shared" si="13"/>
        <v>149.19999999999999</v>
      </c>
      <c r="AB68" s="72">
        <f t="shared" si="13"/>
        <v>313.39999999999998</v>
      </c>
      <c r="AC68" s="72">
        <f t="shared" si="13"/>
        <v>316.3</v>
      </c>
      <c r="AD68" s="72">
        <f t="shared" si="13"/>
        <v>322.8</v>
      </c>
      <c r="AE68" s="72">
        <f t="shared" si="13"/>
        <v>358.70000000000005</v>
      </c>
      <c r="AF68" s="72">
        <f t="shared" si="13"/>
        <v>314.60000000000002</v>
      </c>
      <c r="AG68" s="78">
        <f>SUM(AG57:AG67)</f>
        <v>0</v>
      </c>
      <c r="AH68" s="54">
        <f t="shared" si="2"/>
        <v>463.49999999999994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927.04</v>
      </c>
      <c r="C73" s="89">
        <f>C68+C56+C52+C38+C72</f>
        <v>889.83999999999992</v>
      </c>
      <c r="D73" s="89">
        <f t="shared" ref="D73:AG73" si="17">D68+D56+D52+D38+D72</f>
        <v>882.93999999999994</v>
      </c>
      <c r="E73" s="89">
        <f t="shared" si="17"/>
        <v>871.74</v>
      </c>
      <c r="F73" s="89">
        <f t="shared" si="17"/>
        <v>881.74</v>
      </c>
      <c r="G73" s="89">
        <f t="shared" si="17"/>
        <v>955.93999999999994</v>
      </c>
      <c r="H73" s="89">
        <f t="shared" si="17"/>
        <v>987.43999999999994</v>
      </c>
      <c r="I73" s="89">
        <f t="shared" si="17"/>
        <v>1116.2399999999998</v>
      </c>
      <c r="J73" s="89">
        <f t="shared" si="17"/>
        <v>743.24</v>
      </c>
      <c r="K73" s="89">
        <f t="shared" si="17"/>
        <v>1375.2399999999998</v>
      </c>
      <c r="L73" s="89">
        <f t="shared" si="17"/>
        <v>1441.2399999999998</v>
      </c>
      <c r="M73" s="89">
        <f t="shared" si="17"/>
        <v>1468.8400000000001</v>
      </c>
      <c r="N73" s="89">
        <f t="shared" si="17"/>
        <v>1489.2400000000002</v>
      </c>
      <c r="O73" s="89">
        <f t="shared" si="17"/>
        <v>1382.4399999999998</v>
      </c>
      <c r="P73" s="89">
        <f t="shared" si="17"/>
        <v>1376.24</v>
      </c>
      <c r="Q73" s="89">
        <f t="shared" si="17"/>
        <v>1321.6399999999999</v>
      </c>
      <c r="R73" s="89">
        <f t="shared" si="17"/>
        <v>1249.2399999999998</v>
      </c>
      <c r="S73" s="89">
        <f t="shared" si="17"/>
        <v>1240.2399999999998</v>
      </c>
      <c r="T73" s="89">
        <f t="shared" si="17"/>
        <v>1279.54</v>
      </c>
      <c r="U73" s="89">
        <f t="shared" si="17"/>
        <v>1282.44</v>
      </c>
      <c r="V73" s="89">
        <f t="shared" si="17"/>
        <v>1364.94</v>
      </c>
      <c r="W73" s="89">
        <f t="shared" si="17"/>
        <v>1460.5099999999998</v>
      </c>
      <c r="X73" s="89">
        <v>1590.64</v>
      </c>
      <c r="Y73" s="89">
        <f t="shared" si="17"/>
        <v>1567.14</v>
      </c>
      <c r="Z73" s="89">
        <f t="shared" si="17"/>
        <v>1544.74</v>
      </c>
      <c r="AA73" s="89">
        <f t="shared" si="17"/>
        <v>1501.64</v>
      </c>
      <c r="AB73" s="89">
        <f t="shared" si="17"/>
        <v>1407.04</v>
      </c>
      <c r="AC73" s="89">
        <f t="shared" si="17"/>
        <v>1355.24</v>
      </c>
      <c r="AD73" s="89">
        <f t="shared" si="17"/>
        <v>1291.1400000000001</v>
      </c>
      <c r="AE73" s="89">
        <f t="shared" si="17"/>
        <v>1103.6400000000001</v>
      </c>
      <c r="AF73" s="89">
        <f t="shared" si="17"/>
        <v>961.24</v>
      </c>
      <c r="AG73" s="89">
        <f t="shared" si="17"/>
        <v>2144.14</v>
      </c>
      <c r="AH73" s="54">
        <f t="shared" si="2"/>
        <v>1590.64</v>
      </c>
      <c r="AI73" s="55">
        <f t="shared" si="3"/>
        <v>743.24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>
        <v>10</v>
      </c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10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927.04</v>
      </c>
      <c r="C75" s="89">
        <f>C73+C74</f>
        <v>889.83999999999992</v>
      </c>
      <c r="D75" s="89">
        <f t="shared" ref="D75:AF75" si="19">D72+D68+D56+D52+D38+D74</f>
        <v>882.93999999999994</v>
      </c>
      <c r="E75" s="89">
        <f t="shared" si="19"/>
        <v>871.74</v>
      </c>
      <c r="F75" s="89">
        <f t="shared" si="19"/>
        <v>881.74</v>
      </c>
      <c r="G75" s="89">
        <f t="shared" si="19"/>
        <v>955.93999999999994</v>
      </c>
      <c r="H75" s="89">
        <f t="shared" si="19"/>
        <v>987.43999999999994</v>
      </c>
      <c r="I75" s="89">
        <f t="shared" si="19"/>
        <v>1116.2399999999998</v>
      </c>
      <c r="J75" s="89">
        <f t="shared" si="19"/>
        <v>743.24</v>
      </c>
      <c r="K75" s="89">
        <f t="shared" si="19"/>
        <v>1375.2399999999998</v>
      </c>
      <c r="L75" s="89">
        <f t="shared" si="19"/>
        <v>1441.2399999999998</v>
      </c>
      <c r="M75" s="89">
        <f t="shared" si="19"/>
        <v>1468.8400000000001</v>
      </c>
      <c r="N75" s="89">
        <f t="shared" si="19"/>
        <v>1489.2400000000002</v>
      </c>
      <c r="O75" s="89">
        <f t="shared" si="19"/>
        <v>1382.4399999999998</v>
      </c>
      <c r="P75" s="89">
        <f t="shared" si="19"/>
        <v>1376.24</v>
      </c>
      <c r="Q75" s="89">
        <f t="shared" si="19"/>
        <v>1321.6399999999999</v>
      </c>
      <c r="R75" s="89">
        <f t="shared" si="19"/>
        <v>1249.2399999999998</v>
      </c>
      <c r="S75" s="89">
        <f t="shared" si="19"/>
        <v>1240.2399999999998</v>
      </c>
      <c r="T75" s="89">
        <f t="shared" si="19"/>
        <v>1279.54</v>
      </c>
      <c r="U75" s="89">
        <f t="shared" si="19"/>
        <v>1282.44</v>
      </c>
      <c r="V75" s="89">
        <f t="shared" si="19"/>
        <v>1364.94</v>
      </c>
      <c r="W75" s="89">
        <f t="shared" si="19"/>
        <v>1460.5099999999998</v>
      </c>
      <c r="X75" s="89">
        <v>1600.64</v>
      </c>
      <c r="Y75" s="89">
        <f t="shared" si="19"/>
        <v>1567.14</v>
      </c>
      <c r="Z75" s="89">
        <f t="shared" si="19"/>
        <v>1544.74</v>
      </c>
      <c r="AA75" s="89">
        <f t="shared" si="19"/>
        <v>1501.64</v>
      </c>
      <c r="AB75" s="89">
        <f t="shared" si="19"/>
        <v>1407.04</v>
      </c>
      <c r="AC75" s="89">
        <f t="shared" si="19"/>
        <v>1355.24</v>
      </c>
      <c r="AD75" s="89">
        <f t="shared" si="19"/>
        <v>1291.1400000000001</v>
      </c>
      <c r="AE75" s="89">
        <f t="shared" si="19"/>
        <v>1103.6400000000001</v>
      </c>
      <c r="AF75" s="89">
        <f t="shared" si="19"/>
        <v>961.24</v>
      </c>
      <c r="AG75" s="78">
        <f>AG72+AG68+AG56+AG52+AG38+AG74</f>
        <v>2144.14</v>
      </c>
      <c r="AH75" s="54">
        <f t="shared" si="2"/>
        <v>1600.64</v>
      </c>
      <c r="AI75" s="55">
        <f t="shared" si="3"/>
        <v>743.24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/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>
        <v>0</v>
      </c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1854.08</v>
      </c>
      <c r="C83" s="72">
        <f t="shared" ref="C83:AG83" si="35">SUM(C70:C82)</f>
        <v>1779.6799999999998</v>
      </c>
      <c r="D83" s="72">
        <f t="shared" si="35"/>
        <v>1765.8799999999999</v>
      </c>
      <c r="E83" s="72">
        <f t="shared" si="35"/>
        <v>1743.48</v>
      </c>
      <c r="F83" s="72">
        <f t="shared" si="35"/>
        <v>1763.48</v>
      </c>
      <c r="G83" s="72">
        <f t="shared" si="35"/>
        <v>1911.8799999999999</v>
      </c>
      <c r="H83" s="72">
        <f t="shared" si="35"/>
        <v>1974.8799999999999</v>
      </c>
      <c r="I83" s="72">
        <f t="shared" si="35"/>
        <v>2232.4799999999996</v>
      </c>
      <c r="J83" s="72">
        <f t="shared" si="35"/>
        <v>1486.48</v>
      </c>
      <c r="K83" s="72">
        <f t="shared" si="35"/>
        <v>2750.4799999999996</v>
      </c>
      <c r="L83" s="72">
        <f t="shared" si="35"/>
        <v>2882.4799999999996</v>
      </c>
      <c r="M83" s="72">
        <f t="shared" si="35"/>
        <v>2937.6800000000003</v>
      </c>
      <c r="N83" s="72">
        <f t="shared" si="35"/>
        <v>2978.4800000000005</v>
      </c>
      <c r="O83" s="72">
        <f t="shared" si="35"/>
        <v>2764.8799999999997</v>
      </c>
      <c r="P83" s="72">
        <f t="shared" si="35"/>
        <v>2752.48</v>
      </c>
      <c r="Q83" s="72">
        <f t="shared" si="35"/>
        <v>2643.2799999999997</v>
      </c>
      <c r="R83" s="72">
        <f t="shared" si="35"/>
        <v>2498.4799999999996</v>
      </c>
      <c r="S83" s="72">
        <f t="shared" si="35"/>
        <v>2480.4799999999996</v>
      </c>
      <c r="T83" s="72">
        <f t="shared" si="35"/>
        <v>2559.08</v>
      </c>
      <c r="U83" s="72">
        <f t="shared" si="35"/>
        <v>2564.88</v>
      </c>
      <c r="V83" s="72">
        <f t="shared" si="35"/>
        <v>2729.88</v>
      </c>
      <c r="W83" s="72">
        <f t="shared" si="35"/>
        <v>2921.0199999999995</v>
      </c>
      <c r="X83" s="72">
        <v>201.7</v>
      </c>
      <c r="Y83" s="72">
        <f t="shared" si="35"/>
        <v>3134.28</v>
      </c>
      <c r="Z83" s="72">
        <f t="shared" si="35"/>
        <v>3089.48</v>
      </c>
      <c r="AA83" s="72">
        <f t="shared" si="35"/>
        <v>3003.28</v>
      </c>
      <c r="AB83" s="72">
        <f t="shared" si="35"/>
        <v>2814.08</v>
      </c>
      <c r="AC83" s="72">
        <f t="shared" si="35"/>
        <v>2710.48</v>
      </c>
      <c r="AD83" s="72">
        <f t="shared" si="35"/>
        <v>2582.2800000000002</v>
      </c>
      <c r="AE83" s="72">
        <f t="shared" si="35"/>
        <v>2207.2800000000002</v>
      </c>
      <c r="AF83" s="72">
        <f t="shared" si="35"/>
        <v>1922.48</v>
      </c>
      <c r="AG83" s="78">
        <f t="shared" si="35"/>
        <v>4360.08</v>
      </c>
      <c r="AH83" s="54">
        <f t="shared" si="22"/>
        <v>3134.28</v>
      </c>
      <c r="AI83" s="55">
        <f t="shared" si="23"/>
        <v>201.7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50.04</v>
      </c>
      <c r="C84" s="95">
        <v>49.97</v>
      </c>
      <c r="D84" s="95">
        <v>50.04</v>
      </c>
      <c r="E84" s="95">
        <v>50.04</v>
      </c>
      <c r="F84" s="95">
        <v>50.064</v>
      </c>
      <c r="G84" s="95">
        <v>49.912999999999997</v>
      </c>
      <c r="H84" s="95">
        <v>49.966000000000001</v>
      </c>
      <c r="I84" s="95">
        <v>49.994999999999997</v>
      </c>
      <c r="J84" s="95"/>
      <c r="K84" s="95">
        <v>50.037999999999997</v>
      </c>
      <c r="L84" s="95">
        <v>49.892000000000003</v>
      </c>
      <c r="M84" s="95">
        <v>49.996000000000002</v>
      </c>
      <c r="N84" s="95">
        <v>49.923999999999999</v>
      </c>
      <c r="O84" s="95">
        <v>50.026000000000003</v>
      </c>
      <c r="P84" s="95">
        <v>50.045999999999999</v>
      </c>
      <c r="Q84" s="95">
        <v>49.893000000000001</v>
      </c>
      <c r="R84" s="95">
        <v>50.076000000000001</v>
      </c>
      <c r="S84" s="95">
        <v>50.106000000000002</v>
      </c>
      <c r="T84" s="95">
        <v>50.02</v>
      </c>
      <c r="U84" s="95">
        <v>49.97</v>
      </c>
      <c r="V84" s="95">
        <v>50.045999999999999</v>
      </c>
      <c r="W84" s="95">
        <v>49.95</v>
      </c>
      <c r="X84" s="95">
        <v>50.03</v>
      </c>
      <c r="Y84" s="95">
        <v>49.91</v>
      </c>
      <c r="Z84" s="95">
        <v>49.91</v>
      </c>
      <c r="AA84" s="95">
        <v>50.05</v>
      </c>
      <c r="AB84" s="95">
        <v>50.055</v>
      </c>
      <c r="AC84" s="95">
        <v>49.991999999999997</v>
      </c>
      <c r="AD84" s="95">
        <v>50.03</v>
      </c>
      <c r="AE84" s="95">
        <v>50.018999999999998</v>
      </c>
      <c r="AF84" s="95">
        <v>50.000999999999998</v>
      </c>
      <c r="AG84" s="96"/>
      <c r="AH84" s="54">
        <f t="shared" si="22"/>
        <v>50.106000000000002</v>
      </c>
      <c r="AI84" s="55">
        <f t="shared" si="23"/>
        <v>49.892000000000003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127.7</v>
      </c>
      <c r="C85" s="73">
        <v>126.7</v>
      </c>
      <c r="D85" s="73">
        <v>127.8</v>
      </c>
      <c r="E85" s="73">
        <v>127.8</v>
      </c>
      <c r="F85" s="73">
        <v>127.7</v>
      </c>
      <c r="G85" s="73">
        <v>127</v>
      </c>
      <c r="H85" s="73">
        <v>126</v>
      </c>
      <c r="I85" s="73">
        <v>125</v>
      </c>
      <c r="J85" s="73"/>
      <c r="K85" s="73">
        <v>124.7</v>
      </c>
      <c r="L85" s="73">
        <v>124.9</v>
      </c>
      <c r="M85" s="73">
        <v>125.1</v>
      </c>
      <c r="N85" s="73">
        <v>123.7</v>
      </c>
      <c r="O85" s="73">
        <v>124.3</v>
      </c>
      <c r="P85" s="73">
        <v>122.6</v>
      </c>
      <c r="Q85" s="73">
        <v>123</v>
      </c>
      <c r="R85" s="73">
        <v>123.4</v>
      </c>
      <c r="S85" s="73">
        <v>122.9</v>
      </c>
      <c r="T85" s="73">
        <v>121.7</v>
      </c>
      <c r="U85" s="73">
        <v>122.5</v>
      </c>
      <c r="V85" s="98">
        <v>123</v>
      </c>
      <c r="W85" s="98">
        <v>125.4</v>
      </c>
      <c r="X85" s="98">
        <v>124.6</v>
      </c>
      <c r="Y85" s="98">
        <v>124.2</v>
      </c>
      <c r="Z85" s="98">
        <v>125.6</v>
      </c>
      <c r="AA85" s="98">
        <v>126.7</v>
      </c>
      <c r="AB85" s="73">
        <v>124.7</v>
      </c>
      <c r="AC85" s="73">
        <v>125.2</v>
      </c>
      <c r="AD85" s="73">
        <v>127.3</v>
      </c>
      <c r="AE85" s="73">
        <v>125.3</v>
      </c>
      <c r="AF85" s="73">
        <v>126.4</v>
      </c>
      <c r="AG85" s="99"/>
      <c r="AH85" s="54">
        <f t="shared" si="22"/>
        <v>127.8</v>
      </c>
      <c r="AI85" s="55">
        <f t="shared" si="23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130.4</v>
      </c>
      <c r="C86" s="73">
        <v>129.69999999999999</v>
      </c>
      <c r="D86" s="73">
        <v>130.69999999999999</v>
      </c>
      <c r="E86" s="73">
        <v>130.69999999999999</v>
      </c>
      <c r="F86" s="73">
        <v>130.69999999999999</v>
      </c>
      <c r="G86" s="73">
        <v>129.9</v>
      </c>
      <c r="H86" s="73">
        <v>128.9</v>
      </c>
      <c r="I86" s="73">
        <v>127</v>
      </c>
      <c r="J86" s="73"/>
      <c r="K86" s="73">
        <v>126.3</v>
      </c>
      <c r="L86" s="73">
        <v>126</v>
      </c>
      <c r="M86" s="73">
        <v>126.3</v>
      </c>
      <c r="N86" s="73">
        <v>125.1</v>
      </c>
      <c r="O86" s="73">
        <v>126.1</v>
      </c>
      <c r="P86" s="73">
        <v>125</v>
      </c>
      <c r="Q86" s="73">
        <v>124.9</v>
      </c>
      <c r="R86" s="73">
        <v>125.8</v>
      </c>
      <c r="S86" s="73">
        <v>125.6</v>
      </c>
      <c r="T86" s="73">
        <v>124.4</v>
      </c>
      <c r="U86" s="73">
        <v>125.8</v>
      </c>
      <c r="V86" s="98">
        <v>125</v>
      </c>
      <c r="W86" s="98">
        <v>126.8</v>
      </c>
      <c r="X86" s="98">
        <v>125.8</v>
      </c>
      <c r="Y86" s="98">
        <v>125.6</v>
      </c>
      <c r="Z86" s="98">
        <v>126.6</v>
      </c>
      <c r="AA86" s="98">
        <v>127.7</v>
      </c>
      <c r="AB86" s="73">
        <v>126.9</v>
      </c>
      <c r="AC86" s="73">
        <v>127.2</v>
      </c>
      <c r="AD86" s="73">
        <v>129.30000000000001</v>
      </c>
      <c r="AE86" s="73">
        <v>128.69999999999999</v>
      </c>
      <c r="AF86" s="73">
        <v>130.19999999999999</v>
      </c>
      <c r="AG86" s="99"/>
      <c r="AH86" s="54">
        <f t="shared" si="22"/>
        <v>130.69999999999999</v>
      </c>
      <c r="AI86" s="55">
        <f t="shared" si="23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129.5</v>
      </c>
      <c r="C87" s="73">
        <v>129.1</v>
      </c>
      <c r="D87" s="73">
        <v>129.5</v>
      </c>
      <c r="E87" s="73">
        <v>129.5</v>
      </c>
      <c r="F87" s="73">
        <v>131.1</v>
      </c>
      <c r="G87" s="73">
        <v>131.30000000000001</v>
      </c>
      <c r="H87" s="73">
        <v>129</v>
      </c>
      <c r="I87" s="73">
        <v>128.5</v>
      </c>
      <c r="J87" s="73"/>
      <c r="K87" s="73">
        <v>128.19999999999999</v>
      </c>
      <c r="L87" s="73">
        <v>128.69999999999999</v>
      </c>
      <c r="M87" s="73">
        <v>124.8</v>
      </c>
      <c r="N87" s="73">
        <v>125.9</v>
      </c>
      <c r="O87" s="73">
        <v>127.9</v>
      </c>
      <c r="P87" s="73">
        <v>128.80000000000001</v>
      </c>
      <c r="Q87" s="73">
        <v>129.80000000000001</v>
      </c>
      <c r="R87" s="73">
        <v>127.2</v>
      </c>
      <c r="S87" s="73">
        <v>126.4</v>
      </c>
      <c r="T87" s="73">
        <v>127.4</v>
      </c>
      <c r="U87" s="73">
        <v>126.4</v>
      </c>
      <c r="V87" s="73">
        <v>129</v>
      </c>
      <c r="W87" s="73">
        <v>128.30000000000001</v>
      </c>
      <c r="X87" s="98">
        <v>125.1</v>
      </c>
      <c r="Y87" s="98">
        <v>127.8</v>
      </c>
      <c r="Z87" s="98">
        <v>130.9</v>
      </c>
      <c r="AA87" s="98">
        <v>130.1</v>
      </c>
      <c r="AB87" s="73">
        <v>130.6</v>
      </c>
      <c r="AC87" s="73">
        <v>130.69999999999999</v>
      </c>
      <c r="AD87" s="73">
        <v>132</v>
      </c>
      <c r="AE87" s="73">
        <v>129.69999999999999</v>
      </c>
      <c r="AF87" s="73">
        <v>131</v>
      </c>
      <c r="AG87" s="99"/>
      <c r="AH87" s="54">
        <f t="shared" si="22"/>
        <v>132</v>
      </c>
      <c r="AI87" s="55">
        <f t="shared" si="23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133.5</v>
      </c>
      <c r="C88" s="73">
        <v>133.19999999999999</v>
      </c>
      <c r="D88" s="73">
        <v>134</v>
      </c>
      <c r="E88" s="73">
        <v>134</v>
      </c>
      <c r="F88" s="73">
        <v>135</v>
      </c>
      <c r="G88" s="73">
        <v>134.69999999999999</v>
      </c>
      <c r="H88" s="73">
        <v>132.80000000000001</v>
      </c>
      <c r="I88" s="73">
        <v>132.1</v>
      </c>
      <c r="J88" s="73"/>
      <c r="K88" s="73">
        <v>131.80000000000001</v>
      </c>
      <c r="L88" s="73">
        <v>131.4</v>
      </c>
      <c r="M88" s="73">
        <v>129.5</v>
      </c>
      <c r="N88" s="73">
        <v>130.69999999999999</v>
      </c>
      <c r="O88" s="73">
        <v>132.80000000000001</v>
      </c>
      <c r="P88" s="73">
        <v>133.69999999999999</v>
      </c>
      <c r="Q88" s="73">
        <v>134.80000000000001</v>
      </c>
      <c r="R88" s="73">
        <v>132.1</v>
      </c>
      <c r="S88" s="73">
        <v>130</v>
      </c>
      <c r="T88" s="73">
        <v>131.1</v>
      </c>
      <c r="U88" s="73">
        <v>130</v>
      </c>
      <c r="V88" s="73">
        <v>133</v>
      </c>
      <c r="W88" s="73">
        <v>134.19999999999999</v>
      </c>
      <c r="X88" s="98">
        <v>129.9</v>
      </c>
      <c r="Y88" s="98">
        <v>133.1</v>
      </c>
      <c r="Z88" s="98">
        <v>136</v>
      </c>
      <c r="AA88" s="98">
        <v>134.1</v>
      </c>
      <c r="AB88" s="73">
        <v>133.1</v>
      </c>
      <c r="AC88" s="73">
        <v>133.5</v>
      </c>
      <c r="AD88" s="73">
        <v>134.6</v>
      </c>
      <c r="AE88" s="73">
        <v>133.9</v>
      </c>
      <c r="AF88" s="73">
        <v>134.69999999999999</v>
      </c>
      <c r="AG88" s="99"/>
      <c r="AH88" s="54">
        <f t="shared" si="22"/>
        <v>136</v>
      </c>
      <c r="AI88" s="55">
        <f t="shared" si="23"/>
        <v>129.5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129.4</v>
      </c>
      <c r="C89" s="101">
        <v>131.4</v>
      </c>
      <c r="D89" s="101">
        <v>133.5</v>
      </c>
      <c r="E89" s="101">
        <v>133.5</v>
      </c>
      <c r="F89" s="101">
        <v>134.1</v>
      </c>
      <c r="G89" s="101">
        <v>132.80000000000001</v>
      </c>
      <c r="H89" s="101">
        <v>132.69999999999999</v>
      </c>
      <c r="I89" s="101">
        <v>135.1</v>
      </c>
      <c r="J89" s="101"/>
      <c r="K89" s="101">
        <v>133.1</v>
      </c>
      <c r="L89" s="101">
        <v>131.5</v>
      </c>
      <c r="M89" s="101">
        <v>132.4</v>
      </c>
      <c r="N89" s="101">
        <v>130.80000000000001</v>
      </c>
      <c r="O89" s="101">
        <v>132.5</v>
      </c>
      <c r="P89" s="101">
        <v>133.69999999999999</v>
      </c>
      <c r="Q89" s="101">
        <v>133.30000000000001</v>
      </c>
      <c r="R89" s="101">
        <v>133.5</v>
      </c>
      <c r="S89" s="101">
        <v>132.9</v>
      </c>
      <c r="T89" s="101">
        <v>133.4</v>
      </c>
      <c r="U89" s="101">
        <v>133.80000000000001</v>
      </c>
      <c r="V89" s="101">
        <v>134</v>
      </c>
      <c r="W89" s="101">
        <v>136</v>
      </c>
      <c r="X89" s="98">
        <v>134.6</v>
      </c>
      <c r="Y89" s="98">
        <v>135.5</v>
      </c>
      <c r="Z89" s="98">
        <v>135.69999999999999</v>
      </c>
      <c r="AA89" s="98">
        <v>136.69999999999999</v>
      </c>
      <c r="AB89" s="101">
        <v>134.80000000000001</v>
      </c>
      <c r="AC89" s="101">
        <v>135.1</v>
      </c>
      <c r="AD89" s="101">
        <v>134.5</v>
      </c>
      <c r="AE89" s="101">
        <v>133.9</v>
      </c>
      <c r="AF89" s="101">
        <v>131.19999999999999</v>
      </c>
      <c r="AG89" s="102"/>
      <c r="AH89" s="54">
        <f t="shared" si="22"/>
        <v>136.69999999999999</v>
      </c>
      <c r="AI89" s="55">
        <f t="shared" si="23"/>
        <v>129.4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36.200000000000003</v>
      </c>
      <c r="C90" s="73">
        <v>136.1</v>
      </c>
      <c r="D90" s="73">
        <v>129.9</v>
      </c>
      <c r="E90" s="73">
        <v>129.9</v>
      </c>
      <c r="F90" s="73">
        <v>129.4</v>
      </c>
      <c r="G90" s="73">
        <v>126.8</v>
      </c>
      <c r="H90" s="73">
        <v>133.6</v>
      </c>
      <c r="I90" s="73">
        <v>129.6</v>
      </c>
      <c r="J90" s="73"/>
      <c r="K90" s="73">
        <v>130.80000000000001</v>
      </c>
      <c r="L90" s="73">
        <v>131.69999999999999</v>
      </c>
      <c r="M90" s="73">
        <v>128.6</v>
      </c>
      <c r="N90" s="73">
        <v>128.6</v>
      </c>
      <c r="O90" s="73">
        <v>129.5</v>
      </c>
      <c r="P90" s="73">
        <v>131.4</v>
      </c>
      <c r="Q90" s="73">
        <v>133.19999999999999</v>
      </c>
      <c r="R90" s="73">
        <v>133.69999999999999</v>
      </c>
      <c r="S90" s="73">
        <v>135.4</v>
      </c>
      <c r="T90" s="73">
        <v>131.19999999999999</v>
      </c>
      <c r="U90" s="73">
        <v>132.30000000000001</v>
      </c>
      <c r="V90" s="73">
        <v>132</v>
      </c>
      <c r="W90" s="73">
        <v>132</v>
      </c>
      <c r="X90" s="98">
        <v>132.1</v>
      </c>
      <c r="Y90" s="98">
        <v>131.69999999999999</v>
      </c>
      <c r="Z90" s="98">
        <v>134.19999999999999</v>
      </c>
      <c r="AA90" s="98">
        <v>133.9</v>
      </c>
      <c r="AB90" s="73">
        <v>133.1</v>
      </c>
      <c r="AC90" s="73">
        <v>131.19999999999999</v>
      </c>
      <c r="AD90" s="73">
        <v>131.4</v>
      </c>
      <c r="AE90" s="73">
        <v>137.69999999999999</v>
      </c>
      <c r="AF90" s="73">
        <v>135.80000000000001</v>
      </c>
      <c r="AG90" s="99"/>
      <c r="AH90" s="54">
        <f t="shared" si="22"/>
        <v>137.69999999999999</v>
      </c>
      <c r="AI90" s="55">
        <f t="shared" si="23"/>
        <v>36.200000000000003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65.599999999999994</v>
      </c>
      <c r="C91" s="103">
        <v>65.7</v>
      </c>
      <c r="D91" s="103">
        <v>66</v>
      </c>
      <c r="E91" s="103">
        <v>66</v>
      </c>
      <c r="F91" s="103">
        <v>66</v>
      </c>
      <c r="G91" s="103">
        <v>65.5</v>
      </c>
      <c r="H91" s="103">
        <v>65</v>
      </c>
      <c r="I91" s="103">
        <v>64</v>
      </c>
      <c r="J91" s="103"/>
      <c r="K91" s="103">
        <v>64</v>
      </c>
      <c r="L91" s="103">
        <v>63.8</v>
      </c>
      <c r="M91" s="103">
        <v>63.6</v>
      </c>
      <c r="N91" s="103">
        <v>63.4</v>
      </c>
      <c r="O91" s="103">
        <v>63.4</v>
      </c>
      <c r="P91" s="103">
        <v>63.1</v>
      </c>
      <c r="Q91" s="103">
        <v>63.1</v>
      </c>
      <c r="R91" s="103">
        <v>63.6</v>
      </c>
      <c r="S91" s="103">
        <v>63.4</v>
      </c>
      <c r="T91" s="103">
        <v>63.2</v>
      </c>
      <c r="U91" s="103">
        <v>63.3</v>
      </c>
      <c r="V91" s="103">
        <v>63.3</v>
      </c>
      <c r="W91" s="103">
        <v>64.099999999999994</v>
      </c>
      <c r="X91" s="103">
        <v>63.6</v>
      </c>
      <c r="Y91" s="103">
        <v>63.4</v>
      </c>
      <c r="Z91" s="103">
        <v>64.099999999999994</v>
      </c>
      <c r="AA91" s="103">
        <v>64.5</v>
      </c>
      <c r="AB91" s="103">
        <v>64.7</v>
      </c>
      <c r="AC91" s="103">
        <v>64.7</v>
      </c>
      <c r="AD91" s="103">
        <v>66</v>
      </c>
      <c r="AE91" s="103">
        <v>65.2</v>
      </c>
      <c r="AF91" s="103">
        <v>65.900000000000006</v>
      </c>
      <c r="AG91" s="104"/>
      <c r="AH91" s="54">
        <f t="shared" si="22"/>
        <v>66</v>
      </c>
      <c r="AI91" s="55">
        <f t="shared" si="23"/>
        <v>63.1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200.34</v>
      </c>
      <c r="C93" s="110">
        <f>SUM(C15,C18,C21:C22,C42,C44:C45,C47,C49,C94:C97,C102,C108,C114,C123,C125,C137,C144,C147:C148,C155,C157,C159,C163:C165,C167:C169,C174,C180:C181,C183:C185,C193,C198)</f>
        <v>182.23999999999995</v>
      </c>
      <c r="D93" s="110">
        <f t="shared" ref="D93:AF93" si="37">SUM(D15,D18,D21:D22,D42,D44:D45,D47,D49,D94:D97,D102,D108,D114,D123,D125,D137,D144,D147:D148,D155,D157,D159,D163:D165,D167:D169,D174,D180:D181,D183:D185,D193,D198)</f>
        <v>175.93999999999997</v>
      </c>
      <c r="E93" s="110">
        <f t="shared" si="37"/>
        <v>177.63999999999996</v>
      </c>
      <c r="F93" s="110">
        <f t="shared" si="37"/>
        <v>178.93999999999997</v>
      </c>
      <c r="G93" s="109">
        <f t="shared" si="37"/>
        <v>200.13999999999996</v>
      </c>
      <c r="H93" s="109">
        <f t="shared" si="37"/>
        <v>226.13999999999996</v>
      </c>
      <c r="I93" s="109">
        <f t="shared" si="37"/>
        <v>273.64</v>
      </c>
      <c r="J93" s="109">
        <f t="shared" si="37"/>
        <v>264.14</v>
      </c>
      <c r="K93" s="109">
        <f t="shared" si="37"/>
        <v>383.14</v>
      </c>
      <c r="L93" s="109">
        <f t="shared" si="37"/>
        <v>422.14</v>
      </c>
      <c r="M93" s="109">
        <f t="shared" si="37"/>
        <v>442.24</v>
      </c>
      <c r="N93" s="109">
        <f t="shared" si="37"/>
        <v>429.14</v>
      </c>
      <c r="O93" s="109">
        <f t="shared" si="37"/>
        <v>401.54</v>
      </c>
      <c r="P93" s="109">
        <f t="shared" si="37"/>
        <v>410.24</v>
      </c>
      <c r="Q93" s="109">
        <f t="shared" si="37"/>
        <v>403.94</v>
      </c>
      <c r="R93" s="109">
        <f t="shared" si="37"/>
        <v>358.84</v>
      </c>
      <c r="S93" s="109">
        <f t="shared" si="37"/>
        <v>361.14000000000004</v>
      </c>
      <c r="T93" s="109">
        <f t="shared" si="37"/>
        <v>378.84000000000003</v>
      </c>
      <c r="U93" s="109">
        <f t="shared" si="37"/>
        <v>366.44000000000005</v>
      </c>
      <c r="V93" s="109">
        <f t="shared" si="37"/>
        <v>400.14000000000004</v>
      </c>
      <c r="W93" s="109">
        <f t="shared" si="37"/>
        <v>426.24</v>
      </c>
      <c r="X93" s="109">
        <f t="shared" si="37"/>
        <v>446.14</v>
      </c>
      <c r="Y93" s="109">
        <f t="shared" si="37"/>
        <v>488.34000000000003</v>
      </c>
      <c r="Z93" s="109">
        <f t="shared" si="37"/>
        <v>483.74</v>
      </c>
      <c r="AA93" s="109">
        <f t="shared" si="37"/>
        <v>476.14</v>
      </c>
      <c r="AB93" s="109">
        <f t="shared" si="37"/>
        <v>453.04</v>
      </c>
      <c r="AC93" s="109">
        <f t="shared" si="37"/>
        <v>439.84000000000003</v>
      </c>
      <c r="AD93" s="109">
        <f t="shared" si="37"/>
        <v>417.24</v>
      </c>
      <c r="AE93" s="109">
        <f t="shared" si="37"/>
        <v>319.24000000000007</v>
      </c>
      <c r="AF93" s="109">
        <f t="shared" si="37"/>
        <v>234.43999999999997</v>
      </c>
      <c r="AG93" s="111"/>
      <c r="AH93" s="54">
        <f>MAX(C93:AF93)</f>
        <v>488.34000000000003</v>
      </c>
      <c r="AI93" s="55">
        <f>MIN(C93:AF93)</f>
        <v>175.93999999999997</v>
      </c>
    </row>
    <row r="94" spans="1:88" x14ac:dyDescent="0.25">
      <c r="A94" s="112" t="s">
        <v>98</v>
      </c>
      <c r="B94" s="113">
        <v>22.4</v>
      </c>
      <c r="C94" s="58">
        <v>21</v>
      </c>
      <c r="D94" s="58">
        <v>22.8</v>
      </c>
      <c r="E94" s="58">
        <v>24</v>
      </c>
      <c r="F94" s="58">
        <v>25</v>
      </c>
      <c r="G94" s="114">
        <v>9</v>
      </c>
      <c r="H94" s="114">
        <v>6</v>
      </c>
      <c r="I94" s="114">
        <v>35</v>
      </c>
      <c r="J94" s="114">
        <v>75</v>
      </c>
      <c r="K94" s="114">
        <v>88</v>
      </c>
      <c r="L94" s="114">
        <v>84</v>
      </c>
      <c r="M94" s="113">
        <v>55.6</v>
      </c>
      <c r="N94" s="114">
        <v>38</v>
      </c>
      <c r="O94" s="114">
        <v>39.6</v>
      </c>
      <c r="P94" s="114">
        <v>57.5</v>
      </c>
      <c r="Q94" s="114">
        <v>60.3</v>
      </c>
      <c r="R94" s="114">
        <v>43.8</v>
      </c>
      <c r="S94" s="114">
        <v>49.7</v>
      </c>
      <c r="T94" s="114">
        <v>70</v>
      </c>
      <c r="U94" s="114">
        <v>71</v>
      </c>
      <c r="V94" s="113">
        <v>67.5</v>
      </c>
      <c r="W94" s="113">
        <v>64.099999999999994</v>
      </c>
      <c r="X94" s="113">
        <v>65.099999999999994</v>
      </c>
      <c r="Y94" s="114">
        <v>62.2</v>
      </c>
      <c r="Z94" s="114">
        <v>64.8</v>
      </c>
      <c r="AA94" s="114">
        <v>68.3</v>
      </c>
      <c r="AB94" s="113">
        <v>85.5</v>
      </c>
      <c r="AC94" s="113">
        <v>76.099999999999994</v>
      </c>
      <c r="AD94" s="113">
        <v>63.4</v>
      </c>
      <c r="AE94" s="113">
        <v>37.9</v>
      </c>
      <c r="AF94" s="113">
        <v>19</v>
      </c>
      <c r="AG94" s="115">
        <v>75</v>
      </c>
      <c r="AH94" s="54">
        <f t="shared" ref="AH94:AH99" si="38">IF(ABS(MAX(C94:AF94))&gt;ABS(MIN(C94:AF94)),MAX(C94:AF94),MIN(C94:AF94))</f>
        <v>88</v>
      </c>
      <c r="AI94" s="116">
        <f t="shared" ref="AI94:AI99" si="39">INDEX($C$9:$AF$9,1,MATCH(AH94,C94:AF94,0))</f>
        <v>0.29166666666666669</v>
      </c>
    </row>
    <row r="95" spans="1:88" x14ac:dyDescent="0.25">
      <c r="A95" s="117" t="s">
        <v>99</v>
      </c>
      <c r="B95" s="73">
        <f>-23.1-25.7</f>
        <v>-48.8</v>
      </c>
      <c r="C95" s="60">
        <f>-26-29</f>
        <v>-55</v>
      </c>
      <c r="D95" s="60">
        <f>-28.8-32</f>
        <v>-60.8</v>
      </c>
      <c r="E95" s="60">
        <v>-61</v>
      </c>
      <c r="F95" s="60">
        <v>-61</v>
      </c>
      <c r="G95" s="60">
        <v>-35</v>
      </c>
      <c r="H95" s="60">
        <v>-20</v>
      </c>
      <c r="I95" s="60">
        <v>-35</v>
      </c>
      <c r="J95" s="60"/>
      <c r="K95" s="60">
        <v>22</v>
      </c>
      <c r="L95" s="60">
        <v>50</v>
      </c>
      <c r="M95" s="60">
        <v>37.700000000000003</v>
      </c>
      <c r="N95" s="60">
        <v>54.6</v>
      </c>
      <c r="O95" s="60">
        <v>33.700000000000003</v>
      </c>
      <c r="P95" s="60">
        <v>17.899999999999999</v>
      </c>
      <c r="Q95" s="60">
        <v>25.6</v>
      </c>
      <c r="R95" s="60">
        <v>5.2</v>
      </c>
      <c r="S95" s="60">
        <v>7.7</v>
      </c>
      <c r="T95" s="60">
        <f>4.3+5.2</f>
        <v>9.5</v>
      </c>
      <c r="U95" s="60">
        <v>0.2</v>
      </c>
      <c r="V95" s="60">
        <v>11.5</v>
      </c>
      <c r="W95" s="60">
        <f>21.2+18.5</f>
        <v>39.700000000000003</v>
      </c>
      <c r="X95" s="60">
        <v>38</v>
      </c>
      <c r="Y95" s="60">
        <f>39+36.7</f>
        <v>75.7</v>
      </c>
      <c r="Z95" s="60">
        <f>40+37.3</f>
        <v>77.3</v>
      </c>
      <c r="AA95" s="60">
        <f>34.3+31.9</f>
        <v>66.199999999999989</v>
      </c>
      <c r="AB95" s="73">
        <v>52</v>
      </c>
      <c r="AC95" s="73">
        <v>30.9</v>
      </c>
      <c r="AD95" s="73">
        <v>26.5</v>
      </c>
      <c r="AE95" s="73">
        <v>-8.9</v>
      </c>
      <c r="AF95" s="73">
        <v>-37</v>
      </c>
      <c r="AG95" s="115">
        <v>240</v>
      </c>
      <c r="AH95" s="54">
        <f t="shared" si="38"/>
        <v>77.3</v>
      </c>
      <c r="AI95" s="116">
        <f t="shared" si="39"/>
        <v>0.79166666666666663</v>
      </c>
    </row>
    <row r="96" spans="1:88" x14ac:dyDescent="0.25">
      <c r="A96" s="117" t="s">
        <v>100</v>
      </c>
      <c r="B96" s="73">
        <v>13.9</v>
      </c>
      <c r="C96" s="60">
        <v>13.4</v>
      </c>
      <c r="D96" s="60">
        <v>13.6</v>
      </c>
      <c r="E96" s="60">
        <v>13.5</v>
      </c>
      <c r="F96" s="60">
        <v>13.3</v>
      </c>
      <c r="G96" s="60">
        <v>13</v>
      </c>
      <c r="H96" s="60">
        <v>13</v>
      </c>
      <c r="I96" s="60">
        <v>12</v>
      </c>
      <c r="J96" s="60"/>
      <c r="K96" s="60">
        <v>22</v>
      </c>
      <c r="L96" s="60">
        <v>26</v>
      </c>
      <c r="M96" s="60">
        <v>54.8</v>
      </c>
      <c r="N96" s="60">
        <v>54.4</v>
      </c>
      <c r="O96" s="60">
        <v>39.5</v>
      </c>
      <c r="P96" s="60">
        <v>49.7</v>
      </c>
      <c r="Q96" s="60">
        <v>23.9</v>
      </c>
      <c r="R96" s="60">
        <v>20.2</v>
      </c>
      <c r="S96" s="60">
        <v>9.1999999999999993</v>
      </c>
      <c r="T96" s="60">
        <v>13.8</v>
      </c>
      <c r="U96" s="60">
        <v>9.4</v>
      </c>
      <c r="V96" s="60">
        <v>22.9</v>
      </c>
      <c r="W96" s="60">
        <v>51.8</v>
      </c>
      <c r="X96" s="60">
        <v>52.5</v>
      </c>
      <c r="Y96" s="60">
        <v>61.9</v>
      </c>
      <c r="Z96" s="60">
        <v>57.9</v>
      </c>
      <c r="AA96" s="60">
        <v>59.4</v>
      </c>
      <c r="AB96" s="73">
        <v>45.3</v>
      </c>
      <c r="AC96" s="73">
        <v>39.200000000000003</v>
      </c>
      <c r="AD96" s="73">
        <v>39.700000000000003</v>
      </c>
      <c r="AE96" s="73">
        <v>11.3</v>
      </c>
      <c r="AF96" s="73">
        <v>-1.6</v>
      </c>
      <c r="AG96" s="115">
        <v>60</v>
      </c>
      <c r="AH96" s="54">
        <f t="shared" si="38"/>
        <v>61.9</v>
      </c>
      <c r="AI96" s="116">
        <f t="shared" si="39"/>
        <v>0.77083333333333337</v>
      </c>
    </row>
    <row r="97" spans="1:37" x14ac:dyDescent="0.25">
      <c r="A97" s="118" t="s">
        <v>101</v>
      </c>
      <c r="B97" s="119">
        <v>22</v>
      </c>
      <c r="C97" s="63">
        <v>13.2</v>
      </c>
      <c r="D97" s="63">
        <v>11.2</v>
      </c>
      <c r="E97" s="63">
        <v>12</v>
      </c>
      <c r="F97" s="63">
        <v>12.5</v>
      </c>
      <c r="G97" s="63">
        <v>24</v>
      </c>
      <c r="H97" s="63">
        <v>38</v>
      </c>
      <c r="I97" s="63">
        <v>72.5</v>
      </c>
      <c r="J97" s="63"/>
      <c r="K97" s="63">
        <v>62</v>
      </c>
      <c r="L97" s="63">
        <v>73</v>
      </c>
      <c r="M97" s="63">
        <v>104.7</v>
      </c>
      <c r="N97" s="63">
        <v>92.7</v>
      </c>
      <c r="O97" s="63">
        <v>99.3</v>
      </c>
      <c r="P97" s="63">
        <v>95.7</v>
      </c>
      <c r="Q97" s="63">
        <v>104.7</v>
      </c>
      <c r="R97" s="63">
        <v>100.2</v>
      </c>
      <c r="S97" s="63">
        <v>105.3</v>
      </c>
      <c r="T97" s="63">
        <v>96.3</v>
      </c>
      <c r="U97" s="63">
        <v>96.6</v>
      </c>
      <c r="V97" s="63">
        <v>109</v>
      </c>
      <c r="W97" s="63">
        <v>81.400000000000006</v>
      </c>
      <c r="X97" s="63">
        <v>101</v>
      </c>
      <c r="Y97" s="63">
        <v>99.3</v>
      </c>
      <c r="Z97" s="63">
        <v>94.5</v>
      </c>
      <c r="AA97" s="63">
        <v>93</v>
      </c>
      <c r="AB97" s="119">
        <v>81</v>
      </c>
      <c r="AC97" s="119">
        <v>104.4</v>
      </c>
      <c r="AD97" s="119">
        <v>98.4</v>
      </c>
      <c r="AE97" s="119">
        <v>89.7</v>
      </c>
      <c r="AF97" s="119">
        <v>64.599999999999994</v>
      </c>
      <c r="AG97" s="120">
        <v>120</v>
      </c>
      <c r="AH97" s="54">
        <f t="shared" si="38"/>
        <v>109</v>
      </c>
      <c r="AI97" s="116">
        <f t="shared" si="39"/>
        <v>0.70833333333333304</v>
      </c>
    </row>
    <row r="98" spans="1:37" x14ac:dyDescent="0.25">
      <c r="A98" s="118" t="s">
        <v>102</v>
      </c>
      <c r="B98" s="119">
        <v>65.5</v>
      </c>
      <c r="C98" s="63">
        <v>63.2</v>
      </c>
      <c r="D98" s="63">
        <v>53.4</v>
      </c>
      <c r="E98" s="63">
        <v>51</v>
      </c>
      <c r="F98" s="63">
        <v>48</v>
      </c>
      <c r="G98" s="63">
        <v>78</v>
      </c>
      <c r="H98" s="63">
        <v>94</v>
      </c>
      <c r="I98" s="63">
        <v>77</v>
      </c>
      <c r="J98" s="63"/>
      <c r="K98" s="63">
        <v>40</v>
      </c>
      <c r="L98" s="63">
        <v>55</v>
      </c>
      <c r="M98" s="63">
        <v>63.6</v>
      </c>
      <c r="N98" s="63">
        <v>95.3</v>
      </c>
      <c r="O98" s="63">
        <v>79.7</v>
      </c>
      <c r="P98" s="63">
        <v>90.1</v>
      </c>
      <c r="Q98" s="63">
        <v>96</v>
      </c>
      <c r="R98" s="63">
        <v>93.7</v>
      </c>
      <c r="S98" s="63">
        <v>97.3</v>
      </c>
      <c r="T98" s="63">
        <v>89.1</v>
      </c>
      <c r="U98" s="63">
        <v>89.9</v>
      </c>
      <c r="V98" s="63">
        <v>81</v>
      </c>
      <c r="W98" s="63">
        <v>49.8</v>
      </c>
      <c r="X98" s="63">
        <v>87</v>
      </c>
      <c r="Y98" s="63">
        <v>87.9</v>
      </c>
      <c r="Z98" s="63">
        <v>82.5</v>
      </c>
      <c r="AA98" s="63">
        <v>75.2</v>
      </c>
      <c r="AB98" s="119">
        <v>97.2</v>
      </c>
      <c r="AC98" s="119">
        <v>86.7</v>
      </c>
      <c r="AD98" s="119">
        <v>82</v>
      </c>
      <c r="AE98" s="119">
        <v>88.8</v>
      </c>
      <c r="AF98" s="119">
        <v>72.900000000000006</v>
      </c>
      <c r="AG98" s="120"/>
      <c r="AH98" s="54">
        <f t="shared" si="38"/>
        <v>97.3</v>
      </c>
      <c r="AI98" s="116">
        <f t="shared" si="39"/>
        <v>0.58333333333333304</v>
      </c>
    </row>
    <row r="99" spans="1:37" ht="15.75" thickBot="1" x14ac:dyDescent="0.3">
      <c r="A99" s="118" t="s">
        <v>217</v>
      </c>
      <c r="B99" s="119">
        <v>58.1</v>
      </c>
      <c r="C99" s="63">
        <v>51.5</v>
      </c>
      <c r="D99" s="63">
        <v>48.3</v>
      </c>
      <c r="E99" s="63">
        <v>44</v>
      </c>
      <c r="F99" s="63">
        <v>40</v>
      </c>
      <c r="G99" s="63">
        <v>46</v>
      </c>
      <c r="H99" s="63">
        <v>49</v>
      </c>
      <c r="I99" s="63">
        <v>33</v>
      </c>
      <c r="J99" s="63"/>
      <c r="K99" s="63">
        <v>-3</v>
      </c>
      <c r="L99" s="63">
        <v>3</v>
      </c>
      <c r="M99" s="63">
        <v>33.700000000000003</v>
      </c>
      <c r="N99" s="63">
        <v>62.7</v>
      </c>
      <c r="O99" s="63">
        <v>52.5</v>
      </c>
      <c r="P99" s="63">
        <v>29.1</v>
      </c>
      <c r="Q99" s="63">
        <v>27.1</v>
      </c>
      <c r="R99" s="63">
        <v>25.4</v>
      </c>
      <c r="S99" s="63">
        <v>18.100000000000001</v>
      </c>
      <c r="T99" s="63">
        <v>15.7</v>
      </c>
      <c r="U99" s="63">
        <v>0</v>
      </c>
      <c r="V99" s="63">
        <v>0</v>
      </c>
      <c r="W99" s="63">
        <v>6.2</v>
      </c>
      <c r="X99" s="63">
        <v>41</v>
      </c>
      <c r="Y99" s="63">
        <v>41.7</v>
      </c>
      <c r="Z99" s="63">
        <v>36.299999999999997</v>
      </c>
      <c r="AA99" s="63">
        <v>33</v>
      </c>
      <c r="AB99" s="119">
        <v>10.7</v>
      </c>
      <c r="AC99" s="119">
        <v>19.600000000000001</v>
      </c>
      <c r="AD99" s="119">
        <v>30.4</v>
      </c>
      <c r="AE99" s="119">
        <v>36.700000000000003</v>
      </c>
      <c r="AF99" s="119">
        <v>60.5</v>
      </c>
      <c r="AG99" s="121"/>
      <c r="AH99" s="54">
        <f t="shared" si="38"/>
        <v>62.7</v>
      </c>
      <c r="AI99" s="116">
        <f t="shared" si="39"/>
        <v>0.375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 t="s">
        <v>235</v>
      </c>
      <c r="C101" s="53">
        <v>9.9</v>
      </c>
      <c r="D101" s="127">
        <f t="shared" ref="D101:S106" si="40">C101</f>
        <v>9.9</v>
      </c>
      <c r="E101" s="127">
        <f t="shared" si="40"/>
        <v>9.9</v>
      </c>
      <c r="F101" s="127">
        <f t="shared" si="40"/>
        <v>9.9</v>
      </c>
      <c r="G101" s="127">
        <f t="shared" si="40"/>
        <v>9.9</v>
      </c>
      <c r="H101" s="127">
        <f t="shared" si="40"/>
        <v>9.9</v>
      </c>
      <c r="I101" s="127">
        <f t="shared" si="40"/>
        <v>9.9</v>
      </c>
      <c r="J101" s="127">
        <f t="shared" si="40"/>
        <v>9.9</v>
      </c>
      <c r="K101" s="127">
        <f t="shared" si="40"/>
        <v>9.9</v>
      </c>
      <c r="L101" s="127">
        <f t="shared" si="40"/>
        <v>9.9</v>
      </c>
      <c r="M101" s="127">
        <f t="shared" si="40"/>
        <v>9.9</v>
      </c>
      <c r="N101" s="127">
        <f t="shared" si="40"/>
        <v>9.9</v>
      </c>
      <c r="O101" s="127">
        <f t="shared" si="40"/>
        <v>9.9</v>
      </c>
      <c r="P101" s="127">
        <f t="shared" si="40"/>
        <v>9.9</v>
      </c>
      <c r="Q101" s="127">
        <f t="shared" si="40"/>
        <v>9.9</v>
      </c>
      <c r="R101" s="127">
        <f t="shared" si="40"/>
        <v>9.9</v>
      </c>
      <c r="S101" s="127">
        <f t="shared" si="40"/>
        <v>9.9</v>
      </c>
      <c r="T101" s="127">
        <f t="shared" ref="T101:AF106" si="41">S101</f>
        <v>9.9</v>
      </c>
      <c r="U101" s="127">
        <f t="shared" si="41"/>
        <v>9.9</v>
      </c>
      <c r="V101" s="127">
        <f t="shared" si="41"/>
        <v>9.9</v>
      </c>
      <c r="W101" s="127">
        <f t="shared" si="41"/>
        <v>9.9</v>
      </c>
      <c r="X101" s="127">
        <f t="shared" si="41"/>
        <v>9.9</v>
      </c>
      <c r="Y101" s="127">
        <f t="shared" si="41"/>
        <v>9.9</v>
      </c>
      <c r="Z101" s="127">
        <f t="shared" si="41"/>
        <v>9.9</v>
      </c>
      <c r="AA101" s="127">
        <f t="shared" si="41"/>
        <v>9.9</v>
      </c>
      <c r="AB101" s="127">
        <f t="shared" si="41"/>
        <v>9.9</v>
      </c>
      <c r="AC101" s="127">
        <f t="shared" si="41"/>
        <v>9.9</v>
      </c>
      <c r="AD101" s="127">
        <f t="shared" si="41"/>
        <v>9.9</v>
      </c>
      <c r="AE101" s="127">
        <f t="shared" si="41"/>
        <v>9.9</v>
      </c>
      <c r="AF101" s="127">
        <f t="shared" si="41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ref="B102:B106" si="42">AF102</f>
        <v>9.6</v>
      </c>
      <c r="C102" s="130">
        <v>9.6</v>
      </c>
      <c r="D102" s="129">
        <f t="shared" si="40"/>
        <v>9.6</v>
      </c>
      <c r="E102" s="129">
        <f t="shared" si="40"/>
        <v>9.6</v>
      </c>
      <c r="F102" s="129">
        <f t="shared" si="40"/>
        <v>9.6</v>
      </c>
      <c r="G102" s="129">
        <f t="shared" si="40"/>
        <v>9.6</v>
      </c>
      <c r="H102" s="129">
        <f t="shared" si="40"/>
        <v>9.6</v>
      </c>
      <c r="I102" s="129">
        <f t="shared" si="40"/>
        <v>9.6</v>
      </c>
      <c r="J102" s="129">
        <f t="shared" si="40"/>
        <v>9.6</v>
      </c>
      <c r="K102" s="129">
        <f t="shared" si="40"/>
        <v>9.6</v>
      </c>
      <c r="L102" s="129">
        <f t="shared" si="40"/>
        <v>9.6</v>
      </c>
      <c r="M102" s="129">
        <f t="shared" si="40"/>
        <v>9.6</v>
      </c>
      <c r="N102" s="129">
        <f t="shared" si="40"/>
        <v>9.6</v>
      </c>
      <c r="O102" s="129">
        <f t="shared" si="40"/>
        <v>9.6</v>
      </c>
      <c r="P102" s="129">
        <f t="shared" si="40"/>
        <v>9.6</v>
      </c>
      <c r="Q102" s="129">
        <f t="shared" si="40"/>
        <v>9.6</v>
      </c>
      <c r="R102" s="129">
        <f t="shared" si="40"/>
        <v>9.6</v>
      </c>
      <c r="S102" s="129">
        <f t="shared" si="40"/>
        <v>9.6</v>
      </c>
      <c r="T102" s="129">
        <f t="shared" si="41"/>
        <v>9.6</v>
      </c>
      <c r="U102" s="129">
        <f t="shared" si="41"/>
        <v>9.6</v>
      </c>
      <c r="V102" s="129">
        <f t="shared" si="41"/>
        <v>9.6</v>
      </c>
      <c r="W102" s="129">
        <f t="shared" si="41"/>
        <v>9.6</v>
      </c>
      <c r="X102" s="129">
        <f t="shared" si="41"/>
        <v>9.6</v>
      </c>
      <c r="Y102" s="129">
        <f t="shared" si="41"/>
        <v>9.6</v>
      </c>
      <c r="Z102" s="129">
        <f t="shared" si="41"/>
        <v>9.6</v>
      </c>
      <c r="AA102" s="129">
        <f t="shared" si="41"/>
        <v>9.6</v>
      </c>
      <c r="AB102" s="129">
        <f t="shared" si="41"/>
        <v>9.6</v>
      </c>
      <c r="AC102" s="129">
        <f t="shared" si="41"/>
        <v>9.6</v>
      </c>
      <c r="AD102" s="129">
        <f t="shared" si="41"/>
        <v>9.6</v>
      </c>
      <c r="AE102" s="129">
        <f t="shared" si="41"/>
        <v>9.6</v>
      </c>
      <c r="AF102" s="129">
        <f t="shared" si="41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2"/>
        <v>9.98</v>
      </c>
      <c r="C103" s="130">
        <v>9.98</v>
      </c>
      <c r="D103" s="129">
        <f t="shared" si="40"/>
        <v>9.98</v>
      </c>
      <c r="E103" s="129">
        <f t="shared" si="40"/>
        <v>9.98</v>
      </c>
      <c r="F103" s="129">
        <f t="shared" si="40"/>
        <v>9.98</v>
      </c>
      <c r="G103" s="129">
        <f t="shared" si="40"/>
        <v>9.98</v>
      </c>
      <c r="H103" s="129">
        <f t="shared" si="40"/>
        <v>9.98</v>
      </c>
      <c r="I103" s="129">
        <f t="shared" si="40"/>
        <v>9.98</v>
      </c>
      <c r="J103" s="129">
        <f t="shared" si="40"/>
        <v>9.98</v>
      </c>
      <c r="K103" s="129">
        <f t="shared" si="40"/>
        <v>9.98</v>
      </c>
      <c r="L103" s="129">
        <f t="shared" si="40"/>
        <v>9.98</v>
      </c>
      <c r="M103" s="129">
        <f t="shared" si="40"/>
        <v>9.98</v>
      </c>
      <c r="N103" s="129">
        <f t="shared" si="40"/>
        <v>9.98</v>
      </c>
      <c r="O103" s="129">
        <f t="shared" si="40"/>
        <v>9.98</v>
      </c>
      <c r="P103" s="129">
        <f t="shared" si="40"/>
        <v>9.98</v>
      </c>
      <c r="Q103" s="129">
        <f t="shared" si="40"/>
        <v>9.98</v>
      </c>
      <c r="R103" s="129">
        <f t="shared" si="40"/>
        <v>9.98</v>
      </c>
      <c r="S103" s="129">
        <f t="shared" si="40"/>
        <v>9.98</v>
      </c>
      <c r="T103" s="129">
        <f t="shared" si="41"/>
        <v>9.98</v>
      </c>
      <c r="U103" s="129">
        <f t="shared" si="41"/>
        <v>9.98</v>
      </c>
      <c r="V103" s="129">
        <f t="shared" si="41"/>
        <v>9.98</v>
      </c>
      <c r="W103" s="129">
        <f t="shared" si="41"/>
        <v>9.98</v>
      </c>
      <c r="X103" s="129">
        <f t="shared" si="41"/>
        <v>9.98</v>
      </c>
      <c r="Y103" s="129">
        <f t="shared" si="41"/>
        <v>9.98</v>
      </c>
      <c r="Z103" s="129">
        <f t="shared" si="41"/>
        <v>9.98</v>
      </c>
      <c r="AA103" s="129">
        <f t="shared" si="41"/>
        <v>9.98</v>
      </c>
      <c r="AB103" s="129">
        <f t="shared" si="41"/>
        <v>9.98</v>
      </c>
      <c r="AC103" s="129">
        <f t="shared" si="41"/>
        <v>9.98</v>
      </c>
      <c r="AD103" s="129">
        <f t="shared" si="41"/>
        <v>9.98</v>
      </c>
      <c r="AE103" s="129">
        <f t="shared" si="41"/>
        <v>9.98</v>
      </c>
      <c r="AF103" s="129">
        <f t="shared" si="41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2"/>
        <v>9.1</v>
      </c>
      <c r="C104" s="130">
        <v>9.1</v>
      </c>
      <c r="D104" s="129">
        <f t="shared" si="40"/>
        <v>9.1</v>
      </c>
      <c r="E104" s="129">
        <f t="shared" si="40"/>
        <v>9.1</v>
      </c>
      <c r="F104" s="129">
        <f t="shared" si="40"/>
        <v>9.1</v>
      </c>
      <c r="G104" s="129">
        <f t="shared" si="40"/>
        <v>9.1</v>
      </c>
      <c r="H104" s="129">
        <f t="shared" si="40"/>
        <v>9.1</v>
      </c>
      <c r="I104" s="129">
        <f t="shared" si="40"/>
        <v>9.1</v>
      </c>
      <c r="J104" s="129">
        <f t="shared" si="40"/>
        <v>9.1</v>
      </c>
      <c r="K104" s="129">
        <f t="shared" si="40"/>
        <v>9.1</v>
      </c>
      <c r="L104" s="129">
        <f t="shared" si="40"/>
        <v>9.1</v>
      </c>
      <c r="M104" s="129">
        <f t="shared" si="40"/>
        <v>9.1</v>
      </c>
      <c r="N104" s="129">
        <f t="shared" si="40"/>
        <v>9.1</v>
      </c>
      <c r="O104" s="129">
        <f t="shared" si="40"/>
        <v>9.1</v>
      </c>
      <c r="P104" s="129">
        <f t="shared" si="40"/>
        <v>9.1</v>
      </c>
      <c r="Q104" s="129">
        <f t="shared" si="40"/>
        <v>9.1</v>
      </c>
      <c r="R104" s="129">
        <f t="shared" si="40"/>
        <v>9.1</v>
      </c>
      <c r="S104" s="129">
        <f t="shared" si="40"/>
        <v>9.1</v>
      </c>
      <c r="T104" s="129">
        <f t="shared" si="41"/>
        <v>9.1</v>
      </c>
      <c r="U104" s="129">
        <f t="shared" si="41"/>
        <v>9.1</v>
      </c>
      <c r="V104" s="129">
        <f t="shared" si="41"/>
        <v>9.1</v>
      </c>
      <c r="W104" s="129">
        <f t="shared" si="41"/>
        <v>9.1</v>
      </c>
      <c r="X104" s="129">
        <f t="shared" si="41"/>
        <v>9.1</v>
      </c>
      <c r="Y104" s="129">
        <f t="shared" si="41"/>
        <v>9.1</v>
      </c>
      <c r="Z104" s="129">
        <f t="shared" si="41"/>
        <v>9.1</v>
      </c>
      <c r="AA104" s="129">
        <f t="shared" si="41"/>
        <v>9.1</v>
      </c>
      <c r="AB104" s="129">
        <f t="shared" si="41"/>
        <v>9.1</v>
      </c>
      <c r="AC104" s="129">
        <f t="shared" si="41"/>
        <v>9.1</v>
      </c>
      <c r="AD104" s="129">
        <f t="shared" si="41"/>
        <v>9.1</v>
      </c>
      <c r="AE104" s="129">
        <f t="shared" si="41"/>
        <v>9.1</v>
      </c>
      <c r="AF104" s="129">
        <f t="shared" si="41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2"/>
        <v>9.18</v>
      </c>
      <c r="C105" s="130">
        <v>9.18</v>
      </c>
      <c r="D105" s="129">
        <f t="shared" si="40"/>
        <v>9.18</v>
      </c>
      <c r="E105" s="129">
        <f t="shared" si="40"/>
        <v>9.18</v>
      </c>
      <c r="F105" s="129">
        <f t="shared" si="40"/>
        <v>9.18</v>
      </c>
      <c r="G105" s="129">
        <f t="shared" si="40"/>
        <v>9.18</v>
      </c>
      <c r="H105" s="129">
        <f t="shared" si="40"/>
        <v>9.18</v>
      </c>
      <c r="I105" s="129">
        <f t="shared" si="40"/>
        <v>9.18</v>
      </c>
      <c r="J105" s="129">
        <f t="shared" si="40"/>
        <v>9.18</v>
      </c>
      <c r="K105" s="129">
        <f t="shared" si="40"/>
        <v>9.18</v>
      </c>
      <c r="L105" s="129">
        <f t="shared" si="40"/>
        <v>9.18</v>
      </c>
      <c r="M105" s="129">
        <f t="shared" si="40"/>
        <v>9.18</v>
      </c>
      <c r="N105" s="129">
        <f t="shared" si="40"/>
        <v>9.18</v>
      </c>
      <c r="O105" s="129">
        <f t="shared" si="40"/>
        <v>9.18</v>
      </c>
      <c r="P105" s="129">
        <f t="shared" si="40"/>
        <v>9.18</v>
      </c>
      <c r="Q105" s="129">
        <f t="shared" si="40"/>
        <v>9.18</v>
      </c>
      <c r="R105" s="129">
        <f t="shared" si="40"/>
        <v>9.18</v>
      </c>
      <c r="S105" s="129">
        <f t="shared" si="40"/>
        <v>9.18</v>
      </c>
      <c r="T105" s="129">
        <f t="shared" si="41"/>
        <v>9.18</v>
      </c>
      <c r="U105" s="129">
        <f t="shared" si="41"/>
        <v>9.18</v>
      </c>
      <c r="V105" s="129">
        <f t="shared" si="41"/>
        <v>9.18</v>
      </c>
      <c r="W105" s="129">
        <f t="shared" si="41"/>
        <v>9.18</v>
      </c>
      <c r="X105" s="129">
        <f t="shared" si="41"/>
        <v>9.18</v>
      </c>
      <c r="Y105" s="129">
        <f t="shared" si="41"/>
        <v>9.18</v>
      </c>
      <c r="Z105" s="129">
        <f t="shared" si="41"/>
        <v>9.18</v>
      </c>
      <c r="AA105" s="129">
        <f t="shared" si="41"/>
        <v>9.18</v>
      </c>
      <c r="AB105" s="129">
        <f t="shared" si="41"/>
        <v>9.18</v>
      </c>
      <c r="AC105" s="129">
        <f t="shared" si="41"/>
        <v>9.18</v>
      </c>
      <c r="AD105" s="129">
        <f t="shared" si="41"/>
        <v>9.18</v>
      </c>
      <c r="AE105" s="129">
        <f t="shared" si="41"/>
        <v>9.18</v>
      </c>
      <c r="AF105" s="129">
        <f t="shared" si="41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2"/>
        <v>7</v>
      </c>
      <c r="C106" s="130">
        <v>7</v>
      </c>
      <c r="D106" s="129">
        <f t="shared" si="40"/>
        <v>7</v>
      </c>
      <c r="E106" s="129">
        <f t="shared" si="40"/>
        <v>7</v>
      </c>
      <c r="F106" s="129">
        <f t="shared" si="40"/>
        <v>7</v>
      </c>
      <c r="G106" s="129">
        <f t="shared" si="40"/>
        <v>7</v>
      </c>
      <c r="H106" s="129">
        <f t="shared" si="40"/>
        <v>7</v>
      </c>
      <c r="I106" s="129">
        <f t="shared" si="40"/>
        <v>7</v>
      </c>
      <c r="J106" s="129">
        <f t="shared" si="40"/>
        <v>7</v>
      </c>
      <c r="K106" s="129">
        <f t="shared" si="40"/>
        <v>7</v>
      </c>
      <c r="L106" s="129">
        <f t="shared" si="40"/>
        <v>7</v>
      </c>
      <c r="M106" s="129">
        <f t="shared" si="40"/>
        <v>7</v>
      </c>
      <c r="N106" s="129">
        <f t="shared" si="40"/>
        <v>7</v>
      </c>
      <c r="O106" s="129">
        <f t="shared" si="40"/>
        <v>7</v>
      </c>
      <c r="P106" s="129">
        <f t="shared" si="40"/>
        <v>7</v>
      </c>
      <c r="Q106" s="129">
        <f t="shared" si="40"/>
        <v>7</v>
      </c>
      <c r="R106" s="129">
        <f t="shared" si="40"/>
        <v>7</v>
      </c>
      <c r="S106" s="129">
        <f t="shared" si="40"/>
        <v>7</v>
      </c>
      <c r="T106" s="129">
        <f t="shared" si="41"/>
        <v>7</v>
      </c>
      <c r="U106" s="129">
        <f t="shared" si="41"/>
        <v>7</v>
      </c>
      <c r="V106" s="129">
        <f t="shared" si="41"/>
        <v>7</v>
      </c>
      <c r="W106" s="129">
        <f t="shared" si="41"/>
        <v>7</v>
      </c>
      <c r="X106" s="129">
        <f t="shared" si="41"/>
        <v>7</v>
      </c>
      <c r="Y106" s="129">
        <f t="shared" si="41"/>
        <v>7</v>
      </c>
      <c r="Z106" s="129">
        <f t="shared" si="41"/>
        <v>7</v>
      </c>
      <c r="AA106" s="129">
        <f t="shared" si="41"/>
        <v>7</v>
      </c>
      <c r="AB106" s="129">
        <f t="shared" si="41"/>
        <v>7</v>
      </c>
      <c r="AC106" s="129">
        <f t="shared" si="41"/>
        <v>7</v>
      </c>
      <c r="AD106" s="129">
        <f t="shared" si="41"/>
        <v>7</v>
      </c>
      <c r="AE106" s="129">
        <f t="shared" si="41"/>
        <v>7</v>
      </c>
      <c r="AF106" s="129">
        <f t="shared" si="41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182.20600000000002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1489.2400000000002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2078/09/22)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927.04</v>
      </c>
      <c r="U213" s="167">
        <f t="shared" si="76"/>
        <v>889.83999999999992</v>
      </c>
      <c r="V213" s="167">
        <f t="shared" si="76"/>
        <v>882.93999999999994</v>
      </c>
      <c r="W213" s="167">
        <f t="shared" si="76"/>
        <v>871.74</v>
      </c>
      <c r="X213" s="167">
        <f t="shared" si="76"/>
        <v>881.74</v>
      </c>
      <c r="Y213" s="167">
        <f t="shared" si="76"/>
        <v>955.93999999999994</v>
      </c>
      <c r="Z213" s="167">
        <f t="shared" si="76"/>
        <v>987.43999999999994</v>
      </c>
      <c r="AA213" s="167">
        <f t="shared" si="76"/>
        <v>1116.2399999999998</v>
      </c>
      <c r="AB213" s="167">
        <f t="shared" si="76"/>
        <v>743.24</v>
      </c>
      <c r="AC213" s="167">
        <f t="shared" si="76"/>
        <v>1375.2399999999998</v>
      </c>
      <c r="AD213" s="167">
        <f t="shared" si="76"/>
        <v>1441.2399999999998</v>
      </c>
      <c r="AE213" s="167">
        <f t="shared" si="76"/>
        <v>1468.8400000000001</v>
      </c>
      <c r="AF213" s="167">
        <f t="shared" si="76"/>
        <v>1489.2400000000002</v>
      </c>
      <c r="AG213" s="167">
        <f t="shared" si="76"/>
        <v>1382.4399999999998</v>
      </c>
      <c r="AH213" s="167">
        <f t="shared" si="76"/>
        <v>1376.24</v>
      </c>
      <c r="AI213" s="167">
        <f t="shared" si="76"/>
        <v>1321.6399999999999</v>
      </c>
      <c r="AJ213" s="167">
        <f t="shared" si="76"/>
        <v>1249.2399999999998</v>
      </c>
      <c r="AK213" s="167">
        <f t="shared" si="76"/>
        <v>1240.2399999999998</v>
      </c>
      <c r="AL213" s="167">
        <f t="shared" si="76"/>
        <v>1279.54</v>
      </c>
      <c r="AM213" s="167">
        <f t="shared" si="76"/>
        <v>1282.44</v>
      </c>
      <c r="AN213" s="167">
        <f t="shared" si="76"/>
        <v>1364.94</v>
      </c>
      <c r="AO213" s="167">
        <f t="shared" si="76"/>
        <v>1460.5099999999998</v>
      </c>
      <c r="AP213" s="167">
        <f t="shared" si="76"/>
        <v>1600.64</v>
      </c>
      <c r="AQ213" s="167">
        <f t="shared" si="76"/>
        <v>1567.14</v>
      </c>
      <c r="AR213" s="167">
        <f t="shared" si="76"/>
        <v>1544.74</v>
      </c>
      <c r="AS213" s="167">
        <f t="shared" si="76"/>
        <v>1501.64</v>
      </c>
      <c r="AT213" s="167">
        <f t="shared" si="76"/>
        <v>1407.04</v>
      </c>
      <c r="AU213" s="167">
        <f t="shared" si="76"/>
        <v>1355.24</v>
      </c>
      <c r="AV213" s="167">
        <f t="shared" si="76"/>
        <v>1291.1400000000001</v>
      </c>
      <c r="AW213" s="167">
        <f t="shared" si="76"/>
        <v>1103.6400000000001</v>
      </c>
      <c r="AX213" s="167">
        <f t="shared" si="76"/>
        <v>961.24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M37:R37 C57:L57 N62:N67 P39:R39 O61:O67 P40:Q42 R42 AB81:AF81 C81:R81 C56:AF56 C82:AF83 D193:AF199 B193:B199 AB84:AF91 M53:AF55 C68:AF80 B9:AF10 B191:AF191 AF57:AF59 AG73 AB94:AF99 U212:AF212 J61:N61 J60:O60 C58:F61 G60:I61 C63:L67 M39:O42 M12:P14 M16:P32 M36:P36 N45:R48 P60:R67 R40:U41 M11:X11 S18:X30 S36:X36 G58:W59 AA11:AE11 U40:Z42 X85:AA91 Z40:AE43 AF43">
    <cfRule type="expression" dxfId="3269" priority="358">
      <formula>B$9&gt;=20/24</formula>
    </cfRule>
    <cfRule type="expression" dxfId="3268" priority="359">
      <formula>AND(B$9&gt;=14/24,B$9&lt;20/24)</formula>
    </cfRule>
    <cfRule type="expression" dxfId="3267" priority="360">
      <formula>AND(B$9&gt;=8/24,B$9&lt;14/24)</formula>
    </cfRule>
    <cfRule type="expression" dxfId="3266" priority="361">
      <formula>B$9&lt;8/24</formula>
    </cfRule>
  </conditionalFormatting>
  <conditionalFormatting sqref="AL4:AL6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265" priority="353">
      <formula>M$9&gt;=20/24</formula>
    </cfRule>
    <cfRule type="expression" dxfId="3264" priority="354">
      <formula>AND(M$9&gt;=14/24,M$9&lt;20/24)</formula>
    </cfRule>
    <cfRule type="expression" dxfId="3263" priority="355">
      <formula>AND(M$9&gt;=8/24,M$9&lt;14/24)</formula>
    </cfRule>
    <cfRule type="expression" dxfId="3262" priority="356">
      <formula>M$9&lt;8/24</formula>
    </cfRule>
  </conditionalFormatting>
  <conditionalFormatting sqref="M43:R43">
    <cfRule type="expression" dxfId="3261" priority="349">
      <formula>M$9&gt;=20/24</formula>
    </cfRule>
    <cfRule type="expression" dxfId="3260" priority="350">
      <formula>AND(M$9&gt;=14/24,M$9&lt;20/24)</formula>
    </cfRule>
    <cfRule type="expression" dxfId="3259" priority="351">
      <formula>AND(M$9&gt;=8/24,M$9&lt;14/24)</formula>
    </cfRule>
    <cfRule type="expression" dxfId="3258" priority="352">
      <formula>M$9&lt;8/24</formula>
    </cfRule>
  </conditionalFormatting>
  <conditionalFormatting sqref="S39:AE39">
    <cfRule type="expression" dxfId="3257" priority="341">
      <formula>S$9&gt;=20/24</formula>
    </cfRule>
    <cfRule type="expression" dxfId="3256" priority="342">
      <formula>AND(S$9&gt;=14/24,S$9&lt;20/24)</formula>
    </cfRule>
    <cfRule type="expression" dxfId="3255" priority="343">
      <formula>AND(S$9&gt;=8/24,S$9&lt;14/24)</formula>
    </cfRule>
    <cfRule type="expression" dxfId="3254" priority="344">
      <formula>S$9&lt;8/24</formula>
    </cfRule>
  </conditionalFormatting>
  <conditionalFormatting sqref="S57:X57 AB57:AE57">
    <cfRule type="expression" dxfId="3253" priority="337">
      <formula>S$9&gt;=20/24</formula>
    </cfRule>
    <cfRule type="expression" dxfId="3252" priority="338">
      <formula>AND(S$9&gt;=14/24,S$9&lt;20/24)</formula>
    </cfRule>
    <cfRule type="expression" dxfId="3251" priority="339">
      <formula>AND(S$9&gt;=8/24,S$9&lt;14/24)</formula>
    </cfRule>
    <cfRule type="expression" dxfId="3250" priority="340">
      <formula>S$9&lt;8/24</formula>
    </cfRule>
  </conditionalFormatting>
  <conditionalFormatting sqref="S81:AA81">
    <cfRule type="expression" dxfId="3249" priority="333">
      <formula>S$9&gt;=20/24</formula>
    </cfRule>
    <cfRule type="expression" dxfId="3248" priority="334">
      <formula>AND(S$9&gt;=14/24,S$9&lt;20/24)</formula>
    </cfRule>
    <cfRule type="expression" dxfId="3247" priority="335">
      <formula>AND(S$9&gt;=8/24,S$9&lt;14/24)</formula>
    </cfRule>
    <cfRule type="expression" dxfId="3246" priority="336">
      <formula>S$9&lt;8/24</formula>
    </cfRule>
  </conditionalFormatting>
  <conditionalFormatting sqref="U84:AA84">
    <cfRule type="expression" dxfId="3245" priority="329">
      <formula>U$9&gt;=20/24</formula>
    </cfRule>
    <cfRule type="expression" dxfId="3244" priority="330">
      <formula>AND(U$9&gt;=14/24,U$9&lt;20/24)</formula>
    </cfRule>
    <cfRule type="expression" dxfId="3243" priority="331">
      <formula>AND(U$9&gt;=8/24,U$9&lt;14/24)</formula>
    </cfRule>
    <cfRule type="expression" dxfId="3242" priority="332">
      <formula>U$9&lt;8/24</formula>
    </cfRule>
  </conditionalFormatting>
  <conditionalFormatting sqref="M35:P35">
    <cfRule type="expression" dxfId="3241" priority="325">
      <formula>M$9&gt;=20/24</formula>
    </cfRule>
    <cfRule type="expression" dxfId="3240" priority="326">
      <formula>AND(M$9&gt;=14/24,M$9&lt;20/24)</formula>
    </cfRule>
    <cfRule type="expression" dxfId="3239" priority="327">
      <formula>AND(M$9&gt;=8/24,M$9&lt;14/24)</formula>
    </cfRule>
    <cfRule type="expression" dxfId="3238" priority="328">
      <formula>M$9&lt;8/24</formula>
    </cfRule>
  </conditionalFormatting>
  <conditionalFormatting sqref="M49:W49">
    <cfRule type="expression" dxfId="3237" priority="321">
      <formula>M$9&gt;=20/24</formula>
    </cfRule>
    <cfRule type="expression" dxfId="3236" priority="322">
      <formula>AND(M$9&gt;=14/24,M$9&lt;20/24)</formula>
    </cfRule>
    <cfRule type="expression" dxfId="3235" priority="323">
      <formula>AND(M$9&gt;=8/24,M$9&lt;14/24)</formula>
    </cfRule>
    <cfRule type="expression" dxfId="3234" priority="324">
      <formula>M$9&lt;8/24</formula>
    </cfRule>
  </conditionalFormatting>
  <conditionalFormatting sqref="M50:R50">
    <cfRule type="expression" dxfId="3233" priority="317">
      <formula>M$9&gt;=20/24</formula>
    </cfRule>
    <cfRule type="expression" dxfId="3232" priority="318">
      <formula>AND(M$9&gt;=14/24,M$9&lt;20/24)</formula>
    </cfRule>
    <cfRule type="expression" dxfId="3231" priority="319">
      <formula>AND(M$9&gt;=8/24,M$9&lt;14/24)</formula>
    </cfRule>
    <cfRule type="expression" dxfId="3230" priority="320">
      <formula>M$9&lt;8/24</formula>
    </cfRule>
  </conditionalFormatting>
  <conditionalFormatting sqref="M45:R48">
    <cfRule type="expression" dxfId="3229" priority="313">
      <formula>M$9&gt;=20/24</formula>
    </cfRule>
    <cfRule type="expression" dxfId="3228" priority="314">
      <formula>AND(M$9&gt;=14/24,M$9&lt;20/24)</formula>
    </cfRule>
    <cfRule type="expression" dxfId="3227" priority="315">
      <formula>AND(M$9&gt;=8/24,M$9&lt;14/24)</formula>
    </cfRule>
    <cfRule type="expression" dxfId="3226" priority="316">
      <formula>M$9&lt;8/24</formula>
    </cfRule>
  </conditionalFormatting>
  <conditionalFormatting sqref="S37:X37 AB37:AE37">
    <cfRule type="expression" dxfId="3225" priority="309">
      <formula>S$9&gt;=20/24</formula>
    </cfRule>
    <cfRule type="expression" dxfId="3224" priority="310">
      <formula>AND(S$9&gt;=14/24,S$9&lt;20/24)</formula>
    </cfRule>
    <cfRule type="expression" dxfId="3223" priority="311">
      <formula>AND(S$9&gt;=8/24,S$9&lt;14/24)</formula>
    </cfRule>
    <cfRule type="expression" dxfId="3222" priority="312">
      <formula>S$9&lt;8/24</formula>
    </cfRule>
  </conditionalFormatting>
  <conditionalFormatting sqref="S31:X32 S35:X35">
    <cfRule type="expression" dxfId="3221" priority="305">
      <formula>S$9&gt;=20/24</formula>
    </cfRule>
    <cfRule type="expression" dxfId="3220" priority="306">
      <formula>AND(S$9&gt;=14/24,S$9&lt;20/24)</formula>
    </cfRule>
    <cfRule type="expression" dxfId="3219" priority="307">
      <formula>AND(S$9&gt;=8/24,S$9&lt;14/24)</formula>
    </cfRule>
    <cfRule type="expression" dxfId="3218" priority="308">
      <formula>S$9&lt;8/24</formula>
    </cfRule>
  </conditionalFormatting>
  <conditionalFormatting sqref="S42:U43 U43:AA43 S45:AF48">
    <cfRule type="expression" dxfId="3217" priority="301">
      <formula>S$9&gt;=20/24</formula>
    </cfRule>
    <cfRule type="expression" dxfId="3216" priority="302">
      <formula>AND(S$9&gt;=14/24,S$9&lt;20/24)</formula>
    </cfRule>
    <cfRule type="expression" dxfId="3215" priority="303">
      <formula>AND(S$9&gt;=8/24,S$9&lt;14/24)</formula>
    </cfRule>
    <cfRule type="expression" dxfId="3214" priority="304">
      <formula>S$9&lt;8/24</formula>
    </cfRule>
  </conditionalFormatting>
  <conditionalFormatting sqref="S49:AF49">
    <cfRule type="expression" dxfId="3213" priority="297">
      <formula>S$9&gt;=20/24</formula>
    </cfRule>
    <cfRule type="expression" dxfId="3212" priority="298">
      <formula>AND(S$9&gt;=14/24,S$9&lt;20/24)</formula>
    </cfRule>
    <cfRule type="expression" dxfId="3211" priority="299">
      <formula>AND(S$9&gt;=8/24,S$9&lt;14/24)</formula>
    </cfRule>
    <cfRule type="expression" dxfId="3210" priority="300">
      <formula>S$9&lt;8/24</formula>
    </cfRule>
  </conditionalFormatting>
  <conditionalFormatting sqref="S50:AF50">
    <cfRule type="expression" dxfId="3209" priority="293">
      <formula>S$9&gt;=20/24</formula>
    </cfRule>
    <cfRule type="expression" dxfId="3208" priority="294">
      <formula>AND(S$9&gt;=14/24,S$9&lt;20/24)</formula>
    </cfRule>
    <cfRule type="expression" dxfId="3207" priority="295">
      <formula>AND(S$9&gt;=8/24,S$9&lt;14/24)</formula>
    </cfRule>
    <cfRule type="expression" dxfId="3206" priority="296">
      <formula>S$9&lt;8/24</formula>
    </cfRule>
  </conditionalFormatting>
  <conditionalFormatting sqref="X60:X67 S60:U67 V61:W67 AB60:AC61 AD60:AF67">
    <cfRule type="expression" dxfId="3205" priority="289">
      <formula>S$9&gt;=20/24</formula>
    </cfRule>
    <cfRule type="expression" dxfId="3204" priority="290">
      <formula>AND(S$9&gt;=14/24,S$9&lt;20/24)</formula>
    </cfRule>
    <cfRule type="expression" dxfId="3203" priority="291">
      <formula>AND(S$9&gt;=8/24,S$9&lt;14/24)</formula>
    </cfRule>
    <cfRule type="expression" dxfId="3202" priority="292">
      <formula>S$9&lt;8/24</formula>
    </cfRule>
  </conditionalFormatting>
  <conditionalFormatting sqref="C62:L62">
    <cfRule type="expression" dxfId="3201" priority="285">
      <formula>C$9&gt;=20/24</formula>
    </cfRule>
    <cfRule type="expression" dxfId="3200" priority="286">
      <formula>AND(C$9&gt;=14/24,C$9&lt;20/24)</formula>
    </cfRule>
    <cfRule type="expression" dxfId="3199" priority="287">
      <formula>AND(C$9&gt;=8/24,C$9&lt;14/24)</formula>
    </cfRule>
    <cfRule type="expression" dxfId="3198" priority="288">
      <formula>C$9&lt;8/24</formula>
    </cfRule>
  </conditionalFormatting>
  <conditionalFormatting sqref="V94:AA97">
    <cfRule type="expression" dxfId="3197" priority="281">
      <formula>V$9&gt;=20/24</formula>
    </cfRule>
    <cfRule type="expression" dxfId="3196" priority="282">
      <formula>AND(V$9&gt;=14/24,V$9&lt;20/24)</formula>
    </cfRule>
    <cfRule type="expression" dxfId="3195" priority="283">
      <formula>AND(V$9&gt;=8/24,V$9&lt;14/24)</formula>
    </cfRule>
    <cfRule type="expression" dxfId="3194" priority="284">
      <formula>V$9&lt;8/24</formula>
    </cfRule>
  </conditionalFormatting>
  <conditionalFormatting sqref="AG51 C11:K14 C16:P32 L12:P14 C34:P36 S34:S36 C37:S37 L11:X11 S18:X32 T34:X37 AB37:AF37 AA11:AF11 C38:AF56">
    <cfRule type="expression" dxfId="3193" priority="280">
      <formula>C11&gt;$AG11</formula>
    </cfRule>
  </conditionalFormatting>
  <conditionalFormatting sqref="A100:A156 A84:A97 A11:A14 A16:A32 A45:A72 A80:A82 A74:A78 A35:A43 A169:A199">
    <cfRule type="expression" dxfId="3192" priority="279">
      <formula>$AH11=0</formula>
    </cfRule>
  </conditionalFormatting>
  <conditionalFormatting sqref="V98:AA98">
    <cfRule type="expression" dxfId="3191" priority="275">
      <formula>V$9&gt;=20/24</formula>
    </cfRule>
    <cfRule type="expression" dxfId="3190" priority="276">
      <formula>AND(V$9&gt;=14/24,V$9&lt;20/24)</formula>
    </cfRule>
    <cfRule type="expression" dxfId="3189" priority="277">
      <formula>AND(V$9&gt;=8/24,V$9&lt;14/24)</formula>
    </cfRule>
    <cfRule type="expression" dxfId="3188" priority="278">
      <formula>V$9&lt;8/24</formula>
    </cfRule>
  </conditionalFormatting>
  <conditionalFormatting sqref="A98">
    <cfRule type="expression" dxfId="3187" priority="274">
      <formula>$AH98=0</formula>
    </cfRule>
  </conditionalFormatting>
  <conditionalFormatting sqref="C36:L36">
    <cfRule type="expression" dxfId="3186" priority="270">
      <formula>C$9&gt;=20/24</formula>
    </cfRule>
    <cfRule type="expression" dxfId="3185" priority="271">
      <formula>AND(C$9&gt;=14/24,C$9&lt;20/24)</formula>
    </cfRule>
    <cfRule type="expression" dxfId="3184" priority="272">
      <formula>AND(C$9&gt;=8/24,C$9&lt;14/24)</formula>
    </cfRule>
    <cfRule type="expression" dxfId="3183" priority="273">
      <formula>C$9&lt;8/24</formula>
    </cfRule>
  </conditionalFormatting>
  <conditionalFormatting sqref="M62:M67">
    <cfRule type="expression" dxfId="3182" priority="262">
      <formula>M$9&gt;=20/24</formula>
    </cfRule>
    <cfRule type="expression" dxfId="3181" priority="263">
      <formula>AND(M$9&gt;=14/24,M$9&lt;20/24)</formula>
    </cfRule>
    <cfRule type="expression" dxfId="3180" priority="264">
      <formula>AND(M$9&gt;=8/24,M$9&lt;14/24)</formula>
    </cfRule>
    <cfRule type="expression" dxfId="3179" priority="265">
      <formula>M$9&lt;8/24</formula>
    </cfRule>
  </conditionalFormatting>
  <conditionalFormatting sqref="AL32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M34:P34">
    <cfRule type="expression" dxfId="3178" priority="253">
      <formula>M$9&gt;=20/24</formula>
    </cfRule>
    <cfRule type="expression" dxfId="3177" priority="254">
      <formula>AND(M$9&gt;=14/24,M$9&lt;20/24)</formula>
    </cfRule>
    <cfRule type="expression" dxfId="3176" priority="255">
      <formula>AND(M$9&gt;=8/24,M$9&lt;14/24)</formula>
    </cfRule>
    <cfRule type="expression" dxfId="3175" priority="256">
      <formula>M$9&lt;8/24</formula>
    </cfRule>
  </conditionalFormatting>
  <conditionalFormatting sqref="S34:X34">
    <cfRule type="expression" dxfId="3174" priority="249">
      <formula>S$9&gt;=20/24</formula>
    </cfRule>
    <cfRule type="expression" dxfId="3173" priority="250">
      <formula>AND(S$9&gt;=14/24,S$9&lt;20/24)</formula>
    </cfRule>
    <cfRule type="expression" dxfId="3172" priority="251">
      <formula>AND(S$9&gt;=8/24,S$9&lt;14/24)</formula>
    </cfRule>
    <cfRule type="expression" dxfId="3171" priority="252">
      <formula>S$9&lt;8/24</formula>
    </cfRule>
  </conditionalFormatting>
  <conditionalFormatting sqref="A34">
    <cfRule type="expression" dxfId="3170" priority="248">
      <formula>$AH34=0</formula>
    </cfRule>
  </conditionalFormatting>
  <conditionalFormatting sqref="A83">
    <cfRule type="expression" dxfId="3169" priority="247">
      <formula>$AH83=0</formula>
    </cfRule>
  </conditionalFormatting>
  <conditionalFormatting sqref="M15:P15">
    <cfRule type="expression" dxfId="3168" priority="239">
      <formula>M$9&gt;=20/24</formula>
    </cfRule>
    <cfRule type="expression" dxfId="3167" priority="240">
      <formula>AND(M$9&gt;=14/24,M$9&lt;20/24)</formula>
    </cfRule>
    <cfRule type="expression" dxfId="3166" priority="241">
      <formula>AND(M$9&gt;=8/24,M$9&lt;14/24)</formula>
    </cfRule>
    <cfRule type="expression" dxfId="3165" priority="242">
      <formula>M$9&lt;8/24</formula>
    </cfRule>
  </conditionalFormatting>
  <conditionalFormatting sqref="C15:P15">
    <cfRule type="expression" dxfId="3164" priority="238">
      <formula>C15&gt;$AG15</formula>
    </cfRule>
  </conditionalFormatting>
  <conditionalFormatting sqref="A15">
    <cfRule type="expression" dxfId="3163" priority="237">
      <formula>$AH15=0</formula>
    </cfRule>
  </conditionalFormatting>
  <conditionalFormatting sqref="A163:A168">
    <cfRule type="expression" dxfId="3162" priority="236">
      <formula>$AH163=0</formula>
    </cfRule>
  </conditionalFormatting>
  <conditionalFormatting sqref="A157:A162">
    <cfRule type="expression" dxfId="3161" priority="235">
      <formula>$AH157=0</formula>
    </cfRule>
  </conditionalFormatting>
  <conditionalFormatting sqref="Z44:AF44">
    <cfRule type="expression" dxfId="3160" priority="231">
      <formula>Z$9&gt;=20/24</formula>
    </cfRule>
    <cfRule type="expression" dxfId="3159" priority="232">
      <formula>AND(Z$9&gt;=14/24,Z$9&lt;20/24)</formula>
    </cfRule>
    <cfRule type="expression" dxfId="3158" priority="233">
      <formula>AND(Z$9&gt;=8/24,Z$9&lt;14/24)</formula>
    </cfRule>
    <cfRule type="expression" dxfId="3157" priority="234">
      <formula>Z$9&lt;8/24</formula>
    </cfRule>
  </conditionalFormatting>
  <conditionalFormatting sqref="M44:R44">
    <cfRule type="expression" dxfId="3156" priority="227">
      <formula>M$9&gt;=20/24</formula>
    </cfRule>
    <cfRule type="expression" dxfId="3155" priority="228">
      <formula>AND(M$9&gt;=14/24,M$9&lt;20/24)</formula>
    </cfRule>
    <cfRule type="expression" dxfId="3154" priority="229">
      <formula>AND(M$9&gt;=8/24,M$9&lt;14/24)</formula>
    </cfRule>
    <cfRule type="expression" dxfId="3153" priority="230">
      <formula>M$9&lt;8/24</formula>
    </cfRule>
  </conditionalFormatting>
  <conditionalFormatting sqref="S44:AF44">
    <cfRule type="expression" dxfId="3152" priority="223">
      <formula>S$9&gt;=20/24</formula>
    </cfRule>
    <cfRule type="expression" dxfId="3151" priority="224">
      <formula>AND(S$9&gt;=14/24,S$9&lt;20/24)</formula>
    </cfRule>
    <cfRule type="expression" dxfId="3150" priority="225">
      <formula>AND(S$9&gt;=8/24,S$9&lt;14/24)</formula>
    </cfRule>
    <cfRule type="expression" dxfId="3149" priority="226">
      <formula>S$9&lt;8/24</formula>
    </cfRule>
  </conditionalFormatting>
  <conditionalFormatting sqref="A44">
    <cfRule type="expression" dxfId="3148" priority="222">
      <formula>$AH44=0</formula>
    </cfRule>
  </conditionalFormatting>
  <conditionalFormatting sqref="A79">
    <cfRule type="expression" dxfId="3147" priority="221">
      <formula>$AH79=0</formula>
    </cfRule>
  </conditionalFormatting>
  <conditionalFormatting sqref="A73">
    <cfRule type="expression" dxfId="3146" priority="220">
      <formula>$AH73=0</formula>
    </cfRule>
  </conditionalFormatting>
  <conditionalFormatting sqref="AL34:AL35 AL7:AL31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V60:W60">
    <cfRule type="expression" dxfId="3145" priority="216">
      <formula>V$9&gt;=20/24</formula>
    </cfRule>
    <cfRule type="expression" dxfId="3144" priority="217">
      <formula>AND(V$9&gt;=14/24,V$9&lt;20/24)</formula>
    </cfRule>
    <cfRule type="expression" dxfId="3143" priority="218">
      <formula>AND(V$9&gt;=8/24,V$9&lt;14/24)</formula>
    </cfRule>
    <cfRule type="expression" dxfId="3142" priority="219">
      <formula>V$9&lt;8/24</formula>
    </cfRule>
  </conditionalFormatting>
  <conditionalFormatting sqref="V85:W91">
    <cfRule type="expression" dxfId="3141" priority="212">
      <formula>V$9&gt;=20/24</formula>
    </cfRule>
    <cfRule type="expression" dxfId="3140" priority="213">
      <formula>AND(V$9&gt;=14/24,V$9&lt;20/24)</formula>
    </cfRule>
    <cfRule type="expression" dxfId="3139" priority="214">
      <formula>AND(V$9&gt;=8/24,V$9&lt;14/24)</formula>
    </cfRule>
    <cfRule type="expression" dxfId="3138" priority="215">
      <formula>V$9&lt;8/24</formula>
    </cfRule>
  </conditionalFormatting>
  <conditionalFormatting sqref="C84:R91 S85:U91">
    <cfRule type="expression" dxfId="3137" priority="208">
      <formula>C$9&gt;=20/24</formula>
    </cfRule>
    <cfRule type="expression" dxfId="3136" priority="209">
      <formula>AND(C$9&gt;=14/24,C$9&lt;20/24)</formula>
    </cfRule>
    <cfRule type="expression" dxfId="3135" priority="210">
      <formula>AND(C$9&gt;=8/24,C$9&lt;14/24)</formula>
    </cfRule>
    <cfRule type="expression" dxfId="3134" priority="211">
      <formula>C$9&lt;8/24</formula>
    </cfRule>
  </conditionalFormatting>
  <conditionalFormatting sqref="S84:T84">
    <cfRule type="expression" dxfId="3133" priority="204">
      <formula>S$9&gt;=20/24</formula>
    </cfRule>
    <cfRule type="expression" dxfId="3132" priority="205">
      <formula>AND(S$9&gt;=14/24,S$9&lt;20/24)</formula>
    </cfRule>
    <cfRule type="expression" dxfId="3131" priority="206">
      <formula>AND(S$9&gt;=8/24,S$9&lt;14/24)</formula>
    </cfRule>
    <cfRule type="expression" dxfId="3130" priority="207">
      <formula>S$9&lt;8/24</formula>
    </cfRule>
  </conditionalFormatting>
  <conditionalFormatting sqref="C95:M97 C94:F94">
    <cfRule type="expression" dxfId="3129" priority="200">
      <formula>C$9&gt;=20/24</formula>
    </cfRule>
    <cfRule type="expression" dxfId="3128" priority="201">
      <formula>AND(C$9&gt;=14/24,C$9&lt;20/24)</formula>
    </cfRule>
    <cfRule type="expression" dxfId="3127" priority="202">
      <formula>AND(C$9&gt;=8/24,C$9&lt;14/24)</formula>
    </cfRule>
    <cfRule type="expression" dxfId="3126" priority="203">
      <formula>C$9&lt;8/24</formula>
    </cfRule>
  </conditionalFormatting>
  <conditionalFormatting sqref="N95:R97 O94:R94">
    <cfRule type="expression" dxfId="3125" priority="196">
      <formula>N$9&gt;=20/24</formula>
    </cfRule>
    <cfRule type="expression" dxfId="3124" priority="197">
      <formula>AND(N$9&gt;=14/24,N$9&lt;20/24)</formula>
    </cfRule>
    <cfRule type="expression" dxfId="3123" priority="198">
      <formula>AND(N$9&gt;=8/24,N$9&lt;14/24)</formula>
    </cfRule>
    <cfRule type="expression" dxfId="3122" priority="199">
      <formula>N$9&lt;8/24</formula>
    </cfRule>
  </conditionalFormatting>
  <conditionalFormatting sqref="S94:U97">
    <cfRule type="expression" dxfId="3121" priority="192">
      <formula>S$9&gt;=20/24</formula>
    </cfRule>
    <cfRule type="expression" dxfId="3120" priority="193">
      <formula>AND(S$9&gt;=14/24,S$9&lt;20/24)</formula>
    </cfRule>
    <cfRule type="expression" dxfId="3119" priority="194">
      <formula>AND(S$9&gt;=8/24,S$9&lt;14/24)</formula>
    </cfRule>
    <cfRule type="expression" dxfId="3118" priority="195">
      <formula>S$9&lt;8/24</formula>
    </cfRule>
  </conditionalFormatting>
  <conditionalFormatting sqref="C98:M98">
    <cfRule type="expression" dxfId="3117" priority="188">
      <formula>C$9&gt;=20/24</formula>
    </cfRule>
    <cfRule type="expression" dxfId="3116" priority="189">
      <formula>AND(C$9&gt;=14/24,C$9&lt;20/24)</formula>
    </cfRule>
    <cfRule type="expression" dxfId="3115" priority="190">
      <formula>AND(C$9&gt;=8/24,C$9&lt;14/24)</formula>
    </cfRule>
    <cfRule type="expression" dxfId="3114" priority="191">
      <formula>C$9&lt;8/24</formula>
    </cfRule>
  </conditionalFormatting>
  <conditionalFormatting sqref="N98:R98">
    <cfRule type="expression" dxfId="3113" priority="184">
      <formula>N$9&gt;=20/24</formula>
    </cfRule>
    <cfRule type="expression" dxfId="3112" priority="185">
      <formula>AND(N$9&gt;=14/24,N$9&lt;20/24)</formula>
    </cfRule>
    <cfRule type="expression" dxfId="3111" priority="186">
      <formula>AND(N$9&gt;=8/24,N$9&lt;14/24)</formula>
    </cfRule>
    <cfRule type="expression" dxfId="3110" priority="187">
      <formula>N$9&lt;8/24</formula>
    </cfRule>
  </conditionalFormatting>
  <conditionalFormatting sqref="S98:U98">
    <cfRule type="expression" dxfId="3109" priority="180">
      <formula>S$9&gt;=20/24</formula>
    </cfRule>
    <cfRule type="expression" dxfId="3108" priority="181">
      <formula>AND(S$9&gt;=14/24,S$9&lt;20/24)</formula>
    </cfRule>
    <cfRule type="expression" dxfId="3107" priority="182">
      <formula>AND(S$9&gt;=8/24,S$9&lt;14/24)</formula>
    </cfRule>
    <cfRule type="expression" dxfId="3106" priority="183">
      <formula>S$9&lt;8/24</formula>
    </cfRule>
  </conditionalFormatting>
  <conditionalFormatting sqref="M94:N94">
    <cfRule type="expression" dxfId="3105" priority="176">
      <formula>M$9&gt;=20/24</formula>
    </cfRule>
    <cfRule type="expression" dxfId="3104" priority="177">
      <formula>AND(M$9&gt;=14/24,M$9&lt;20/24)</formula>
    </cfRule>
    <cfRule type="expression" dxfId="3103" priority="178">
      <formula>AND(M$9&gt;=8/24,M$9&lt;14/24)</formula>
    </cfRule>
    <cfRule type="expression" dxfId="3102" priority="179">
      <formula>M$9&lt;8/24</formula>
    </cfRule>
  </conditionalFormatting>
  <conditionalFormatting sqref="G94:L94">
    <cfRule type="expression" dxfId="3101" priority="172">
      <formula>G$9&gt;=20/24</formula>
    </cfRule>
    <cfRule type="expression" dxfId="3100" priority="173">
      <formula>AND(G$9&gt;=14/24,G$9&lt;20/24)</formula>
    </cfRule>
    <cfRule type="expression" dxfId="3099" priority="174">
      <formula>AND(G$9&gt;=8/24,G$9&lt;14/24)</formula>
    </cfRule>
    <cfRule type="expression" dxfId="3098" priority="175">
      <formula>G$9&lt;8/24</formula>
    </cfRule>
  </conditionalFormatting>
  <conditionalFormatting sqref="V94:X94">
    <cfRule type="expression" dxfId="3097" priority="168">
      <formula>V$9&gt;=20/24</formula>
    </cfRule>
    <cfRule type="expression" dxfId="3096" priority="169">
      <formula>AND(V$9&gt;=14/24,V$9&lt;20/24)</formula>
    </cfRule>
    <cfRule type="expression" dxfId="3095" priority="170">
      <formula>AND(V$9&gt;=8/24,V$9&lt;14/24)</formula>
    </cfRule>
    <cfRule type="expression" dxfId="3094" priority="171">
      <formula>V$9&lt;8/24</formula>
    </cfRule>
  </conditionalFormatting>
  <conditionalFormatting sqref="N94:U94">
    <cfRule type="expression" dxfId="3093" priority="164">
      <formula>N$9&gt;=20/24</formula>
    </cfRule>
    <cfRule type="expression" dxfId="3092" priority="165">
      <formula>AND(N$9&gt;=14/24,N$9&lt;20/24)</formula>
    </cfRule>
    <cfRule type="expression" dxfId="3091" priority="166">
      <formula>AND(N$9&gt;=8/24,N$9&lt;14/24)</formula>
    </cfRule>
    <cfRule type="expression" dxfId="3090" priority="167">
      <formula>N$9&lt;8/24</formula>
    </cfRule>
  </conditionalFormatting>
  <conditionalFormatting sqref="V99:AA99">
    <cfRule type="expression" dxfId="3089" priority="160">
      <formula>V$9&gt;=20/24</formula>
    </cfRule>
    <cfRule type="expression" dxfId="3088" priority="161">
      <formula>AND(V$9&gt;=14/24,V$9&lt;20/24)</formula>
    </cfRule>
    <cfRule type="expression" dxfId="3087" priority="162">
      <formula>AND(V$9&gt;=8/24,V$9&lt;14/24)</formula>
    </cfRule>
    <cfRule type="expression" dxfId="3086" priority="163">
      <formula>V$9&lt;8/24</formula>
    </cfRule>
  </conditionalFormatting>
  <conditionalFormatting sqref="C99:M99">
    <cfRule type="expression" dxfId="3085" priority="156">
      <formula>C$9&gt;=20/24</formula>
    </cfRule>
    <cfRule type="expression" dxfId="3084" priority="157">
      <formula>AND(C$9&gt;=14/24,C$9&lt;20/24)</formula>
    </cfRule>
    <cfRule type="expression" dxfId="3083" priority="158">
      <formula>AND(C$9&gt;=8/24,C$9&lt;14/24)</formula>
    </cfRule>
    <cfRule type="expression" dxfId="3082" priority="159">
      <formula>C$9&lt;8/24</formula>
    </cfRule>
  </conditionalFormatting>
  <conditionalFormatting sqref="N99:R99">
    <cfRule type="expression" dxfId="3081" priority="152">
      <formula>N$9&gt;=20/24</formula>
    </cfRule>
    <cfRule type="expression" dxfId="3080" priority="153">
      <formula>AND(N$9&gt;=14/24,N$9&lt;20/24)</formula>
    </cfRule>
    <cfRule type="expression" dxfId="3079" priority="154">
      <formula>AND(N$9&gt;=8/24,N$9&lt;14/24)</formula>
    </cfRule>
    <cfRule type="expression" dxfId="3078" priority="155">
      <formula>N$9&lt;8/24</formula>
    </cfRule>
  </conditionalFormatting>
  <conditionalFormatting sqref="S99:U99">
    <cfRule type="expression" dxfId="3077" priority="148">
      <formula>S$9&gt;=20/24</formula>
    </cfRule>
    <cfRule type="expression" dxfId="3076" priority="149">
      <formula>AND(S$9&gt;=14/24,S$9&lt;20/24)</formula>
    </cfRule>
    <cfRule type="expression" dxfId="3075" priority="150">
      <formula>AND(S$9&gt;=8/24,S$9&lt;14/24)</formula>
    </cfRule>
    <cfRule type="expression" dxfId="3074" priority="151">
      <formula>S$9&lt;8/24</formula>
    </cfRule>
  </conditionalFormatting>
  <conditionalFormatting sqref="S12:X16">
    <cfRule type="expression" dxfId="3073" priority="144">
      <formula>S$9&gt;=20/24</formula>
    </cfRule>
    <cfRule type="expression" dxfId="3072" priority="145">
      <formula>AND(S$9&gt;=14/24,S$9&lt;20/24)</formula>
    </cfRule>
    <cfRule type="expression" dxfId="3071" priority="146">
      <formula>AND(S$9&gt;=8/24,S$9&lt;14/24)</formula>
    </cfRule>
    <cfRule type="expression" dxfId="3070" priority="147">
      <formula>S$9&lt;8/24</formula>
    </cfRule>
  </conditionalFormatting>
  <conditionalFormatting sqref="S17:X17">
    <cfRule type="expression" dxfId="3069" priority="140">
      <formula>S$9&gt;=20/24</formula>
    </cfRule>
    <cfRule type="expression" dxfId="3068" priority="141">
      <formula>AND(S$9&gt;=14/24,S$9&lt;20/24)</formula>
    </cfRule>
    <cfRule type="expression" dxfId="3067" priority="142">
      <formula>AND(S$9&gt;=8/24,S$9&lt;14/24)</formula>
    </cfRule>
    <cfRule type="expression" dxfId="3066" priority="143">
      <formula>S$9&lt;8/24</formula>
    </cfRule>
  </conditionalFormatting>
  <conditionalFormatting sqref="S12:X13">
    <cfRule type="expression" dxfId="3065" priority="136">
      <formula>S$9&gt;=20/24</formula>
    </cfRule>
    <cfRule type="expression" dxfId="3064" priority="137">
      <formula>AND(S$9&gt;=14/24,S$9&lt;20/24)</formula>
    </cfRule>
    <cfRule type="expression" dxfId="3063" priority="138">
      <formula>AND(S$9&gt;=8/24,S$9&lt;14/24)</formula>
    </cfRule>
    <cfRule type="expression" dxfId="3062" priority="139">
      <formula>S$9&lt;8/24</formula>
    </cfRule>
  </conditionalFormatting>
  <conditionalFormatting sqref="AB58:AE59">
    <cfRule type="expression" dxfId="3061" priority="132">
      <formula>AB$9&gt;=20/24</formula>
    </cfRule>
    <cfRule type="expression" dxfId="3060" priority="133">
      <formula>AND(AB$9&gt;=14/24,AB$9&lt;20/24)</formula>
    </cfRule>
    <cfRule type="expression" dxfId="3059" priority="134">
      <formula>AND(AB$9&gt;=8/24,AB$9&lt;14/24)</formula>
    </cfRule>
    <cfRule type="expression" dxfId="3058" priority="135">
      <formula>AB$9&lt;8/24</formula>
    </cfRule>
  </conditionalFormatting>
  <conditionalFormatting sqref="AL3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57" priority="365">
      <formula>C$9&gt;=20/24</formula>
    </cfRule>
    <cfRule type="expression" dxfId="3056" priority="366">
      <formula>AND(C$9&gt;=14/24,C$9&lt;20/24)</formula>
    </cfRule>
    <cfRule type="expression" dxfId="3055" priority="367">
      <formula>AND(C$9&gt;=8/24,C$9&lt;14/24)</formula>
    </cfRule>
    <cfRule type="expression" dxfId="3054" priority="368">
      <formula>C$9&lt;8/24</formula>
    </cfRule>
  </conditionalFormatting>
  <conditionalFormatting sqref="A200">
    <cfRule type="expression" dxfId="3053" priority="369">
      <formula>$AH200=0</formula>
    </cfRule>
  </conditionalFormatting>
  <conditionalFormatting sqref="AG212">
    <cfRule type="expression" dxfId="3052" priority="370">
      <formula>B$9&gt;=20/24</formula>
    </cfRule>
    <cfRule type="expression" dxfId="3051" priority="371">
      <formula>AND(B$9&gt;=14/24,B$9&lt;20/24)</formula>
    </cfRule>
    <cfRule type="expression" dxfId="3050" priority="372">
      <formula>AND(B$9&gt;=8/24,B$9&lt;14/24)</formula>
    </cfRule>
    <cfRule type="expression" dxfId="3049" priority="373">
      <formula>B$9&lt;8/24</formula>
    </cfRule>
  </conditionalFormatting>
  <conditionalFormatting sqref="S8">
    <cfRule type="expression" dxfId="3048" priority="126">
      <formula>U$9&gt;=20/24</formula>
    </cfRule>
    <cfRule type="expression" dxfId="3047" priority="127">
      <formula>AND(U$9&gt;=14/24,U$9&lt;20/24)</formula>
    </cfRule>
    <cfRule type="expression" dxfId="3046" priority="128">
      <formula>AND(U$9&gt;=8/24,U$9&lt;14/24)</formula>
    </cfRule>
    <cfRule type="expression" dxfId="3045" priority="129">
      <formula>U$9&lt;8/24</formula>
    </cfRule>
  </conditionalFormatting>
  <conditionalFormatting sqref="AB8">
    <cfRule type="expression" dxfId="3044" priority="122">
      <formula>AD$9&gt;=20/24</formula>
    </cfRule>
    <cfRule type="expression" dxfId="3043" priority="123">
      <formula>AND(AD$9&gt;=14/24,AD$9&lt;20/24)</formula>
    </cfRule>
    <cfRule type="expression" dxfId="3042" priority="124">
      <formula>AND(AD$9&gt;=8/24,AD$9&lt;14/24)</formula>
    </cfRule>
    <cfRule type="expression" dxfId="3041" priority="125">
      <formula>AD$9&lt;8/24</formula>
    </cfRule>
  </conditionalFormatting>
  <conditionalFormatting sqref="AH212:AX212">
    <cfRule type="expression" dxfId="3040" priority="374">
      <formula>AG$9&gt;=20/24</formula>
    </cfRule>
    <cfRule type="expression" dxfId="3039" priority="375">
      <formula>AND(AG$9&gt;=14/24,AG$9&lt;20/24)</formula>
    </cfRule>
    <cfRule type="expression" dxfId="3038" priority="376">
      <formula>AND(AG$9&gt;=8/24,AG$9&lt;14/24)</formula>
    </cfRule>
    <cfRule type="expression" dxfId="3037" priority="377">
      <formula>AG$9&lt;8/24</formula>
    </cfRule>
  </conditionalFormatting>
  <conditionalFormatting sqref="T212">
    <cfRule type="expression" dxfId="3036" priority="378">
      <formula>AX$9&gt;=20/24</formula>
    </cfRule>
    <cfRule type="expression" dxfId="3035" priority="379">
      <formula>AND(AX$9&gt;=14/24,AX$9&lt;20/24)</formula>
    </cfRule>
    <cfRule type="expression" dxfId="3034" priority="380">
      <formula>AND(AX$9&gt;=8/24,AX$9&lt;14/24)</formula>
    </cfRule>
    <cfRule type="expression" dxfId="3033" priority="381">
      <formula>AX$9&lt;8/24</formula>
    </cfRule>
  </conditionalFormatting>
  <conditionalFormatting sqref="A99">
    <cfRule type="expression" dxfId="3032" priority="121">
      <formula>$AH99=0</formula>
    </cfRule>
  </conditionalFormatting>
  <conditionalFormatting sqref="M33:P33">
    <cfRule type="expression" dxfId="3031" priority="117">
      <formula>M$9&gt;=20/24</formula>
    </cfRule>
    <cfRule type="expression" dxfId="3030" priority="118">
      <formula>AND(M$9&gt;=14/24,M$9&lt;20/24)</formula>
    </cfRule>
    <cfRule type="expression" dxfId="3029" priority="119">
      <formula>AND(M$9&gt;=8/24,M$9&lt;14/24)</formula>
    </cfRule>
    <cfRule type="expression" dxfId="3028" priority="120">
      <formula>M$9&lt;8/24</formula>
    </cfRule>
  </conditionalFormatting>
  <conditionalFormatting sqref="S33:X33">
    <cfRule type="expression" dxfId="3027" priority="109">
      <formula>S$9&gt;=20/24</formula>
    </cfRule>
    <cfRule type="expression" dxfId="3026" priority="110">
      <formula>AND(S$9&gt;=14/24,S$9&lt;20/24)</formula>
    </cfRule>
    <cfRule type="expression" dxfId="3025" priority="111">
      <formula>AND(S$9&gt;=8/24,S$9&lt;14/24)</formula>
    </cfRule>
    <cfRule type="expression" dxfId="3024" priority="112">
      <formula>S$9&lt;8/24</formula>
    </cfRule>
  </conditionalFormatting>
  <conditionalFormatting sqref="C33:P33 S33:X33">
    <cfRule type="expression" dxfId="3023" priority="108">
      <formula>C33&gt;$AG33</formula>
    </cfRule>
  </conditionalFormatting>
  <conditionalFormatting sqref="B94:B99 B53:B91 B16:B26 B28:B31 B11:B14 B36">
    <cfRule type="expression" dxfId="3022" priority="104">
      <formula>B$9&gt;=20/24</formula>
    </cfRule>
    <cfRule type="expression" dxfId="3021" priority="105">
      <formula>AND(B$9&gt;=14/24,B$9&lt;20/24)</formula>
    </cfRule>
    <cfRule type="expression" dxfId="3020" priority="106">
      <formula>AND(B$9&gt;=8/24,B$9&lt;14/24)</formula>
    </cfRule>
    <cfRule type="expression" dxfId="3019" priority="107">
      <formula>B$9&lt;8/24</formula>
    </cfRule>
  </conditionalFormatting>
  <conditionalFormatting sqref="B32">
    <cfRule type="expression" dxfId="3018" priority="100">
      <formula>B$9&gt;=20/24</formula>
    </cfRule>
    <cfRule type="expression" dxfId="3017" priority="101">
      <formula>AND(B$9&gt;=14/24,B$9&lt;20/24)</formula>
    </cfRule>
    <cfRule type="expression" dxfId="3016" priority="102">
      <formula>AND(B$9&gt;=8/24,B$9&lt;14/24)</formula>
    </cfRule>
    <cfRule type="expression" dxfId="3015" priority="103">
      <formula>B$9&lt;8/24</formula>
    </cfRule>
  </conditionalFormatting>
  <conditionalFormatting sqref="B37">
    <cfRule type="expression" dxfId="3014" priority="96">
      <formula>B$9&gt;=20/24</formula>
    </cfRule>
    <cfRule type="expression" dxfId="3013" priority="97">
      <formula>AND(B$9&gt;=14/24,B$9&lt;20/24)</formula>
    </cfRule>
    <cfRule type="expression" dxfId="3012" priority="98">
      <formula>AND(B$9&gt;=8/24,B$9&lt;14/24)</formula>
    </cfRule>
    <cfRule type="expression" dxfId="3011" priority="99">
      <formula>B$9&lt;8/24</formula>
    </cfRule>
  </conditionalFormatting>
  <conditionalFormatting sqref="B35">
    <cfRule type="expression" dxfId="3010" priority="92">
      <formula>B$9&gt;=20/24</formula>
    </cfRule>
    <cfRule type="expression" dxfId="3009" priority="93">
      <formula>AND(B$9&gt;=14/24,B$9&lt;20/24)</formula>
    </cfRule>
    <cfRule type="expression" dxfId="3008" priority="94">
      <formula>AND(B$9&gt;=8/24,B$9&lt;14/24)</formula>
    </cfRule>
    <cfRule type="expression" dxfId="3007" priority="95">
      <formula>B$9&lt;8/24</formula>
    </cfRule>
  </conditionalFormatting>
  <conditionalFormatting sqref="B11:B32 B34:B56">
    <cfRule type="expression" dxfId="3006" priority="91">
      <formula>B11&gt;$AG11</formula>
    </cfRule>
  </conditionalFormatting>
  <conditionalFormatting sqref="B34">
    <cfRule type="expression" dxfId="3005" priority="87">
      <formula>B$9&gt;=20/24</formula>
    </cfRule>
    <cfRule type="expression" dxfId="3004" priority="88">
      <formula>AND(B$9&gt;=14/24,B$9&lt;20/24)</formula>
    </cfRule>
    <cfRule type="expression" dxfId="3003" priority="89">
      <formula>AND(B$9&gt;=8/24,B$9&lt;14/24)</formula>
    </cfRule>
    <cfRule type="expression" dxfId="3002" priority="90">
      <formula>B$9&lt;8/24</formula>
    </cfRule>
  </conditionalFormatting>
  <conditionalFormatting sqref="B15">
    <cfRule type="expression" dxfId="3001" priority="83">
      <formula>B$9&gt;=20/24</formula>
    </cfRule>
    <cfRule type="expression" dxfId="3000" priority="84">
      <formula>AND(B$9&gt;=14/24,B$9&lt;20/24)</formula>
    </cfRule>
    <cfRule type="expression" dxfId="2999" priority="85">
      <formula>AND(B$9&gt;=8/24,B$9&lt;14/24)</formula>
    </cfRule>
    <cfRule type="expression" dxfId="2998" priority="86">
      <formula>B$9&lt;8/24</formula>
    </cfRule>
  </conditionalFormatting>
  <conditionalFormatting sqref="B33">
    <cfRule type="expression" dxfId="2997" priority="79">
      <formula>B$9&gt;=20/24</formula>
    </cfRule>
    <cfRule type="expression" dxfId="2996" priority="80">
      <formula>AND(B$9&gt;=14/24,B$9&lt;20/24)</formula>
    </cfRule>
    <cfRule type="expression" dxfId="2995" priority="81">
      <formula>AND(B$9&gt;=8/24,B$9&lt;14/24)</formula>
    </cfRule>
    <cfRule type="expression" dxfId="2994" priority="82">
      <formula>B$9&lt;8/24</formula>
    </cfRule>
  </conditionalFormatting>
  <conditionalFormatting sqref="B33">
    <cfRule type="expression" dxfId="2993" priority="78">
      <formula>B33&gt;$AG33</formula>
    </cfRule>
  </conditionalFormatting>
  <conditionalFormatting sqref="Q12:R14 Q16:R32 Q36:R36">
    <cfRule type="expression" dxfId="2992" priority="74">
      <formula>Q$9&gt;=20/24</formula>
    </cfRule>
    <cfRule type="expression" dxfId="2991" priority="75">
      <formula>AND(Q$9&gt;=14/24,Q$9&lt;20/24)</formula>
    </cfRule>
    <cfRule type="expression" dxfId="2990" priority="76">
      <formula>AND(Q$9&gt;=8/24,Q$9&lt;14/24)</formula>
    </cfRule>
    <cfRule type="expression" dxfId="2989" priority="77">
      <formula>Q$9&lt;8/24</formula>
    </cfRule>
  </conditionalFormatting>
  <conditionalFormatting sqref="Q35:R35">
    <cfRule type="expression" dxfId="2988" priority="70">
      <formula>Q$9&gt;=20/24</formula>
    </cfRule>
    <cfRule type="expression" dxfId="2987" priority="71">
      <formula>AND(Q$9&gt;=14/24,Q$9&lt;20/24)</formula>
    </cfRule>
    <cfRule type="expression" dxfId="2986" priority="72">
      <formula>AND(Q$9&gt;=8/24,Q$9&lt;14/24)</formula>
    </cfRule>
    <cfRule type="expression" dxfId="2985" priority="73">
      <formula>Q$9&lt;8/24</formula>
    </cfRule>
  </conditionalFormatting>
  <conditionalFormatting sqref="Q16:R32 Q12:R14 Q34:R36">
    <cfRule type="expression" dxfId="2984" priority="69">
      <formula>Q12&gt;$AG12</formula>
    </cfRule>
  </conditionalFormatting>
  <conditionalFormatting sqref="Q34:R34">
    <cfRule type="expression" dxfId="2983" priority="65">
      <formula>Q$9&gt;=20/24</formula>
    </cfRule>
    <cfRule type="expression" dxfId="2982" priority="66">
      <formula>AND(Q$9&gt;=14/24,Q$9&lt;20/24)</formula>
    </cfRule>
    <cfRule type="expression" dxfId="2981" priority="67">
      <formula>AND(Q$9&gt;=8/24,Q$9&lt;14/24)</formula>
    </cfRule>
    <cfRule type="expression" dxfId="2980" priority="68">
      <formula>Q$9&lt;8/24</formula>
    </cfRule>
  </conditionalFormatting>
  <conditionalFormatting sqref="Q15:R15">
    <cfRule type="expression" dxfId="2979" priority="61">
      <formula>Q$9&gt;=20/24</formula>
    </cfRule>
    <cfRule type="expression" dxfId="2978" priority="62">
      <formula>AND(Q$9&gt;=14/24,Q$9&lt;20/24)</formula>
    </cfRule>
    <cfRule type="expression" dxfId="2977" priority="63">
      <formula>AND(Q$9&gt;=8/24,Q$9&lt;14/24)</formula>
    </cfRule>
    <cfRule type="expression" dxfId="2976" priority="64">
      <formula>Q$9&lt;8/24</formula>
    </cfRule>
  </conditionalFormatting>
  <conditionalFormatting sqref="Q15:R15">
    <cfRule type="expression" dxfId="2975" priority="60">
      <formula>Q15&gt;$AG15</formula>
    </cfRule>
  </conditionalFormatting>
  <conditionalFormatting sqref="Q33:R33">
    <cfRule type="expression" dxfId="2974" priority="56">
      <formula>Q$9&gt;=20/24</formula>
    </cfRule>
    <cfRule type="expression" dxfId="2973" priority="57">
      <formula>AND(Q$9&gt;=14/24,Q$9&lt;20/24)</formula>
    </cfRule>
    <cfRule type="expression" dxfId="2972" priority="58">
      <formula>AND(Q$9&gt;=8/24,Q$9&lt;14/24)</formula>
    </cfRule>
    <cfRule type="expression" dxfId="2971" priority="59">
      <formula>Q$9&lt;8/24</formula>
    </cfRule>
  </conditionalFormatting>
  <conditionalFormatting sqref="Q33:R33">
    <cfRule type="expression" dxfId="2970" priority="55">
      <formula>Q33&gt;$AG33</formula>
    </cfRule>
  </conditionalFormatting>
  <conditionalFormatting sqref="Y11:Z11 Y18:AF30 Y36:AF36">
    <cfRule type="expression" dxfId="2969" priority="51">
      <formula>Y$9&gt;=20/24</formula>
    </cfRule>
    <cfRule type="expression" dxfId="2968" priority="52">
      <formula>AND(Y$9&gt;=14/24,Y$9&lt;20/24)</formula>
    </cfRule>
    <cfRule type="expression" dxfId="2967" priority="53">
      <formula>AND(Y$9&gt;=8/24,Y$9&lt;14/24)</formula>
    </cfRule>
    <cfRule type="expression" dxfId="2966" priority="54">
      <formula>Y$9&lt;8/24</formula>
    </cfRule>
  </conditionalFormatting>
  <conditionalFormatting sqref="Y37:AA37">
    <cfRule type="expression" dxfId="2965" priority="47">
      <formula>Y$9&gt;=20/24</formula>
    </cfRule>
    <cfRule type="expression" dxfId="2964" priority="48">
      <formula>AND(Y$9&gt;=14/24,Y$9&lt;20/24)</formula>
    </cfRule>
    <cfRule type="expression" dxfId="2963" priority="49">
      <formula>AND(Y$9&gt;=8/24,Y$9&lt;14/24)</formula>
    </cfRule>
    <cfRule type="expression" dxfId="2962" priority="50">
      <formula>Y$9&lt;8/24</formula>
    </cfRule>
  </conditionalFormatting>
  <conditionalFormatting sqref="Y31:AF32 Y35:AF35">
    <cfRule type="expression" dxfId="2961" priority="43">
      <formula>Y$9&gt;=20/24</formula>
    </cfRule>
    <cfRule type="expression" dxfId="2960" priority="44">
      <formula>AND(Y$9&gt;=14/24,Y$9&lt;20/24)</formula>
    </cfRule>
    <cfRule type="expression" dxfId="2959" priority="45">
      <formula>AND(Y$9&gt;=8/24,Y$9&lt;14/24)</formula>
    </cfRule>
    <cfRule type="expression" dxfId="2958" priority="46">
      <formula>Y$9&lt;8/24</formula>
    </cfRule>
  </conditionalFormatting>
  <conditionalFormatting sqref="Y11:Z11 Y34:AA37 Y18:AF32 AB34:AF36">
    <cfRule type="expression" dxfId="2957" priority="42">
      <formula>Y11&gt;$AG11</formula>
    </cfRule>
  </conditionalFormatting>
  <conditionalFormatting sqref="Y34:AF34">
    <cfRule type="expression" dxfId="2956" priority="38">
      <formula>Y$9&gt;=20/24</formula>
    </cfRule>
    <cfRule type="expression" dxfId="2955" priority="39">
      <formula>AND(Y$9&gt;=14/24,Y$9&lt;20/24)</formula>
    </cfRule>
    <cfRule type="expression" dxfId="2954" priority="40">
      <formula>AND(Y$9&gt;=8/24,Y$9&lt;14/24)</formula>
    </cfRule>
    <cfRule type="expression" dxfId="2953" priority="41">
      <formula>Y$9&lt;8/24</formula>
    </cfRule>
  </conditionalFormatting>
  <conditionalFormatting sqref="Y12:AF16">
    <cfRule type="expression" dxfId="2952" priority="34">
      <formula>Y$9&gt;=20/24</formula>
    </cfRule>
    <cfRule type="expression" dxfId="2951" priority="35">
      <formula>AND(Y$9&gt;=14/24,Y$9&lt;20/24)</formula>
    </cfRule>
    <cfRule type="expression" dxfId="2950" priority="36">
      <formula>AND(Y$9&gt;=8/24,Y$9&lt;14/24)</formula>
    </cfRule>
    <cfRule type="expression" dxfId="2949" priority="37">
      <formula>Y$9&lt;8/24</formula>
    </cfRule>
  </conditionalFormatting>
  <conditionalFormatting sqref="Y17:AF17">
    <cfRule type="expression" dxfId="2948" priority="30">
      <formula>Y$9&gt;=20/24</formula>
    </cfRule>
    <cfRule type="expression" dxfId="2947" priority="31">
      <formula>AND(Y$9&gt;=14/24,Y$9&lt;20/24)</formula>
    </cfRule>
    <cfRule type="expression" dxfId="2946" priority="32">
      <formula>AND(Y$9&gt;=8/24,Y$9&lt;14/24)</formula>
    </cfRule>
    <cfRule type="expression" dxfId="2945" priority="33">
      <formula>Y$9&lt;8/24</formula>
    </cfRule>
  </conditionalFormatting>
  <conditionalFormatting sqref="Y12:AF13">
    <cfRule type="expression" dxfId="2944" priority="26">
      <formula>Y$9&gt;=20/24</formula>
    </cfRule>
    <cfRule type="expression" dxfId="2943" priority="27">
      <formula>AND(Y$9&gt;=14/24,Y$9&lt;20/24)</formula>
    </cfRule>
    <cfRule type="expression" dxfId="2942" priority="28">
      <formula>AND(Y$9&gt;=8/24,Y$9&lt;14/24)</formula>
    </cfRule>
    <cfRule type="expression" dxfId="2941" priority="29">
      <formula>Y$9&lt;8/24</formula>
    </cfRule>
  </conditionalFormatting>
  <conditionalFormatting sqref="Y33:AF33">
    <cfRule type="expression" dxfId="2940" priority="22">
      <formula>Y$9&gt;=20/24</formula>
    </cfRule>
    <cfRule type="expression" dxfId="2939" priority="23">
      <formula>AND(Y$9&gt;=14/24,Y$9&lt;20/24)</formula>
    </cfRule>
    <cfRule type="expression" dxfId="2938" priority="24">
      <formula>AND(Y$9&gt;=8/24,Y$9&lt;14/24)</formula>
    </cfRule>
    <cfRule type="expression" dxfId="2937" priority="25">
      <formula>Y$9&lt;8/24</formula>
    </cfRule>
  </conditionalFormatting>
  <conditionalFormatting sqref="Y33:AF33">
    <cfRule type="expression" dxfId="2936" priority="21">
      <formula>Y33&gt;$AG33</formula>
    </cfRule>
  </conditionalFormatting>
  <conditionalFormatting sqref="Y49:AF49">
    <cfRule type="expression" dxfId="2935" priority="17">
      <formula>Y$9&gt;=20/24</formula>
    </cfRule>
    <cfRule type="expression" dxfId="2934" priority="18">
      <formula>AND(Y$9&gt;=14/24,Y$9&lt;20/24)</formula>
    </cfRule>
    <cfRule type="expression" dxfId="2933" priority="19">
      <formula>AND(Y$9&gt;=8/24,Y$9&lt;14/24)</formula>
    </cfRule>
    <cfRule type="expression" dxfId="2932" priority="20">
      <formula>Y$9&lt;8/24</formula>
    </cfRule>
  </conditionalFormatting>
  <conditionalFormatting sqref="Y58:AA59">
    <cfRule type="expression" dxfId="2931" priority="13">
      <formula>Y$9&gt;=20/24</formula>
    </cfRule>
    <cfRule type="expression" dxfId="2930" priority="14">
      <formula>AND(Y$9&gt;=14/24,Y$9&lt;20/24)</formula>
    </cfRule>
    <cfRule type="expression" dxfId="2929" priority="15">
      <formula>AND(Y$9&gt;=8/24,Y$9&lt;14/24)</formula>
    </cfRule>
    <cfRule type="expression" dxfId="2928" priority="16">
      <formula>Y$9&lt;8/24</formula>
    </cfRule>
  </conditionalFormatting>
  <conditionalFormatting sqref="Y57:AA57">
    <cfRule type="expression" dxfId="2927" priority="9">
      <formula>Y$9&gt;=20/24</formula>
    </cfRule>
    <cfRule type="expression" dxfId="2926" priority="10">
      <formula>AND(Y$9&gt;=14/24,Y$9&lt;20/24)</formula>
    </cfRule>
    <cfRule type="expression" dxfId="2925" priority="11">
      <formula>AND(Y$9&gt;=8/24,Y$9&lt;14/24)</formula>
    </cfRule>
    <cfRule type="expression" dxfId="2924" priority="12">
      <formula>Y$9&lt;8/24</formula>
    </cfRule>
  </conditionalFormatting>
  <conditionalFormatting sqref="Y61:AA67 AB62:AC67">
    <cfRule type="expression" dxfId="2923" priority="5">
      <formula>Y$9&gt;=20/24</formula>
    </cfRule>
    <cfRule type="expression" dxfId="2922" priority="6">
      <formula>AND(Y$9&gt;=14/24,Y$9&lt;20/24)</formula>
    </cfRule>
    <cfRule type="expression" dxfId="2921" priority="7">
      <formula>AND(Y$9&gt;=8/24,Y$9&lt;14/24)</formula>
    </cfRule>
    <cfRule type="expression" dxfId="2920" priority="8">
      <formula>Y$9&lt;8/24</formula>
    </cfRule>
  </conditionalFormatting>
  <conditionalFormatting sqref="Y60:AA60">
    <cfRule type="expression" dxfId="2919" priority="1">
      <formula>Y$9&gt;=20/24</formula>
    </cfRule>
    <cfRule type="expression" dxfId="2918" priority="2">
      <formula>AND(Y$9&gt;=14/24,Y$9&lt;20/24)</formula>
    </cfRule>
    <cfRule type="expression" dxfId="2917" priority="3">
      <formula>AND(Y$9&gt;=8/24,Y$9&lt;14/24)</formula>
    </cfRule>
    <cfRule type="expression" dxfId="2916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1" id="{47B47680-3084-4768-860E-22F417AFCFA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L61" sqref="L61"/>
    </sheetView>
  </sheetViews>
  <sheetFormatPr defaultRowHeight="15" x14ac:dyDescent="0.25"/>
  <cols>
    <col min="1" max="1" width="34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2078/09/23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202</v>
      </c>
      <c r="C5" s="32">
        <f t="shared" si="0"/>
        <v>154.4</v>
      </c>
      <c r="D5" s="32">
        <f t="shared" si="0"/>
        <v>170.6</v>
      </c>
      <c r="E5" s="32">
        <f t="shared" si="0"/>
        <v>199</v>
      </c>
      <c r="F5" s="32">
        <f t="shared" si="0"/>
        <v>296</v>
      </c>
      <c r="G5" s="32">
        <f t="shared" si="0"/>
        <v>324.5</v>
      </c>
      <c r="H5" s="32">
        <f t="shared" si="0"/>
        <v>311.2</v>
      </c>
      <c r="I5" s="32">
        <f t="shared" si="0"/>
        <v>322.10000000000002</v>
      </c>
      <c r="J5" s="32">
        <f t="shared" si="0"/>
        <v>316.7</v>
      </c>
      <c r="K5" s="32">
        <f t="shared" si="0"/>
        <v>225.1</v>
      </c>
      <c r="L5" s="32">
        <f t="shared" si="0"/>
        <v>200.2</v>
      </c>
      <c r="M5" s="32">
        <f t="shared" si="0"/>
        <v>169.1</v>
      </c>
      <c r="N5" s="32">
        <f t="shared" si="0"/>
        <v>391.3</v>
      </c>
      <c r="O5" s="32">
        <f t="shared" si="0"/>
        <v>351.90000000000003</v>
      </c>
      <c r="P5" s="32">
        <f t="shared" si="0"/>
        <v>349.5</v>
      </c>
      <c r="Q5" s="32">
        <f t="shared" si="0"/>
        <v>374.8</v>
      </c>
      <c r="R5" s="32">
        <f t="shared" si="0"/>
        <v>395.7</v>
      </c>
      <c r="S5" s="32">
        <f t="shared" si="0"/>
        <v>397.3</v>
      </c>
      <c r="T5" s="32">
        <f t="shared" si="0"/>
        <v>349.6</v>
      </c>
      <c r="U5" s="32">
        <f t="shared" si="0"/>
        <v>112</v>
      </c>
      <c r="V5" s="32">
        <f t="shared" si="0"/>
        <v>108.8</v>
      </c>
      <c r="W5" s="32">
        <f t="shared" si="0"/>
        <v>281.3</v>
      </c>
      <c r="X5" s="32">
        <f t="shared" si="0"/>
        <v>184.8</v>
      </c>
      <c r="Y5" s="32">
        <f t="shared" si="0"/>
        <v>108.8</v>
      </c>
      <c r="Z5" s="32">
        <f t="shared" si="0"/>
        <v>346.8</v>
      </c>
      <c r="AA5" s="32">
        <f t="shared" si="0"/>
        <v>330</v>
      </c>
      <c r="AB5" s="32">
        <f t="shared" si="0"/>
        <v>340.1</v>
      </c>
      <c r="AC5" s="32">
        <f t="shared" si="0"/>
        <v>347</v>
      </c>
      <c r="AD5" s="32">
        <f t="shared" si="0"/>
        <v>318</v>
      </c>
      <c r="AE5" s="32">
        <f t="shared" si="0"/>
        <v>239.2</v>
      </c>
      <c r="AF5" s="32">
        <f>B68</f>
        <v>258.60000000000002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Load=870</v>
      </c>
      <c r="B7" s="37">
        <f>B75</f>
        <v>904.24</v>
      </c>
      <c r="C7" s="37">
        <f t="shared" ref="C7:AF7" si="1">C75</f>
        <v>890.34</v>
      </c>
      <c r="D7" s="37">
        <f t="shared" si="1"/>
        <v>874.54</v>
      </c>
      <c r="E7" s="37">
        <f t="shared" si="1"/>
        <v>870.04</v>
      </c>
      <c r="F7" s="37">
        <f t="shared" si="1"/>
        <v>871.04</v>
      </c>
      <c r="G7" s="37">
        <f t="shared" si="1"/>
        <v>931.54</v>
      </c>
      <c r="H7" s="37">
        <f t="shared" si="1"/>
        <v>1008.44</v>
      </c>
      <c r="I7" s="37">
        <f t="shared" si="1"/>
        <v>1086.7399999999998</v>
      </c>
      <c r="J7" s="37">
        <f t="shared" si="1"/>
        <v>1209.74</v>
      </c>
      <c r="K7" s="37">
        <f t="shared" si="1"/>
        <v>1335.6399999999999</v>
      </c>
      <c r="L7" s="37">
        <f t="shared" si="1"/>
        <v>1438.84</v>
      </c>
      <c r="M7" s="37">
        <f t="shared" si="1"/>
        <v>1462.5400000000002</v>
      </c>
      <c r="N7" s="37">
        <f t="shared" si="1"/>
        <v>1434.44</v>
      </c>
      <c r="O7" s="37">
        <f t="shared" si="1"/>
        <v>1392.24</v>
      </c>
      <c r="P7" s="37">
        <f t="shared" si="1"/>
        <v>1353.3400000000001</v>
      </c>
      <c r="Q7" s="37">
        <f t="shared" si="1"/>
        <v>1280.6399999999999</v>
      </c>
      <c r="R7" s="37">
        <f t="shared" si="1"/>
        <v>1210.1399999999999</v>
      </c>
      <c r="S7" s="37">
        <f t="shared" si="1"/>
        <v>1199.9399999999998</v>
      </c>
      <c r="T7" s="37">
        <f t="shared" si="1"/>
        <v>1204.3399999999999</v>
      </c>
      <c r="U7" s="37">
        <f t="shared" si="1"/>
        <v>1216.2400000000002</v>
      </c>
      <c r="V7" s="37">
        <f t="shared" si="1"/>
        <v>1322.3400000000001</v>
      </c>
      <c r="W7" s="37">
        <f t="shared" si="1"/>
        <v>1387.94</v>
      </c>
      <c r="X7" s="37">
        <f t="shared" si="1"/>
        <v>1549.5400000000002</v>
      </c>
      <c r="Y7" s="37">
        <f t="shared" si="1"/>
        <v>1539.54</v>
      </c>
      <c r="Z7" s="37">
        <f t="shared" si="1"/>
        <v>1524.94</v>
      </c>
      <c r="AA7" s="37">
        <f t="shared" si="1"/>
        <v>1466.94</v>
      </c>
      <c r="AB7" s="37">
        <f t="shared" si="1"/>
        <v>1449.54</v>
      </c>
      <c r="AC7" s="37">
        <f t="shared" si="1"/>
        <v>1369.84</v>
      </c>
      <c r="AD7" s="37">
        <f t="shared" si="1"/>
        <v>1252.54</v>
      </c>
      <c r="AE7" s="37">
        <f t="shared" si="1"/>
        <v>1074.44</v>
      </c>
      <c r="AF7" s="37">
        <f t="shared" si="1"/>
        <v>942.64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40</v>
      </c>
      <c r="D11" s="49">
        <v>60</v>
      </c>
      <c r="E11" s="49">
        <v>18.8</v>
      </c>
      <c r="F11" s="49">
        <v>10</v>
      </c>
      <c r="G11" s="49">
        <v>10</v>
      </c>
      <c r="H11" s="49">
        <v>20</v>
      </c>
      <c r="I11" s="49">
        <v>41.1</v>
      </c>
      <c r="J11" s="49">
        <v>80</v>
      </c>
      <c r="K11" s="49">
        <v>140</v>
      </c>
      <c r="L11" s="49">
        <v>300</v>
      </c>
      <c r="M11" s="50">
        <v>375</v>
      </c>
      <c r="N11" s="50">
        <v>345</v>
      </c>
      <c r="O11" s="50">
        <v>100</v>
      </c>
      <c r="P11" s="50">
        <v>100</v>
      </c>
      <c r="Q11" s="50">
        <v>50</v>
      </c>
      <c r="R11" s="51">
        <v>50</v>
      </c>
      <c r="S11" s="50">
        <v>50</v>
      </c>
      <c r="T11" s="50">
        <v>50</v>
      </c>
      <c r="U11" s="50">
        <v>110</v>
      </c>
      <c r="V11" s="50">
        <v>320</v>
      </c>
      <c r="W11" s="50">
        <v>380</v>
      </c>
      <c r="X11" s="50">
        <v>310</v>
      </c>
      <c r="Y11" s="50">
        <v>400</v>
      </c>
      <c r="Z11" s="50">
        <v>456</v>
      </c>
      <c r="AA11" s="50">
        <v>160</v>
      </c>
      <c r="AB11" s="50">
        <v>160</v>
      </c>
      <c r="AC11" s="50">
        <v>100</v>
      </c>
      <c r="AD11" s="50">
        <v>30</v>
      </c>
      <c r="AE11" s="50">
        <v>15</v>
      </c>
      <c r="AF11" s="50">
        <v>15</v>
      </c>
      <c r="AG11" s="53">
        <v>456</v>
      </c>
      <c r="AH11" s="54">
        <f>MAX(B11:AF11)</f>
        <v>456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44</v>
      </c>
      <c r="C12" s="58">
        <v>44</v>
      </c>
      <c r="D12" s="58">
        <v>44</v>
      </c>
      <c r="E12" s="58">
        <v>44</v>
      </c>
      <c r="F12" s="58">
        <v>44</v>
      </c>
      <c r="G12" s="58">
        <v>44</v>
      </c>
      <c r="H12" s="58">
        <v>44</v>
      </c>
      <c r="I12" s="58">
        <v>44</v>
      </c>
      <c r="J12" s="58">
        <v>44</v>
      </c>
      <c r="K12" s="58">
        <v>44</v>
      </c>
      <c r="L12" s="58">
        <v>44</v>
      </c>
      <c r="M12" s="49">
        <v>44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49">
        <v>44</v>
      </c>
      <c r="Y12" s="58">
        <v>44</v>
      </c>
      <c r="Z12" s="58">
        <v>44</v>
      </c>
      <c r="AA12" s="58">
        <v>44</v>
      </c>
      <c r="AB12" s="58">
        <v>44</v>
      </c>
      <c r="AC12" s="58">
        <v>44</v>
      </c>
      <c r="AD12" s="58">
        <v>44</v>
      </c>
      <c r="AE12" s="58">
        <v>44</v>
      </c>
      <c r="AF12" s="58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179"/>
      <c r="AL12" s="179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24.9</v>
      </c>
      <c r="C13" s="58">
        <v>24.9</v>
      </c>
      <c r="D13" s="58">
        <v>24.9</v>
      </c>
      <c r="E13" s="58">
        <v>25.4</v>
      </c>
      <c r="F13" s="58">
        <v>25.4</v>
      </c>
      <c r="G13" s="58">
        <v>25.4</v>
      </c>
      <c r="H13" s="58">
        <v>25.4</v>
      </c>
      <c r="I13" s="58">
        <v>25.4</v>
      </c>
      <c r="J13" s="58">
        <v>25</v>
      </c>
      <c r="K13" s="58">
        <v>25</v>
      </c>
      <c r="L13" s="58">
        <v>25</v>
      </c>
      <c r="M13" s="49">
        <v>25.1</v>
      </c>
      <c r="N13" s="49">
        <v>25.1</v>
      </c>
      <c r="O13" s="49">
        <v>25.1</v>
      </c>
      <c r="P13" s="49">
        <v>25.1</v>
      </c>
      <c r="Q13" s="49">
        <v>25.1</v>
      </c>
      <c r="R13" s="49">
        <v>25.3</v>
      </c>
      <c r="S13" s="49">
        <v>25.3</v>
      </c>
      <c r="T13" s="49">
        <v>25.3</v>
      </c>
      <c r="U13" s="49">
        <v>25.3</v>
      </c>
      <c r="V13" s="49">
        <v>25.3</v>
      </c>
      <c r="W13" s="49">
        <v>25.3</v>
      </c>
      <c r="X13" s="49">
        <v>25.3</v>
      </c>
      <c r="Y13" s="58">
        <v>25.3</v>
      </c>
      <c r="Z13" s="58">
        <v>25.3</v>
      </c>
      <c r="AA13" s="58">
        <v>25.3</v>
      </c>
      <c r="AB13" s="58">
        <v>23.8</v>
      </c>
      <c r="AC13" s="58">
        <v>23.8</v>
      </c>
      <c r="AD13" s="58">
        <v>23.8</v>
      </c>
      <c r="AE13" s="58">
        <v>24.2</v>
      </c>
      <c r="AF13" s="58">
        <v>24.9</v>
      </c>
      <c r="AG13" s="59">
        <v>52.4</v>
      </c>
      <c r="AH13" s="54">
        <f t="shared" si="2"/>
        <v>25.4</v>
      </c>
      <c r="AI13" s="55">
        <f t="shared" si="3"/>
        <v>23.8</v>
      </c>
      <c r="AK13" s="180"/>
      <c r="AL13" s="18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46.2</v>
      </c>
      <c r="C14" s="60">
        <v>46.2</v>
      </c>
      <c r="D14" s="60">
        <v>46.2</v>
      </c>
      <c r="E14" s="60">
        <v>45.1</v>
      </c>
      <c r="F14" s="60">
        <v>45.1</v>
      </c>
      <c r="G14" s="60">
        <v>45.1</v>
      </c>
      <c r="H14" s="60">
        <v>45.1</v>
      </c>
      <c r="I14" s="60">
        <v>45.1</v>
      </c>
      <c r="J14" s="60">
        <v>46.7</v>
      </c>
      <c r="K14" s="60">
        <v>46.7</v>
      </c>
      <c r="L14" s="60">
        <v>46.7</v>
      </c>
      <c r="M14" s="50">
        <v>47.1</v>
      </c>
      <c r="N14" s="50">
        <v>47.1</v>
      </c>
      <c r="O14" s="50">
        <v>47.1</v>
      </c>
      <c r="P14" s="50">
        <v>47.1</v>
      </c>
      <c r="Q14" s="50">
        <v>47.1</v>
      </c>
      <c r="R14" s="50">
        <v>47.1</v>
      </c>
      <c r="S14" s="50">
        <v>47.1</v>
      </c>
      <c r="T14" s="50">
        <v>47.1</v>
      </c>
      <c r="U14" s="50">
        <v>47.1</v>
      </c>
      <c r="V14" s="50">
        <v>47.1</v>
      </c>
      <c r="W14" s="50">
        <v>47.1</v>
      </c>
      <c r="X14" s="50">
        <v>47.1</v>
      </c>
      <c r="Y14" s="60">
        <v>47.1</v>
      </c>
      <c r="Z14" s="60">
        <v>47.1</v>
      </c>
      <c r="AA14" s="60">
        <v>47.1</v>
      </c>
      <c r="AB14" s="60">
        <v>47.1</v>
      </c>
      <c r="AC14" s="60">
        <v>47.1</v>
      </c>
      <c r="AD14" s="60">
        <v>47.1</v>
      </c>
      <c r="AE14" s="60">
        <v>47.1</v>
      </c>
      <c r="AF14" s="60">
        <v>47.1</v>
      </c>
      <c r="AG14" s="59">
        <v>50</v>
      </c>
      <c r="AH14" s="54">
        <f t="shared" si="2"/>
        <v>47.1</v>
      </c>
      <c r="AI14" s="55">
        <f t="shared" si="3"/>
        <v>45.1</v>
      </c>
      <c r="AK14" s="179"/>
      <c r="AL14" s="18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23.5</v>
      </c>
      <c r="C15" s="60">
        <v>23.5</v>
      </c>
      <c r="D15" s="60">
        <v>23.5</v>
      </c>
      <c r="E15" s="60">
        <v>23.6</v>
      </c>
      <c r="F15" s="60">
        <v>23.6</v>
      </c>
      <c r="G15" s="60">
        <v>23.6</v>
      </c>
      <c r="H15" s="60">
        <v>23.6</v>
      </c>
      <c r="I15" s="60">
        <v>23.6</v>
      </c>
      <c r="J15" s="60">
        <v>24.3</v>
      </c>
      <c r="K15" s="60">
        <v>24.3</v>
      </c>
      <c r="L15" s="60">
        <v>24.3</v>
      </c>
      <c r="M15" s="50">
        <v>23.2</v>
      </c>
      <c r="N15" s="50">
        <v>23.2</v>
      </c>
      <c r="O15" s="50">
        <v>23.2</v>
      </c>
      <c r="P15" s="50">
        <v>23.2</v>
      </c>
      <c r="Q15" s="50">
        <v>23.2</v>
      </c>
      <c r="R15" s="50">
        <v>23.2</v>
      </c>
      <c r="S15" s="50">
        <v>23.2</v>
      </c>
      <c r="T15" s="50">
        <v>23.2</v>
      </c>
      <c r="U15" s="50">
        <v>23.2</v>
      </c>
      <c r="V15" s="50">
        <v>23.2</v>
      </c>
      <c r="W15" s="50">
        <v>23.2</v>
      </c>
      <c r="X15" s="50">
        <v>23.2</v>
      </c>
      <c r="Y15" s="60">
        <v>23.2</v>
      </c>
      <c r="Z15" s="60">
        <v>23.2</v>
      </c>
      <c r="AA15" s="60">
        <v>23.2</v>
      </c>
      <c r="AB15" s="60">
        <v>23.2</v>
      </c>
      <c r="AC15" s="60">
        <v>23.2</v>
      </c>
      <c r="AD15" s="60">
        <v>23.2</v>
      </c>
      <c r="AE15" s="60">
        <v>23.2</v>
      </c>
      <c r="AF15" s="60">
        <v>23.2</v>
      </c>
      <c r="AG15" s="62">
        <v>45</v>
      </c>
      <c r="AH15" s="54">
        <f t="shared" si="2"/>
        <v>24.3</v>
      </c>
      <c r="AI15" s="55">
        <f t="shared" si="3"/>
        <v>23.2</v>
      </c>
      <c r="AK15" s="180"/>
      <c r="AL15" s="18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50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180"/>
      <c r="AL16" s="18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11</v>
      </c>
      <c r="C17" s="60">
        <v>11</v>
      </c>
      <c r="D17" s="60">
        <v>11</v>
      </c>
      <c r="E17" s="60">
        <v>11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5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180"/>
      <c r="AL17" s="18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11.7</v>
      </c>
      <c r="C19" s="50">
        <v>11.7</v>
      </c>
      <c r="D19" s="50">
        <v>11.7</v>
      </c>
      <c r="E19" s="50">
        <v>11.7</v>
      </c>
      <c r="F19" s="50">
        <v>11.7</v>
      </c>
      <c r="G19" s="50">
        <v>11.7</v>
      </c>
      <c r="H19" s="50">
        <v>11.7</v>
      </c>
      <c r="I19" s="50">
        <v>11.7</v>
      </c>
      <c r="J19" s="50">
        <v>11.6</v>
      </c>
      <c r="K19" s="50">
        <v>11.6</v>
      </c>
      <c r="L19" s="50">
        <v>11.6</v>
      </c>
      <c r="M19" s="50">
        <v>11.6</v>
      </c>
      <c r="N19" s="50">
        <v>11.6</v>
      </c>
      <c r="O19" s="50">
        <v>11.6</v>
      </c>
      <c r="P19" s="50">
        <v>11.6</v>
      </c>
      <c r="Q19" s="50">
        <v>11.6</v>
      </c>
      <c r="R19" s="50">
        <v>11.6</v>
      </c>
      <c r="S19" s="50">
        <v>11.6</v>
      </c>
      <c r="T19" s="50">
        <v>11.6</v>
      </c>
      <c r="U19" s="50">
        <v>11.6</v>
      </c>
      <c r="V19" s="50">
        <v>11.6</v>
      </c>
      <c r="W19" s="50">
        <v>11.6</v>
      </c>
      <c r="X19" s="50">
        <v>11.6</v>
      </c>
      <c r="Y19" s="50">
        <v>11.6</v>
      </c>
      <c r="Z19" s="50">
        <v>11.6</v>
      </c>
      <c r="AA19" s="50">
        <v>11.6</v>
      </c>
      <c r="AB19" s="50">
        <v>11.5</v>
      </c>
      <c r="AC19" s="50">
        <v>11.5</v>
      </c>
      <c r="AD19" s="50">
        <v>11.5</v>
      </c>
      <c r="AE19" s="50">
        <v>11.7</v>
      </c>
      <c r="AF19" s="50">
        <v>11.7</v>
      </c>
      <c r="AG19" s="59">
        <v>30</v>
      </c>
      <c r="AH19" s="54">
        <f t="shared" si="2"/>
        <v>11.7</v>
      </c>
      <c r="AI19" s="55">
        <f t="shared" si="3"/>
        <v>11.5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14.1</v>
      </c>
      <c r="C22" s="50">
        <v>14.1</v>
      </c>
      <c r="D22" s="50">
        <v>14.1</v>
      </c>
      <c r="E22" s="50">
        <v>14.1</v>
      </c>
      <c r="F22" s="50">
        <v>14.1</v>
      </c>
      <c r="G22" s="50">
        <v>14.1</v>
      </c>
      <c r="H22" s="50">
        <v>14.1</v>
      </c>
      <c r="I22" s="50">
        <v>14.1</v>
      </c>
      <c r="J22" s="50">
        <v>14</v>
      </c>
      <c r="K22" s="50">
        <v>14</v>
      </c>
      <c r="L22" s="50">
        <v>14</v>
      </c>
      <c r="M22" s="50">
        <v>14</v>
      </c>
      <c r="N22" s="50">
        <v>14</v>
      </c>
      <c r="O22" s="50">
        <v>14</v>
      </c>
      <c r="P22" s="50">
        <v>14</v>
      </c>
      <c r="Q22" s="50">
        <v>14</v>
      </c>
      <c r="R22" s="50">
        <v>14</v>
      </c>
      <c r="S22" s="50">
        <v>14</v>
      </c>
      <c r="T22" s="50">
        <v>14</v>
      </c>
      <c r="U22" s="50">
        <v>14</v>
      </c>
      <c r="V22" s="50">
        <v>14</v>
      </c>
      <c r="W22" s="50">
        <v>14</v>
      </c>
      <c r="X22" s="50">
        <v>14</v>
      </c>
      <c r="Y22" s="50">
        <v>20.399999999999999</v>
      </c>
      <c r="Z22" s="50">
        <v>20.399999999999999</v>
      </c>
      <c r="AA22" s="50">
        <v>20.399999999999999</v>
      </c>
      <c r="AB22" s="50">
        <v>20.399999999999999</v>
      </c>
      <c r="AC22" s="50">
        <v>20.399999999999999</v>
      </c>
      <c r="AD22" s="50">
        <v>20.399999999999999</v>
      </c>
      <c r="AE22" s="50">
        <v>20.399999999999999</v>
      </c>
      <c r="AF22" s="50">
        <v>20.399999999999999</v>
      </c>
      <c r="AG22" s="59">
        <v>25</v>
      </c>
      <c r="AH22" s="54">
        <f t="shared" si="2"/>
        <v>20.399999999999999</v>
      </c>
      <c r="AI22" s="55">
        <f t="shared" si="3"/>
        <v>14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13.3</v>
      </c>
      <c r="C24" s="50">
        <v>13.3</v>
      </c>
      <c r="D24" s="50">
        <v>13.3</v>
      </c>
      <c r="E24" s="50">
        <v>14</v>
      </c>
      <c r="F24" s="50">
        <v>14</v>
      </c>
      <c r="G24" s="50">
        <v>14</v>
      </c>
      <c r="H24" s="50">
        <v>14</v>
      </c>
      <c r="I24" s="50">
        <v>14</v>
      </c>
      <c r="J24" s="50">
        <v>13.7</v>
      </c>
      <c r="K24" s="50">
        <v>13.7</v>
      </c>
      <c r="L24" s="50">
        <v>13.7</v>
      </c>
      <c r="M24" s="50">
        <v>12.7</v>
      </c>
      <c r="N24" s="50">
        <v>12.7</v>
      </c>
      <c r="O24" s="50">
        <v>12.7</v>
      </c>
      <c r="P24" s="50">
        <v>12.7</v>
      </c>
      <c r="Q24" s="50">
        <v>12.7</v>
      </c>
      <c r="R24" s="50">
        <v>12.7</v>
      </c>
      <c r="S24" s="50">
        <v>12.7</v>
      </c>
      <c r="T24" s="50">
        <v>12.7</v>
      </c>
      <c r="U24" s="50">
        <v>12.7</v>
      </c>
      <c r="V24" s="50">
        <v>12.7</v>
      </c>
      <c r="W24" s="50">
        <v>12.7</v>
      </c>
      <c r="X24" s="50">
        <v>12.7</v>
      </c>
      <c r="Y24" s="50">
        <v>14.4</v>
      </c>
      <c r="Z24" s="50">
        <v>14.4</v>
      </c>
      <c r="AA24" s="50">
        <v>14.4</v>
      </c>
      <c r="AB24" s="50">
        <v>15.4</v>
      </c>
      <c r="AC24" s="50">
        <v>15.4</v>
      </c>
      <c r="AD24" s="50">
        <v>15.4</v>
      </c>
      <c r="AE24" s="50">
        <v>15.5</v>
      </c>
      <c r="AF24" s="50">
        <v>14.5</v>
      </c>
      <c r="AG24" s="59">
        <v>25</v>
      </c>
      <c r="AH24" s="54">
        <f t="shared" si="2"/>
        <v>15.5</v>
      </c>
      <c r="AI24" s="55">
        <f t="shared" si="3"/>
        <v>12.7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11</v>
      </c>
      <c r="C25" s="50">
        <v>11</v>
      </c>
      <c r="D25" s="50">
        <v>11</v>
      </c>
      <c r="E25" s="50">
        <v>11</v>
      </c>
      <c r="F25" s="50">
        <v>11</v>
      </c>
      <c r="G25" s="50">
        <v>11</v>
      </c>
      <c r="H25" s="50">
        <v>11</v>
      </c>
      <c r="I25" s="50">
        <v>11</v>
      </c>
      <c r="J25" s="50">
        <v>11</v>
      </c>
      <c r="K25" s="50">
        <v>11</v>
      </c>
      <c r="L25" s="50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9.5</v>
      </c>
      <c r="C26" s="50">
        <v>9.5</v>
      </c>
      <c r="D26" s="50">
        <v>9.5</v>
      </c>
      <c r="E26" s="50">
        <v>9.5</v>
      </c>
      <c r="F26" s="50">
        <v>9.5</v>
      </c>
      <c r="G26" s="50">
        <v>9.5</v>
      </c>
      <c r="H26" s="50">
        <v>9.5</v>
      </c>
      <c r="I26" s="50">
        <v>9.5</v>
      </c>
      <c r="J26" s="50">
        <v>9.5</v>
      </c>
      <c r="K26" s="50">
        <v>9.5</v>
      </c>
      <c r="L26" s="50">
        <v>9.5</v>
      </c>
      <c r="M26" s="50">
        <v>9.5</v>
      </c>
      <c r="N26" s="50">
        <v>9.5</v>
      </c>
      <c r="O26" s="50">
        <v>9.5</v>
      </c>
      <c r="P26" s="50">
        <v>9.5</v>
      </c>
      <c r="Q26" s="50">
        <v>9.5</v>
      </c>
      <c r="R26" s="50">
        <v>9.5</v>
      </c>
      <c r="S26" s="50">
        <v>9.5</v>
      </c>
      <c r="T26" s="50">
        <v>9.5</v>
      </c>
      <c r="U26" s="50">
        <v>9.5</v>
      </c>
      <c r="V26" s="50">
        <v>9.5</v>
      </c>
      <c r="W26" s="50">
        <v>9.5</v>
      </c>
      <c r="X26" s="50">
        <v>9.5</v>
      </c>
      <c r="Y26" s="50">
        <v>9.5</v>
      </c>
      <c r="Z26" s="50">
        <v>9.5</v>
      </c>
      <c r="AA26" s="50">
        <v>9.5</v>
      </c>
      <c r="AB26" s="50">
        <v>9.5</v>
      </c>
      <c r="AC26" s="50">
        <v>9.5</v>
      </c>
      <c r="AD26" s="50">
        <v>9.5</v>
      </c>
      <c r="AE26" s="50">
        <v>9.5</v>
      </c>
      <c r="AF26" s="50">
        <v>9.5</v>
      </c>
      <c r="AG26" s="59">
        <v>20</v>
      </c>
      <c r="AH26" s="54">
        <f t="shared" si="2"/>
        <v>9.5</v>
      </c>
      <c r="AI26" s="55">
        <f t="shared" si="3"/>
        <v>9.5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61.5</v>
      </c>
      <c r="C37" s="61">
        <v>61.2</v>
      </c>
      <c r="D37" s="61">
        <v>62.2</v>
      </c>
      <c r="E37" s="61">
        <v>62.2</v>
      </c>
      <c r="F37" s="61">
        <v>62.2</v>
      </c>
      <c r="G37" s="61">
        <v>62.2</v>
      </c>
      <c r="H37" s="61">
        <v>62.2</v>
      </c>
      <c r="I37" s="61">
        <v>62.2</v>
      </c>
      <c r="J37" s="61">
        <v>62.2</v>
      </c>
      <c r="K37" s="61">
        <v>62.2</v>
      </c>
      <c r="L37" s="61">
        <v>62.2</v>
      </c>
      <c r="M37" s="70">
        <v>62.2</v>
      </c>
      <c r="N37" s="70">
        <f>21.1+38.4</f>
        <v>59.5</v>
      </c>
      <c r="O37" s="70">
        <f>21.7+39.8</f>
        <v>61.5</v>
      </c>
      <c r="P37" s="70">
        <f>22.1+40.1</f>
        <v>62.2</v>
      </c>
      <c r="Q37" s="70">
        <f>21.9+39.7</f>
        <v>61.6</v>
      </c>
      <c r="R37" s="70">
        <f>22+39.6</f>
        <v>61.6</v>
      </c>
      <c r="S37" s="70">
        <f>38.8+21.5</f>
        <v>60.3</v>
      </c>
      <c r="T37" s="70">
        <f>38.8+21.5</f>
        <v>60.3</v>
      </c>
      <c r="U37" s="70">
        <f>38.6+21.3</f>
        <v>59.900000000000006</v>
      </c>
      <c r="V37" s="70">
        <f>38.6+21.3</f>
        <v>59.900000000000006</v>
      </c>
      <c r="W37" s="70">
        <f>38.6+21.3</f>
        <v>59.900000000000006</v>
      </c>
      <c r="X37" s="70">
        <f>38.6+21.3</f>
        <v>59.900000000000006</v>
      </c>
      <c r="Y37" s="70">
        <v>50.3</v>
      </c>
      <c r="Z37" s="70">
        <v>50.3</v>
      </c>
      <c r="AA37" s="70">
        <v>50.3</v>
      </c>
      <c r="AB37" s="70">
        <f>20.2+15.6</f>
        <v>35.799999999999997</v>
      </c>
      <c r="AC37" s="70">
        <f>20.2+35.5</f>
        <v>55.7</v>
      </c>
      <c r="AD37" s="70">
        <f>20.4+35.7</f>
        <v>56.1</v>
      </c>
      <c r="AE37" s="70">
        <f>20.9+37.3</f>
        <v>58.199999999999996</v>
      </c>
      <c r="AF37" s="70">
        <f>21.7+39.3</f>
        <v>61</v>
      </c>
      <c r="AG37" s="67">
        <v>240</v>
      </c>
      <c r="AH37" s="54">
        <f t="shared" si="2"/>
        <v>62.2</v>
      </c>
      <c r="AI37" s="55">
        <f t="shared" si="3"/>
        <v>35.799999999999997</v>
      </c>
      <c r="AK37" s="56"/>
    </row>
    <row r="38" spans="1:88" ht="15.75" thickBot="1" x14ac:dyDescent="0.3">
      <c r="A38" s="71" t="s">
        <v>46</v>
      </c>
      <c r="B38" s="72">
        <f>SUM(B11:B36)</f>
        <v>471.9</v>
      </c>
      <c r="C38" s="72">
        <f t="shared" ref="C38:AF38" si="4">SUM(C11:C36)</f>
        <v>491.90000000000003</v>
      </c>
      <c r="D38" s="72">
        <f t="shared" si="4"/>
        <v>511.90000000000003</v>
      </c>
      <c r="E38" s="72">
        <f t="shared" si="4"/>
        <v>470.9</v>
      </c>
      <c r="F38" s="72">
        <f t="shared" si="4"/>
        <v>462.09999999999997</v>
      </c>
      <c r="G38" s="72">
        <f t="shared" si="4"/>
        <v>462.09999999999997</v>
      </c>
      <c r="H38" s="72">
        <f t="shared" si="4"/>
        <v>472.09999999999997</v>
      </c>
      <c r="I38" s="72">
        <f t="shared" si="4"/>
        <v>493.19999999999993</v>
      </c>
      <c r="J38" s="72">
        <f t="shared" si="4"/>
        <v>533.5</v>
      </c>
      <c r="K38" s="72">
        <f t="shared" si="4"/>
        <v>593.5</v>
      </c>
      <c r="L38" s="72">
        <f t="shared" si="4"/>
        <v>753.5</v>
      </c>
      <c r="M38" s="72">
        <f t="shared" si="4"/>
        <v>826.9000000000002</v>
      </c>
      <c r="N38" s="72">
        <f t="shared" si="4"/>
        <v>796.9000000000002</v>
      </c>
      <c r="O38" s="72">
        <f t="shared" si="4"/>
        <v>551.9</v>
      </c>
      <c r="P38" s="72">
        <f t="shared" si="4"/>
        <v>551.9</v>
      </c>
      <c r="Q38" s="72">
        <f t="shared" si="4"/>
        <v>501.89999999999992</v>
      </c>
      <c r="R38" s="72">
        <f t="shared" si="4"/>
        <v>502.09999999999997</v>
      </c>
      <c r="S38" s="72">
        <f t="shared" si="4"/>
        <v>502.09999999999997</v>
      </c>
      <c r="T38" s="72">
        <f t="shared" si="4"/>
        <v>502.09999999999997</v>
      </c>
      <c r="U38" s="72">
        <f t="shared" si="4"/>
        <v>562.1</v>
      </c>
      <c r="V38" s="72">
        <f t="shared" si="4"/>
        <v>772.10000000000014</v>
      </c>
      <c r="W38" s="72">
        <f t="shared" si="4"/>
        <v>832.10000000000014</v>
      </c>
      <c r="X38" s="72">
        <f t="shared" si="4"/>
        <v>762.10000000000014</v>
      </c>
      <c r="Y38" s="72">
        <v>860.2</v>
      </c>
      <c r="Z38" s="72">
        <f t="shared" si="4"/>
        <v>916.2</v>
      </c>
      <c r="AA38" s="72">
        <f t="shared" si="4"/>
        <v>620.20000000000005</v>
      </c>
      <c r="AB38" s="72">
        <f t="shared" si="4"/>
        <v>619.59999999999991</v>
      </c>
      <c r="AC38" s="72">
        <f t="shared" si="4"/>
        <v>559.59999999999991</v>
      </c>
      <c r="AD38" s="72">
        <f t="shared" si="4"/>
        <v>489.59999999999997</v>
      </c>
      <c r="AE38" s="72">
        <f t="shared" si="4"/>
        <v>475.29999999999995</v>
      </c>
      <c r="AF38" s="72">
        <f t="shared" si="4"/>
        <v>475</v>
      </c>
      <c r="AG38" s="67">
        <f>SUM(AG11:AG37)</f>
        <v>1492.8299999999997</v>
      </c>
      <c r="AH38" s="54">
        <f t="shared" si="2"/>
        <v>916.2</v>
      </c>
      <c r="AI38" s="55">
        <f t="shared" si="3"/>
        <v>462.09999999999997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45.7</v>
      </c>
      <c r="F39" s="61">
        <v>65.7</v>
      </c>
      <c r="G39" s="61">
        <v>30</v>
      </c>
      <c r="H39" s="61">
        <v>48.7</v>
      </c>
      <c r="I39" s="61">
        <v>93.5</v>
      </c>
      <c r="J39" s="61">
        <v>122.7</v>
      </c>
      <c r="K39" s="61">
        <v>145.80000000000001</v>
      </c>
      <c r="L39" s="61">
        <v>145.69999999999999</v>
      </c>
      <c r="M39" s="50">
        <v>145.80000000000001</v>
      </c>
      <c r="N39" s="50">
        <v>145.69999999999999</v>
      </c>
      <c r="O39" s="50">
        <v>145.69999999999999</v>
      </c>
      <c r="P39" s="50">
        <v>145.80000000000001</v>
      </c>
      <c r="Q39" s="50">
        <v>145.5</v>
      </c>
      <c r="R39" s="50">
        <v>113.7</v>
      </c>
      <c r="S39" s="50">
        <v>80.900000000000006</v>
      </c>
      <c r="T39" s="50">
        <v>80.900000000000006</v>
      </c>
      <c r="U39" s="50">
        <v>91.2</v>
      </c>
      <c r="V39" s="50">
        <v>132</v>
      </c>
      <c r="W39" s="50">
        <v>136</v>
      </c>
      <c r="X39" s="50">
        <v>145</v>
      </c>
      <c r="Y39" s="50">
        <v>145.1</v>
      </c>
      <c r="Z39" s="50">
        <v>145.1</v>
      </c>
      <c r="AA39" s="50">
        <v>145.1</v>
      </c>
      <c r="AB39" s="50">
        <v>145.1</v>
      </c>
      <c r="AC39" s="50">
        <v>136.5</v>
      </c>
      <c r="AD39" s="50">
        <v>120</v>
      </c>
      <c r="AE39" s="50">
        <v>60</v>
      </c>
      <c r="AF39" s="50">
        <v>40.9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22.7</v>
      </c>
      <c r="C40" s="61">
        <v>35</v>
      </c>
      <c r="D40" s="61">
        <v>34.299999999999997</v>
      </c>
      <c r="E40" s="61">
        <v>23.8</v>
      </c>
      <c r="F40" s="61">
        <v>0</v>
      </c>
      <c r="G40" s="61">
        <v>0</v>
      </c>
      <c r="H40" s="61">
        <v>0</v>
      </c>
      <c r="I40" s="61">
        <v>25.2</v>
      </c>
      <c r="J40" s="61">
        <v>54.7</v>
      </c>
      <c r="K40" s="61">
        <v>70.7</v>
      </c>
      <c r="L40" s="61">
        <v>70.599999999999994</v>
      </c>
      <c r="M40" s="73">
        <v>70.7</v>
      </c>
      <c r="N40" s="73">
        <v>71.3</v>
      </c>
      <c r="O40" s="73">
        <v>69.400000000000006</v>
      </c>
      <c r="P40" s="73">
        <v>68.8</v>
      </c>
      <c r="Q40" s="73">
        <v>51.3</v>
      </c>
      <c r="R40" s="73">
        <v>25.4</v>
      </c>
      <c r="S40" s="73">
        <v>34.700000000000003</v>
      </c>
      <c r="T40" s="73">
        <v>34.799999999999997</v>
      </c>
      <c r="U40" s="73">
        <v>34.799999999999997</v>
      </c>
      <c r="V40" s="73">
        <v>55</v>
      </c>
      <c r="W40" s="73">
        <v>55</v>
      </c>
      <c r="X40" s="73">
        <v>70</v>
      </c>
      <c r="Y40" s="73">
        <v>59.8</v>
      </c>
      <c r="Z40" s="73">
        <v>69</v>
      </c>
      <c r="AA40" s="73">
        <v>69</v>
      </c>
      <c r="AB40" s="73">
        <v>69</v>
      </c>
      <c r="AC40" s="73">
        <v>70.099999999999994</v>
      </c>
      <c r="AD40" s="73">
        <v>70.099999999999994</v>
      </c>
      <c r="AE40" s="73">
        <v>48.8</v>
      </c>
      <c r="AF40" s="73">
        <v>30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35</v>
      </c>
      <c r="C41" s="61">
        <v>45.4</v>
      </c>
      <c r="D41" s="61">
        <v>43</v>
      </c>
      <c r="E41" s="61">
        <v>32.5</v>
      </c>
      <c r="F41" s="61">
        <v>17.7</v>
      </c>
      <c r="G41" s="61">
        <v>16.899999999999999</v>
      </c>
      <c r="H41" s="61">
        <v>36.6</v>
      </c>
      <c r="I41" s="61">
        <v>37.1</v>
      </c>
      <c r="J41" s="61">
        <v>45.7</v>
      </c>
      <c r="K41" s="61">
        <v>68.900000000000006</v>
      </c>
      <c r="L41" s="61">
        <v>67.599999999999994</v>
      </c>
      <c r="M41" s="73">
        <v>67.900000000000006</v>
      </c>
      <c r="N41" s="73">
        <v>67.400000000000006</v>
      </c>
      <c r="O41" s="73">
        <v>66.2</v>
      </c>
      <c r="P41" s="73">
        <v>65.7</v>
      </c>
      <c r="Q41" s="73">
        <v>56.2</v>
      </c>
      <c r="R41" s="73">
        <v>45.2</v>
      </c>
      <c r="S41" s="73">
        <v>45.4</v>
      </c>
      <c r="T41" s="73">
        <v>46.4</v>
      </c>
      <c r="U41" s="73">
        <v>36.6</v>
      </c>
      <c r="V41" s="73">
        <v>67</v>
      </c>
      <c r="W41" s="73">
        <v>56</v>
      </c>
      <c r="X41" s="73">
        <v>68</v>
      </c>
      <c r="Y41" s="73">
        <v>57</v>
      </c>
      <c r="Z41" s="73">
        <v>67</v>
      </c>
      <c r="AA41" s="73">
        <v>67</v>
      </c>
      <c r="AB41" s="73">
        <v>67</v>
      </c>
      <c r="AC41" s="73">
        <v>66.8</v>
      </c>
      <c r="AD41" s="73">
        <v>66.8</v>
      </c>
      <c r="AE41" s="73">
        <v>46.6</v>
      </c>
      <c r="AF41" s="73">
        <v>41.5</v>
      </c>
      <c r="AG41" s="67">
        <v>69</v>
      </c>
      <c r="AH41" s="54">
        <f t="shared" si="2"/>
        <v>68.900000000000006</v>
      </c>
      <c r="AI41" s="55">
        <f t="shared" si="3"/>
        <v>16.899999999999999</v>
      </c>
      <c r="AK41" s="56"/>
    </row>
    <row r="42" spans="1:88" x14ac:dyDescent="0.25">
      <c r="A42" s="66" t="s">
        <v>50</v>
      </c>
      <c r="B42" s="61">
        <v>60.9</v>
      </c>
      <c r="C42" s="61">
        <v>60.9</v>
      </c>
      <c r="D42" s="61">
        <v>60.9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60.7</v>
      </c>
      <c r="L42" s="61">
        <v>60.7</v>
      </c>
      <c r="M42" s="73">
        <v>23.3</v>
      </c>
      <c r="N42" s="73">
        <v>60.7</v>
      </c>
      <c r="O42" s="73">
        <v>60.7</v>
      </c>
      <c r="P42" s="73">
        <v>60.7</v>
      </c>
      <c r="Q42" s="73">
        <v>60.7</v>
      </c>
      <c r="R42" s="73">
        <v>60.7</v>
      </c>
      <c r="S42" s="73">
        <v>60.7</v>
      </c>
      <c r="T42" s="73">
        <v>60.7</v>
      </c>
      <c r="U42" s="73">
        <v>60.7</v>
      </c>
      <c r="V42" s="73">
        <v>60.7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73">
        <v>60.9</v>
      </c>
      <c r="AG42" s="67">
        <v>60</v>
      </c>
      <c r="AH42" s="54">
        <f t="shared" si="2"/>
        <v>60.9</v>
      </c>
      <c r="AI42" s="55">
        <f t="shared" si="3"/>
        <v>23.3</v>
      </c>
      <c r="AK42" s="56"/>
    </row>
    <row r="43" spans="1:88" x14ac:dyDescent="0.25">
      <c r="A43" s="66" t="s">
        <v>51</v>
      </c>
      <c r="B43" s="73">
        <v>0</v>
      </c>
      <c r="C43" s="73">
        <v>0</v>
      </c>
      <c r="D43" s="73">
        <v>14.9</v>
      </c>
      <c r="E43" s="73">
        <v>10.5</v>
      </c>
      <c r="F43" s="73">
        <v>10.5</v>
      </c>
      <c r="G43" s="73">
        <v>10.5</v>
      </c>
      <c r="H43" s="73">
        <v>10.5</v>
      </c>
      <c r="I43" s="73">
        <v>10.5</v>
      </c>
      <c r="J43" s="61">
        <v>15</v>
      </c>
      <c r="K43" s="61">
        <v>10.4</v>
      </c>
      <c r="L43" s="61">
        <v>10.4</v>
      </c>
      <c r="M43" s="50">
        <v>22.2</v>
      </c>
      <c r="N43" s="50">
        <v>22.7</v>
      </c>
      <c r="O43" s="50">
        <v>10.6</v>
      </c>
      <c r="P43" s="50">
        <v>10.8</v>
      </c>
      <c r="Q43" s="50">
        <v>10.3</v>
      </c>
      <c r="R43" s="50">
        <v>10.1</v>
      </c>
      <c r="S43" s="50">
        <v>10.1</v>
      </c>
      <c r="T43" s="50">
        <v>10.1</v>
      </c>
      <c r="U43" s="50">
        <v>10.1</v>
      </c>
      <c r="V43" s="50">
        <v>10.1</v>
      </c>
      <c r="W43" s="50">
        <v>23.5</v>
      </c>
      <c r="X43" s="50">
        <v>26</v>
      </c>
      <c r="Y43" s="50">
        <v>30</v>
      </c>
      <c r="Z43" s="50">
        <v>30</v>
      </c>
      <c r="AA43" s="50">
        <v>30</v>
      </c>
      <c r="AB43" s="50">
        <v>30</v>
      </c>
      <c r="AC43" s="50">
        <v>30</v>
      </c>
      <c r="AD43" s="50">
        <v>14.9</v>
      </c>
      <c r="AE43" s="50">
        <v>9.9</v>
      </c>
      <c r="AF43" s="50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3.2</v>
      </c>
      <c r="C46" s="50">
        <v>3.2</v>
      </c>
      <c r="D46" s="50">
        <v>3.2</v>
      </c>
      <c r="E46" s="50">
        <v>3.2</v>
      </c>
      <c r="F46" s="50">
        <v>3.2</v>
      </c>
      <c r="G46" s="50">
        <v>3.2</v>
      </c>
      <c r="H46" s="50">
        <v>3.2</v>
      </c>
      <c r="I46" s="50">
        <v>3.2</v>
      </c>
      <c r="J46" s="50">
        <v>3.2</v>
      </c>
      <c r="K46" s="50">
        <v>3.2</v>
      </c>
      <c r="L46" s="50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6.4</v>
      </c>
      <c r="C48" s="50">
        <v>6.4</v>
      </c>
      <c r="D48" s="50">
        <v>6.4</v>
      </c>
      <c r="E48" s="50">
        <v>6.4</v>
      </c>
      <c r="F48" s="50">
        <v>6.4</v>
      </c>
      <c r="G48" s="50">
        <v>6.4</v>
      </c>
      <c r="H48" s="50">
        <v>6.4</v>
      </c>
      <c r="I48" s="50">
        <v>6.4</v>
      </c>
      <c r="J48" s="50">
        <v>6.4</v>
      </c>
      <c r="K48" s="50">
        <v>6.4</v>
      </c>
      <c r="L48" s="50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50">
        <v>6.6</v>
      </c>
      <c r="C49" s="50">
        <v>6.6</v>
      </c>
      <c r="D49" s="50">
        <v>6.6</v>
      </c>
      <c r="E49" s="50">
        <v>6.6</v>
      </c>
      <c r="F49" s="50">
        <v>6.6</v>
      </c>
      <c r="G49" s="50">
        <v>6.6</v>
      </c>
      <c r="H49" s="50">
        <v>6.6</v>
      </c>
      <c r="I49" s="50">
        <v>6.6</v>
      </c>
      <c r="J49" s="50">
        <v>6.6</v>
      </c>
      <c r="K49" s="50">
        <v>6.6</v>
      </c>
      <c r="L49" s="50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50">
        <v>4.4000000000000004</v>
      </c>
      <c r="C50" s="50">
        <v>4.4000000000000004</v>
      </c>
      <c r="D50" s="50">
        <v>4.4000000000000004</v>
      </c>
      <c r="E50" s="50">
        <v>4.4000000000000004</v>
      </c>
      <c r="F50" s="50">
        <v>4.4000000000000004</v>
      </c>
      <c r="G50" s="50">
        <v>4.4000000000000004</v>
      </c>
      <c r="H50" s="50">
        <v>4.4000000000000004</v>
      </c>
      <c r="I50" s="50">
        <v>4.4000000000000004</v>
      </c>
      <c r="J50" s="50">
        <v>4.4000000000000004</v>
      </c>
      <c r="K50" s="50">
        <v>4.4000000000000004</v>
      </c>
      <c r="L50" s="50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5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173.73999999999998</v>
      </c>
      <c r="C52" s="72">
        <f t="shared" ref="C52:AF52" si="7">SUM(C39:C51)</f>
        <v>196.44</v>
      </c>
      <c r="D52" s="72">
        <f t="shared" si="7"/>
        <v>208.23999999999998</v>
      </c>
      <c r="E52" s="72">
        <f t="shared" si="7"/>
        <v>228.54</v>
      </c>
      <c r="F52" s="72">
        <f t="shared" si="7"/>
        <v>209.94</v>
      </c>
      <c r="G52" s="72">
        <f t="shared" si="7"/>
        <v>173.44</v>
      </c>
      <c r="H52" s="72">
        <f t="shared" si="7"/>
        <v>211.84</v>
      </c>
      <c r="I52" s="72">
        <f t="shared" si="7"/>
        <v>282.33999999999997</v>
      </c>
      <c r="J52" s="72">
        <f t="shared" si="7"/>
        <v>354.14</v>
      </c>
      <c r="K52" s="72">
        <f t="shared" si="7"/>
        <v>411.63999999999993</v>
      </c>
      <c r="L52" s="72">
        <f t="shared" si="7"/>
        <v>410.13999999999993</v>
      </c>
      <c r="M52" s="72">
        <f t="shared" si="7"/>
        <v>385.03999999999996</v>
      </c>
      <c r="N52" s="72">
        <f t="shared" si="7"/>
        <v>422.93999999999994</v>
      </c>
      <c r="O52" s="72">
        <f t="shared" si="7"/>
        <v>407.74</v>
      </c>
      <c r="P52" s="72">
        <f t="shared" si="7"/>
        <v>406.94</v>
      </c>
      <c r="Q52" s="72">
        <f t="shared" si="7"/>
        <v>379.14</v>
      </c>
      <c r="R52" s="72">
        <f t="shared" si="7"/>
        <v>310.24</v>
      </c>
      <c r="S52" s="72">
        <f t="shared" si="7"/>
        <v>286.94</v>
      </c>
      <c r="T52" s="72">
        <f t="shared" si="7"/>
        <v>288.04000000000002</v>
      </c>
      <c r="U52" s="72">
        <f t="shared" si="7"/>
        <v>288.54000000000002</v>
      </c>
      <c r="V52" s="72">
        <f t="shared" si="7"/>
        <v>379.94</v>
      </c>
      <c r="W52" s="72">
        <f t="shared" si="7"/>
        <v>386.34</v>
      </c>
      <c r="X52" s="72">
        <f t="shared" si="7"/>
        <v>424.84</v>
      </c>
      <c r="Y52" s="72">
        <v>407.73999999999995</v>
      </c>
      <c r="Z52" s="72">
        <f t="shared" si="7"/>
        <v>426.94</v>
      </c>
      <c r="AA52" s="72">
        <f t="shared" si="7"/>
        <v>426.94</v>
      </c>
      <c r="AB52" s="72">
        <f t="shared" si="7"/>
        <v>426.94</v>
      </c>
      <c r="AC52" s="72">
        <f t="shared" si="7"/>
        <v>419.23999999999995</v>
      </c>
      <c r="AD52" s="72">
        <f t="shared" si="7"/>
        <v>387.63999999999993</v>
      </c>
      <c r="AE52" s="72">
        <f t="shared" si="7"/>
        <v>281.14000000000004</v>
      </c>
      <c r="AF52" s="72">
        <f t="shared" si="7"/>
        <v>228.44</v>
      </c>
      <c r="AG52" s="78">
        <f>SUM(AG39:AG51)</f>
        <v>489.91</v>
      </c>
      <c r="AH52" s="54">
        <f t="shared" si="2"/>
        <v>426.94</v>
      </c>
      <c r="AI52" s="55">
        <f t="shared" si="3"/>
        <v>173.44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13.8</v>
      </c>
      <c r="L53" s="61">
        <v>25.3</v>
      </c>
      <c r="M53" s="79">
        <v>29.7</v>
      </c>
      <c r="N53" s="79">
        <v>24.9</v>
      </c>
      <c r="O53" s="79">
        <v>24.9</v>
      </c>
      <c r="P53" s="79">
        <v>24.7</v>
      </c>
      <c r="Q53" s="50">
        <v>29.4</v>
      </c>
      <c r="R53" s="50">
        <v>14.1</v>
      </c>
      <c r="S53" s="50">
        <v>10</v>
      </c>
      <c r="T53" s="50">
        <v>10.1</v>
      </c>
      <c r="U53" s="50">
        <v>10.1</v>
      </c>
      <c r="V53" s="50">
        <v>43</v>
      </c>
      <c r="W53" s="50">
        <v>40</v>
      </c>
      <c r="X53" s="50">
        <v>50</v>
      </c>
      <c r="Y53" s="50">
        <v>51.7</v>
      </c>
      <c r="Z53" s="50">
        <v>43</v>
      </c>
      <c r="AA53" s="50">
        <v>43</v>
      </c>
      <c r="AB53" s="50">
        <v>43</v>
      </c>
      <c r="AC53" s="50">
        <v>30.1</v>
      </c>
      <c r="AD53" s="50">
        <v>14.8</v>
      </c>
      <c r="AE53" s="50">
        <v>0</v>
      </c>
      <c r="AF53" s="50">
        <v>0</v>
      </c>
      <c r="AG53" s="62">
        <v>60</v>
      </c>
      <c r="AH53" s="54">
        <f t="shared" si="2"/>
        <v>51.7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18.2</v>
      </c>
      <c r="M54" s="79">
        <v>15.2</v>
      </c>
      <c r="N54" s="79">
        <v>15.1</v>
      </c>
      <c r="O54" s="79">
        <v>12</v>
      </c>
      <c r="P54" s="79">
        <v>13.1</v>
      </c>
      <c r="Q54" s="73">
        <v>15.2</v>
      </c>
      <c r="R54" s="73">
        <v>6.5</v>
      </c>
      <c r="S54" s="50">
        <v>3.8</v>
      </c>
      <c r="T54" s="50">
        <v>5</v>
      </c>
      <c r="U54" s="50">
        <v>4.3</v>
      </c>
      <c r="V54" s="73">
        <v>11.2</v>
      </c>
      <c r="W54" s="73">
        <v>15</v>
      </c>
      <c r="X54" s="73">
        <v>23</v>
      </c>
      <c r="Y54" s="73">
        <v>25.7</v>
      </c>
      <c r="Z54" s="73">
        <v>22</v>
      </c>
      <c r="AA54" s="73">
        <v>22</v>
      </c>
      <c r="AB54" s="73">
        <v>22</v>
      </c>
      <c r="AC54" s="73">
        <v>15.2</v>
      </c>
      <c r="AD54" s="73">
        <v>9.9</v>
      </c>
      <c r="AE54" s="73">
        <v>0</v>
      </c>
      <c r="AF54" s="73">
        <v>0</v>
      </c>
      <c r="AG54" s="67">
        <v>32</v>
      </c>
      <c r="AH54" s="54">
        <f t="shared" si="2"/>
        <v>25.7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6.6</v>
      </c>
      <c r="M55" s="81">
        <v>5.5</v>
      </c>
      <c r="N55" s="81">
        <v>5.5</v>
      </c>
      <c r="O55" s="81">
        <v>4.4000000000000004</v>
      </c>
      <c r="P55" s="81">
        <v>4.8</v>
      </c>
      <c r="Q55" s="80">
        <v>5.5</v>
      </c>
      <c r="R55" s="80">
        <v>2.4</v>
      </c>
      <c r="S55" s="50">
        <v>1.4</v>
      </c>
      <c r="T55" s="50">
        <v>1.8</v>
      </c>
      <c r="U55" s="50">
        <v>1.6</v>
      </c>
      <c r="V55" s="80">
        <v>4.0999999999999996</v>
      </c>
      <c r="W55" s="80">
        <v>5.7</v>
      </c>
      <c r="X55" s="80">
        <v>8.3000000000000007</v>
      </c>
      <c r="Y55" s="80">
        <v>9.4</v>
      </c>
      <c r="Z55" s="80">
        <v>8</v>
      </c>
      <c r="AA55" s="80">
        <v>8</v>
      </c>
      <c r="AB55" s="80">
        <v>8</v>
      </c>
      <c r="AC55" s="80">
        <v>5.6</v>
      </c>
      <c r="AD55" s="80">
        <v>3.6</v>
      </c>
      <c r="AE55" s="80">
        <v>0</v>
      </c>
      <c r="AF55" s="80">
        <v>0</v>
      </c>
      <c r="AG55" s="82">
        <v>14</v>
      </c>
      <c r="AH55" s="54">
        <f t="shared" si="2"/>
        <v>9.4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13.8</v>
      </c>
      <c r="L56" s="72">
        <f t="shared" si="8"/>
        <v>50.1</v>
      </c>
      <c r="M56" s="72">
        <f t="shared" si="8"/>
        <v>50.4</v>
      </c>
      <c r="N56" s="72">
        <f t="shared" si="8"/>
        <v>45.5</v>
      </c>
      <c r="O56" s="72">
        <f t="shared" si="8"/>
        <v>41.3</v>
      </c>
      <c r="P56" s="72">
        <f t="shared" si="8"/>
        <v>42.599999999999994</v>
      </c>
      <c r="Q56" s="72">
        <f t="shared" si="8"/>
        <v>50.099999999999994</v>
      </c>
      <c r="R56" s="72">
        <f t="shared" si="8"/>
        <v>23</v>
      </c>
      <c r="S56" s="72">
        <f t="shared" si="8"/>
        <v>15.200000000000001</v>
      </c>
      <c r="T56" s="72">
        <f t="shared" si="8"/>
        <v>16.899999999999999</v>
      </c>
      <c r="U56" s="72">
        <f t="shared" si="8"/>
        <v>15.999999999999998</v>
      </c>
      <c r="V56" s="72">
        <f t="shared" si="8"/>
        <v>58.300000000000004</v>
      </c>
      <c r="W56" s="72">
        <f t="shared" si="8"/>
        <v>60.7</v>
      </c>
      <c r="X56" s="72">
        <f t="shared" si="8"/>
        <v>81.3</v>
      </c>
      <c r="Y56" s="72">
        <v>86.800000000000011</v>
      </c>
      <c r="Z56" s="72">
        <f t="shared" si="8"/>
        <v>73</v>
      </c>
      <c r="AA56" s="72">
        <f t="shared" si="8"/>
        <v>73</v>
      </c>
      <c r="AB56" s="72">
        <f t="shared" si="8"/>
        <v>73</v>
      </c>
      <c r="AC56" s="72">
        <f t="shared" si="8"/>
        <v>50.9</v>
      </c>
      <c r="AD56" s="72">
        <f t="shared" si="8"/>
        <v>28.300000000000004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86.800000000000011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63.6</v>
      </c>
      <c r="C57" s="50">
        <v>60</v>
      </c>
      <c r="D57" s="50">
        <v>62.4</v>
      </c>
      <c r="E57" s="50">
        <v>65.599999999999994</v>
      </c>
      <c r="F57" s="50">
        <v>64</v>
      </c>
      <c r="G57" s="50">
        <v>55</v>
      </c>
      <c r="H57" s="50">
        <v>61.5</v>
      </c>
      <c r="I57" s="50">
        <v>69</v>
      </c>
      <c r="J57" s="50">
        <v>76.099999999999994</v>
      </c>
      <c r="K57" s="50">
        <v>71.7</v>
      </c>
      <c r="L57" s="50">
        <v>67.099999999999994</v>
      </c>
      <c r="M57" s="50">
        <v>67.900000000000006</v>
      </c>
      <c r="N57" s="50">
        <v>63</v>
      </c>
      <c r="O57" s="50">
        <v>65.2</v>
      </c>
      <c r="P57" s="50">
        <v>61.1</v>
      </c>
      <c r="Q57" s="50">
        <v>53.9</v>
      </c>
      <c r="R57" s="50">
        <v>58.5</v>
      </c>
      <c r="S57" s="50">
        <v>63.7</v>
      </c>
      <c r="T57" s="50">
        <v>63.3</v>
      </c>
      <c r="U57" s="50">
        <v>64.599999999999994</v>
      </c>
      <c r="V57" s="50">
        <v>64</v>
      </c>
      <c r="W57" s="50">
        <v>60.5</v>
      </c>
      <c r="X57" s="50">
        <v>72.8</v>
      </c>
      <c r="Y57" s="50">
        <v>65</v>
      </c>
      <c r="Z57" s="50">
        <v>66.8</v>
      </c>
      <c r="AA57" s="50">
        <v>67</v>
      </c>
      <c r="AB57" s="50">
        <v>67</v>
      </c>
      <c r="AC57" s="50">
        <v>75.099999999999994</v>
      </c>
      <c r="AD57" s="50">
        <v>70</v>
      </c>
      <c r="AE57" s="50">
        <v>62</v>
      </c>
      <c r="AF57" s="50">
        <v>59.2</v>
      </c>
      <c r="AG57" s="62"/>
      <c r="AH57" s="54">
        <f t="shared" si="2"/>
        <v>76.099999999999994</v>
      </c>
      <c r="AI57" s="55">
        <f t="shared" si="3"/>
        <v>53.9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195</v>
      </c>
      <c r="C59" s="73">
        <v>142</v>
      </c>
      <c r="D59" s="73">
        <v>92</v>
      </c>
      <c r="E59" s="73">
        <v>105</v>
      </c>
      <c r="F59" s="73">
        <v>135</v>
      </c>
      <c r="G59" s="73">
        <v>241</v>
      </c>
      <c r="H59" s="50">
        <v>263</v>
      </c>
      <c r="I59" s="50">
        <v>242.2</v>
      </c>
      <c r="J59" s="50">
        <v>246</v>
      </c>
      <c r="K59" s="50">
        <v>245</v>
      </c>
      <c r="L59" s="50">
        <v>108</v>
      </c>
      <c r="M59" s="73">
        <v>81.3</v>
      </c>
      <c r="N59" s="73">
        <v>54.1</v>
      </c>
      <c r="O59" s="73">
        <v>326.10000000000002</v>
      </c>
      <c r="P59" s="73">
        <v>290.8</v>
      </c>
      <c r="Q59" s="73">
        <v>295.60000000000002</v>
      </c>
      <c r="R59" s="73">
        <v>316.3</v>
      </c>
      <c r="S59" s="73">
        <v>332</v>
      </c>
      <c r="T59" s="73">
        <v>334</v>
      </c>
      <c r="U59" s="73">
        <v>285</v>
      </c>
      <c r="V59" s="73">
        <v>48</v>
      </c>
      <c r="W59" s="73">
        <v>48.3</v>
      </c>
      <c r="X59" s="84">
        <v>98</v>
      </c>
      <c r="Y59" s="84">
        <v>0</v>
      </c>
      <c r="Z59" s="84">
        <v>0</v>
      </c>
      <c r="AA59" s="84">
        <v>173</v>
      </c>
      <c r="AB59" s="84">
        <v>224</v>
      </c>
      <c r="AC59" s="84">
        <v>226</v>
      </c>
      <c r="AD59" s="73">
        <v>277</v>
      </c>
      <c r="AE59" s="73">
        <v>256</v>
      </c>
      <c r="AF59" s="73">
        <v>180</v>
      </c>
      <c r="AG59" s="85"/>
      <c r="AH59" s="54">
        <f t="shared" si="2"/>
        <v>334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50</v>
      </c>
      <c r="M60" s="73">
        <v>51</v>
      </c>
      <c r="N60" s="73">
        <v>52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42</v>
      </c>
      <c r="Y60" s="73">
        <v>44</v>
      </c>
      <c r="Z60" s="73">
        <v>42</v>
      </c>
      <c r="AA60" s="73">
        <v>42</v>
      </c>
      <c r="AB60" s="73">
        <v>39</v>
      </c>
      <c r="AC60" s="73">
        <v>39</v>
      </c>
      <c r="AD60" s="73">
        <v>0</v>
      </c>
      <c r="AE60" s="73">
        <v>0</v>
      </c>
      <c r="AF60" s="73">
        <v>0</v>
      </c>
      <c r="AG60" s="85"/>
      <c r="AH60" s="54">
        <f t="shared" si="2"/>
        <v>52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3">
        <v>68.5</v>
      </c>
      <c r="Y61" s="50">
        <v>75.8</v>
      </c>
      <c r="Z61" s="50">
        <v>0</v>
      </c>
      <c r="AA61" s="50">
        <v>64.8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75.8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50">
        <v>0</v>
      </c>
      <c r="AE62" s="50">
        <v>0</v>
      </c>
      <c r="AF62" s="5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50">
        <v>0</v>
      </c>
      <c r="AE63" s="50">
        <v>0</v>
      </c>
      <c r="AF63" s="5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0">
        <v>0</v>
      </c>
      <c r="AE64" s="50">
        <v>0</v>
      </c>
      <c r="AF64" s="5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0">
        <v>0</v>
      </c>
      <c r="AE65" s="50">
        <v>0</v>
      </c>
      <c r="AF65" s="5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50">
        <v>0</v>
      </c>
      <c r="AE66" s="50">
        <v>0</v>
      </c>
      <c r="AF66" s="5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50">
        <v>0</v>
      </c>
      <c r="AE67" s="50">
        <v>0</v>
      </c>
      <c r="AF67" s="5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258.60000000000002</v>
      </c>
      <c r="C68" s="72">
        <f>SUM(C57:C67)</f>
        <v>202</v>
      </c>
      <c r="D68" s="72">
        <f t="shared" ref="D68:AF68" si="9">SUM(D57:D67)</f>
        <v>154.4</v>
      </c>
      <c r="E68" s="72">
        <f t="shared" si="9"/>
        <v>170.6</v>
      </c>
      <c r="F68" s="72">
        <f t="shared" si="9"/>
        <v>199</v>
      </c>
      <c r="G68" s="72">
        <f t="shared" si="9"/>
        <v>296</v>
      </c>
      <c r="H68" s="72">
        <f t="shared" si="9"/>
        <v>324.5</v>
      </c>
      <c r="I68" s="72">
        <f t="shared" si="9"/>
        <v>311.2</v>
      </c>
      <c r="J68" s="72">
        <f t="shared" si="9"/>
        <v>322.10000000000002</v>
      </c>
      <c r="K68" s="72">
        <f t="shared" si="9"/>
        <v>316.7</v>
      </c>
      <c r="L68" s="72">
        <f t="shared" si="9"/>
        <v>225.1</v>
      </c>
      <c r="M68" s="72">
        <f t="shared" si="9"/>
        <v>200.2</v>
      </c>
      <c r="N68" s="72">
        <f t="shared" si="9"/>
        <v>169.1</v>
      </c>
      <c r="O68" s="72">
        <f t="shared" si="9"/>
        <v>391.3</v>
      </c>
      <c r="P68" s="72">
        <f t="shared" si="9"/>
        <v>351.90000000000003</v>
      </c>
      <c r="Q68" s="72">
        <f t="shared" si="9"/>
        <v>349.5</v>
      </c>
      <c r="R68" s="72">
        <f t="shared" si="9"/>
        <v>374.8</v>
      </c>
      <c r="S68" s="72">
        <f t="shared" si="9"/>
        <v>395.7</v>
      </c>
      <c r="T68" s="72">
        <f t="shared" si="9"/>
        <v>397.3</v>
      </c>
      <c r="U68" s="72">
        <f t="shared" si="9"/>
        <v>349.6</v>
      </c>
      <c r="V68" s="72">
        <f t="shared" si="9"/>
        <v>112</v>
      </c>
      <c r="W68" s="72">
        <f t="shared" si="9"/>
        <v>108.8</v>
      </c>
      <c r="X68" s="72">
        <f t="shared" si="9"/>
        <v>281.3</v>
      </c>
      <c r="Y68" s="72">
        <v>184.8</v>
      </c>
      <c r="Z68" s="72">
        <f t="shared" si="9"/>
        <v>108.8</v>
      </c>
      <c r="AA68" s="72">
        <f t="shared" si="9"/>
        <v>346.8</v>
      </c>
      <c r="AB68" s="72">
        <f t="shared" si="9"/>
        <v>330</v>
      </c>
      <c r="AC68" s="72">
        <f t="shared" si="9"/>
        <v>340.1</v>
      </c>
      <c r="AD68" s="72">
        <f t="shared" si="9"/>
        <v>347</v>
      </c>
      <c r="AE68" s="72">
        <f t="shared" si="9"/>
        <v>318</v>
      </c>
      <c r="AF68" s="72">
        <f t="shared" si="9"/>
        <v>239.2</v>
      </c>
      <c r="AG68" s="78">
        <f>SUM(AG57:AG67)</f>
        <v>0</v>
      </c>
      <c r="AH68" s="54">
        <f t="shared" si="2"/>
        <v>397.3</v>
      </c>
      <c r="AI68" s="55">
        <f t="shared" si="3"/>
        <v>108.8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904.24</v>
      </c>
      <c r="C73" s="89">
        <f>C68+C56+C52+C38+C72</f>
        <v>890.34</v>
      </c>
      <c r="D73" s="89">
        <f t="shared" ref="D73:AG73" si="11">D68+D56+D52+D38+D72</f>
        <v>874.54</v>
      </c>
      <c r="E73" s="89">
        <f t="shared" si="11"/>
        <v>870.04</v>
      </c>
      <c r="F73" s="89">
        <f t="shared" si="11"/>
        <v>871.04</v>
      </c>
      <c r="G73" s="89">
        <f t="shared" si="11"/>
        <v>931.54</v>
      </c>
      <c r="H73" s="89">
        <f t="shared" si="11"/>
        <v>1008.44</v>
      </c>
      <c r="I73" s="89">
        <f t="shared" si="11"/>
        <v>1086.7399999999998</v>
      </c>
      <c r="J73" s="89">
        <f t="shared" si="11"/>
        <v>1209.74</v>
      </c>
      <c r="K73" s="89">
        <f t="shared" si="11"/>
        <v>1335.6399999999999</v>
      </c>
      <c r="L73" s="89">
        <f t="shared" si="11"/>
        <v>1438.84</v>
      </c>
      <c r="M73" s="89">
        <f t="shared" si="11"/>
        <v>1462.5400000000002</v>
      </c>
      <c r="N73" s="89">
        <f t="shared" si="11"/>
        <v>1434.44</v>
      </c>
      <c r="O73" s="89">
        <f t="shared" si="11"/>
        <v>1392.24</v>
      </c>
      <c r="P73" s="89">
        <f t="shared" si="11"/>
        <v>1353.3400000000001</v>
      </c>
      <c r="Q73" s="89">
        <f t="shared" si="11"/>
        <v>1280.6399999999999</v>
      </c>
      <c r="R73" s="89">
        <f t="shared" si="11"/>
        <v>1210.1399999999999</v>
      </c>
      <c r="S73" s="89">
        <f t="shared" si="11"/>
        <v>1199.9399999999998</v>
      </c>
      <c r="T73" s="89">
        <f t="shared" si="11"/>
        <v>1204.3399999999999</v>
      </c>
      <c r="U73" s="89">
        <f t="shared" si="11"/>
        <v>1216.2400000000002</v>
      </c>
      <c r="V73" s="89">
        <f t="shared" si="11"/>
        <v>1322.3400000000001</v>
      </c>
      <c r="W73" s="89">
        <f t="shared" si="11"/>
        <v>1387.94</v>
      </c>
      <c r="X73" s="89">
        <f t="shared" si="11"/>
        <v>1549.5400000000002</v>
      </c>
      <c r="Y73" s="89">
        <v>1539.54</v>
      </c>
      <c r="Z73" s="89">
        <f t="shared" si="11"/>
        <v>1524.94</v>
      </c>
      <c r="AA73" s="89">
        <f t="shared" si="11"/>
        <v>1466.94</v>
      </c>
      <c r="AB73" s="89">
        <f t="shared" si="11"/>
        <v>1449.54</v>
      </c>
      <c r="AC73" s="89">
        <f t="shared" si="11"/>
        <v>1369.84</v>
      </c>
      <c r="AD73" s="89">
        <f t="shared" si="11"/>
        <v>1252.54</v>
      </c>
      <c r="AE73" s="89">
        <f t="shared" si="11"/>
        <v>1074.44</v>
      </c>
      <c r="AF73" s="89">
        <f t="shared" si="11"/>
        <v>942.64</v>
      </c>
      <c r="AG73" s="89">
        <f t="shared" si="11"/>
        <v>2144.14</v>
      </c>
      <c r="AH73" s="54">
        <f t="shared" si="2"/>
        <v>1549.5400000000002</v>
      </c>
      <c r="AI73" s="55">
        <f t="shared" si="3"/>
        <v>870.04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904.24</v>
      </c>
      <c r="C75" s="89">
        <f>C73+C74</f>
        <v>890.34</v>
      </c>
      <c r="D75" s="89">
        <f t="shared" ref="D75:AF75" si="12">D72+D68+D56+D52+D38+D74</f>
        <v>874.54</v>
      </c>
      <c r="E75" s="89">
        <f t="shared" si="12"/>
        <v>870.04</v>
      </c>
      <c r="F75" s="89">
        <f t="shared" si="12"/>
        <v>871.04</v>
      </c>
      <c r="G75" s="89">
        <f t="shared" si="12"/>
        <v>931.54</v>
      </c>
      <c r="H75" s="89">
        <f t="shared" si="12"/>
        <v>1008.44</v>
      </c>
      <c r="I75" s="89">
        <f t="shared" si="12"/>
        <v>1086.7399999999998</v>
      </c>
      <c r="J75" s="89">
        <f t="shared" si="12"/>
        <v>1209.74</v>
      </c>
      <c r="K75" s="89">
        <f t="shared" si="12"/>
        <v>1335.6399999999999</v>
      </c>
      <c r="L75" s="89">
        <f t="shared" si="12"/>
        <v>1438.84</v>
      </c>
      <c r="M75" s="89">
        <f t="shared" si="12"/>
        <v>1462.5400000000002</v>
      </c>
      <c r="N75" s="89">
        <f t="shared" si="12"/>
        <v>1434.44</v>
      </c>
      <c r="O75" s="89">
        <f t="shared" si="12"/>
        <v>1392.24</v>
      </c>
      <c r="P75" s="89">
        <f t="shared" si="12"/>
        <v>1353.3400000000001</v>
      </c>
      <c r="Q75" s="89">
        <f t="shared" si="12"/>
        <v>1280.6399999999999</v>
      </c>
      <c r="R75" s="89">
        <f t="shared" si="12"/>
        <v>1210.1399999999999</v>
      </c>
      <c r="S75" s="89">
        <f t="shared" si="12"/>
        <v>1199.9399999999998</v>
      </c>
      <c r="T75" s="89">
        <f t="shared" si="12"/>
        <v>1204.3399999999999</v>
      </c>
      <c r="U75" s="89">
        <f t="shared" si="12"/>
        <v>1216.2400000000002</v>
      </c>
      <c r="V75" s="89">
        <f t="shared" si="12"/>
        <v>1322.3400000000001</v>
      </c>
      <c r="W75" s="89">
        <f t="shared" si="12"/>
        <v>1387.94</v>
      </c>
      <c r="X75" s="89">
        <f t="shared" si="12"/>
        <v>1549.5400000000002</v>
      </c>
      <c r="Y75" s="89">
        <v>1539.54</v>
      </c>
      <c r="Z75" s="89">
        <f t="shared" si="12"/>
        <v>1524.94</v>
      </c>
      <c r="AA75" s="89">
        <f t="shared" si="12"/>
        <v>1466.94</v>
      </c>
      <c r="AB75" s="89">
        <f t="shared" si="12"/>
        <v>1449.54</v>
      </c>
      <c r="AC75" s="89">
        <f t="shared" si="12"/>
        <v>1369.84</v>
      </c>
      <c r="AD75" s="89">
        <f t="shared" si="12"/>
        <v>1252.54</v>
      </c>
      <c r="AE75" s="89">
        <f t="shared" si="12"/>
        <v>1074.44</v>
      </c>
      <c r="AF75" s="89">
        <f t="shared" si="12"/>
        <v>942.64</v>
      </c>
      <c r="AG75" s="78">
        <f>AG72+AG68+AG56+AG52+AG38+AG74</f>
        <v>2144.14</v>
      </c>
      <c r="AH75" s="54">
        <f t="shared" si="2"/>
        <v>1549.5400000000002</v>
      </c>
      <c r="AI75" s="55">
        <f t="shared" si="3"/>
        <v>870.04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/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1808.48</v>
      </c>
      <c r="C83" s="72">
        <f t="shared" ref="C83:AG83" si="21">SUM(C70:C82)</f>
        <v>1780.68</v>
      </c>
      <c r="D83" s="72">
        <f t="shared" si="21"/>
        <v>1749.08</v>
      </c>
      <c r="E83" s="72">
        <f t="shared" si="21"/>
        <v>1740.08</v>
      </c>
      <c r="F83" s="72">
        <f t="shared" si="21"/>
        <v>1742.08</v>
      </c>
      <c r="G83" s="72">
        <f t="shared" si="21"/>
        <v>1863.08</v>
      </c>
      <c r="H83" s="72">
        <f t="shared" si="21"/>
        <v>2016.88</v>
      </c>
      <c r="I83" s="72">
        <f t="shared" si="21"/>
        <v>2173.4799999999996</v>
      </c>
      <c r="J83" s="72">
        <f t="shared" si="21"/>
        <v>2419.48</v>
      </c>
      <c r="K83" s="72">
        <f t="shared" si="21"/>
        <v>2671.2799999999997</v>
      </c>
      <c r="L83" s="72">
        <f t="shared" si="21"/>
        <v>2877.68</v>
      </c>
      <c r="M83" s="72">
        <f t="shared" si="21"/>
        <v>2925.0800000000004</v>
      </c>
      <c r="N83" s="72">
        <f t="shared" si="21"/>
        <v>2868.88</v>
      </c>
      <c r="O83" s="72">
        <f t="shared" si="21"/>
        <v>2784.48</v>
      </c>
      <c r="P83" s="72">
        <f t="shared" si="21"/>
        <v>2706.6800000000003</v>
      </c>
      <c r="Q83" s="72">
        <f t="shared" si="21"/>
        <v>2561.2799999999997</v>
      </c>
      <c r="R83" s="72">
        <f t="shared" si="21"/>
        <v>2420.2799999999997</v>
      </c>
      <c r="S83" s="72">
        <f t="shared" si="21"/>
        <v>2399.8799999999997</v>
      </c>
      <c r="T83" s="72">
        <f t="shared" si="21"/>
        <v>2408.6799999999998</v>
      </c>
      <c r="U83" s="72">
        <f t="shared" si="21"/>
        <v>2432.4800000000005</v>
      </c>
      <c r="V83" s="72">
        <f t="shared" si="21"/>
        <v>2644.6800000000003</v>
      </c>
      <c r="W83" s="72">
        <f t="shared" si="21"/>
        <v>2775.88</v>
      </c>
      <c r="X83" s="72">
        <f t="shared" si="21"/>
        <v>3099.0800000000004</v>
      </c>
      <c r="Y83" s="72">
        <v>184.8</v>
      </c>
      <c r="Z83" s="72">
        <f t="shared" si="21"/>
        <v>3049.88</v>
      </c>
      <c r="AA83" s="72">
        <f t="shared" si="21"/>
        <v>2933.88</v>
      </c>
      <c r="AB83" s="72">
        <f t="shared" si="21"/>
        <v>2899.08</v>
      </c>
      <c r="AC83" s="72">
        <f t="shared" si="21"/>
        <v>2739.68</v>
      </c>
      <c r="AD83" s="72">
        <f t="shared" si="21"/>
        <v>2505.08</v>
      </c>
      <c r="AE83" s="72">
        <f t="shared" si="21"/>
        <v>2148.88</v>
      </c>
      <c r="AF83" s="72">
        <f t="shared" si="21"/>
        <v>1885.28</v>
      </c>
      <c r="AG83" s="78">
        <f t="shared" si="21"/>
        <v>4360.08</v>
      </c>
      <c r="AH83" s="54">
        <f t="shared" si="14"/>
        <v>3099.0800000000004</v>
      </c>
      <c r="AI83" s="55">
        <f t="shared" si="15"/>
        <v>184.8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50.012999999999998</v>
      </c>
      <c r="C84" s="95">
        <v>49.975999999999999</v>
      </c>
      <c r="D84" s="95">
        <v>50.05</v>
      </c>
      <c r="E84" s="95">
        <v>50.094999999999999</v>
      </c>
      <c r="F84" s="95">
        <v>50.01</v>
      </c>
      <c r="G84" s="95">
        <v>50.055999999999997</v>
      </c>
      <c r="H84" s="95">
        <v>50.051000000000002</v>
      </c>
      <c r="I84" s="95">
        <v>49.896000000000001</v>
      </c>
      <c r="J84" s="95">
        <v>50.024999999999999</v>
      </c>
      <c r="K84" s="95">
        <v>49.944000000000003</v>
      </c>
      <c r="L84" s="95">
        <v>49.902999999999999</v>
      </c>
      <c r="M84" s="95">
        <v>49.877000000000002</v>
      </c>
      <c r="N84" s="95">
        <v>50.000999999999998</v>
      </c>
      <c r="O84" s="95">
        <v>49.811999999999998</v>
      </c>
      <c r="P84" s="95">
        <v>50.029000000000003</v>
      </c>
      <c r="Q84" s="95">
        <v>49.938000000000002</v>
      </c>
      <c r="R84" s="95">
        <v>49.875999999999998</v>
      </c>
      <c r="S84" s="95">
        <v>49.997</v>
      </c>
      <c r="T84" s="95">
        <v>50.012</v>
      </c>
      <c r="U84" s="95">
        <v>50</v>
      </c>
      <c r="V84" s="95">
        <v>50.104999999999997</v>
      </c>
      <c r="W84" s="95">
        <v>50.116999999999997</v>
      </c>
      <c r="X84" s="95">
        <v>50.042000000000002</v>
      </c>
      <c r="Y84" s="95">
        <v>50.05</v>
      </c>
      <c r="Z84" s="95">
        <v>50.064999999999998</v>
      </c>
      <c r="AA84" s="95">
        <v>125.5</v>
      </c>
      <c r="AB84" s="95">
        <v>50.03</v>
      </c>
      <c r="AC84" s="95">
        <v>50.07</v>
      </c>
      <c r="AD84" s="95">
        <v>50.03</v>
      </c>
      <c r="AE84" s="95">
        <v>50.07</v>
      </c>
      <c r="AF84" s="95">
        <v>50.02</v>
      </c>
      <c r="AG84" s="96"/>
      <c r="AH84" s="54">
        <f t="shared" si="14"/>
        <v>125.5</v>
      </c>
      <c r="AI84" s="55">
        <f t="shared" si="15"/>
        <v>49.811999999999998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128.5</v>
      </c>
      <c r="C85" s="73">
        <v>128.1</v>
      </c>
      <c r="D85" s="73">
        <v>128.6</v>
      </c>
      <c r="E85" s="73">
        <v>128.30000000000001</v>
      </c>
      <c r="F85" s="73">
        <v>129</v>
      </c>
      <c r="G85" s="73">
        <v>126.4</v>
      </c>
      <c r="H85" s="73">
        <v>126.4</v>
      </c>
      <c r="I85" s="73">
        <v>125.4</v>
      </c>
      <c r="J85" s="73">
        <v>123.2</v>
      </c>
      <c r="K85" s="73">
        <v>122.7</v>
      </c>
      <c r="L85" s="73">
        <v>124.9</v>
      </c>
      <c r="M85" s="73">
        <v>122.5</v>
      </c>
      <c r="N85" s="73">
        <v>123.6</v>
      </c>
      <c r="O85" s="73">
        <v>121.2</v>
      </c>
      <c r="P85" s="73">
        <v>122.5</v>
      </c>
      <c r="Q85" s="73">
        <v>123.6</v>
      </c>
      <c r="R85" s="73">
        <v>121.1</v>
      </c>
      <c r="S85" s="73">
        <v>122.7</v>
      </c>
      <c r="T85" s="73">
        <v>122.5</v>
      </c>
      <c r="U85" s="98">
        <v>123.9</v>
      </c>
      <c r="V85" s="98">
        <v>122</v>
      </c>
      <c r="W85" s="98">
        <v>122.4</v>
      </c>
      <c r="X85" s="98">
        <v>124.2</v>
      </c>
      <c r="Y85" s="98">
        <v>125.2</v>
      </c>
      <c r="Z85" s="98">
        <v>122.5</v>
      </c>
      <c r="AA85" s="98">
        <v>127.1</v>
      </c>
      <c r="AB85" s="73">
        <v>122</v>
      </c>
      <c r="AC85" s="73">
        <v>124.6</v>
      </c>
      <c r="AD85" s="73">
        <v>125.1</v>
      </c>
      <c r="AE85" s="73">
        <v>126.5</v>
      </c>
      <c r="AF85" s="73">
        <v>127.3</v>
      </c>
      <c r="AG85" s="99"/>
      <c r="AH85" s="54">
        <f t="shared" si="14"/>
        <v>129</v>
      </c>
      <c r="AI85" s="55">
        <f t="shared" si="15"/>
        <v>121.1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132</v>
      </c>
      <c r="C86" s="73">
        <v>132</v>
      </c>
      <c r="D86" s="73">
        <v>132.4</v>
      </c>
      <c r="E86" s="73">
        <v>132.5</v>
      </c>
      <c r="F86" s="73">
        <v>132.9</v>
      </c>
      <c r="G86" s="73">
        <v>130.5</v>
      </c>
      <c r="H86" s="73">
        <v>130.69999999999999</v>
      </c>
      <c r="I86" s="73">
        <v>129.4</v>
      </c>
      <c r="J86" s="73">
        <v>127.1</v>
      </c>
      <c r="K86" s="73">
        <v>126.6</v>
      </c>
      <c r="L86" s="73">
        <v>126.8</v>
      </c>
      <c r="M86" s="73">
        <v>124.6</v>
      </c>
      <c r="N86" s="73">
        <v>125.5</v>
      </c>
      <c r="O86" s="73">
        <v>123.4</v>
      </c>
      <c r="P86" s="73">
        <v>124.9</v>
      </c>
      <c r="Q86" s="73">
        <v>125.7</v>
      </c>
      <c r="R86" s="73">
        <v>123.6</v>
      </c>
      <c r="S86" s="73">
        <v>124.9</v>
      </c>
      <c r="T86" s="73">
        <v>125.7</v>
      </c>
      <c r="U86" s="98">
        <v>126.9</v>
      </c>
      <c r="V86" s="98">
        <v>124.3</v>
      </c>
      <c r="W86" s="98">
        <v>124.1</v>
      </c>
      <c r="X86" s="98">
        <v>125.7</v>
      </c>
      <c r="Y86" s="98">
        <v>126.5</v>
      </c>
      <c r="Z86" s="98">
        <v>124.9</v>
      </c>
      <c r="AA86" s="98">
        <v>131.5</v>
      </c>
      <c r="AB86" s="73">
        <v>125.3</v>
      </c>
      <c r="AC86" s="73">
        <v>127.1</v>
      </c>
      <c r="AD86" s="73">
        <v>127.8</v>
      </c>
      <c r="AE86" s="73">
        <v>130</v>
      </c>
      <c r="AF86" s="73">
        <v>131</v>
      </c>
      <c r="AG86" s="99"/>
      <c r="AH86" s="54">
        <f t="shared" si="14"/>
        <v>132.9</v>
      </c>
      <c r="AI86" s="55">
        <f t="shared" si="15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131</v>
      </c>
      <c r="C87" s="73">
        <v>130.4</v>
      </c>
      <c r="D87" s="73">
        <v>130.6</v>
      </c>
      <c r="E87" s="73">
        <v>130.1</v>
      </c>
      <c r="F87" s="73">
        <v>129.30000000000001</v>
      </c>
      <c r="G87" s="73">
        <v>128.1</v>
      </c>
      <c r="H87" s="73">
        <v>129.9</v>
      </c>
      <c r="I87" s="73">
        <v>128.80000000000001</v>
      </c>
      <c r="J87" s="73">
        <v>126.9</v>
      </c>
      <c r="K87" s="73">
        <v>126.2</v>
      </c>
      <c r="L87" s="73">
        <v>128.9</v>
      </c>
      <c r="M87" s="73">
        <v>125.2</v>
      </c>
      <c r="N87" s="73">
        <v>127</v>
      </c>
      <c r="O87" s="73">
        <v>126.3</v>
      </c>
      <c r="P87" s="73">
        <v>128.19999999999999</v>
      </c>
      <c r="Q87" s="73">
        <v>128.5</v>
      </c>
      <c r="R87" s="73">
        <v>128.80000000000001</v>
      </c>
      <c r="S87" s="73">
        <v>127.3</v>
      </c>
      <c r="T87" s="73">
        <v>126.7</v>
      </c>
      <c r="U87" s="73">
        <v>128.19999999999999</v>
      </c>
      <c r="V87" s="73">
        <v>127.4</v>
      </c>
      <c r="W87" s="73">
        <v>127.7</v>
      </c>
      <c r="X87" s="98">
        <v>130.1</v>
      </c>
      <c r="Y87" s="98">
        <v>130.6</v>
      </c>
      <c r="Z87" s="98">
        <v>128.1</v>
      </c>
      <c r="AA87" s="98">
        <v>134.80000000000001</v>
      </c>
      <c r="AB87" s="73">
        <v>130.4</v>
      </c>
      <c r="AC87" s="73">
        <v>130.5</v>
      </c>
      <c r="AD87" s="73">
        <v>130.80000000000001</v>
      </c>
      <c r="AE87" s="73">
        <v>130.4</v>
      </c>
      <c r="AF87" s="73">
        <v>130</v>
      </c>
      <c r="AG87" s="99"/>
      <c r="AH87" s="54">
        <f t="shared" si="14"/>
        <v>134.80000000000001</v>
      </c>
      <c r="AI87" s="55">
        <f t="shared" si="15"/>
        <v>125.2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134.6</v>
      </c>
      <c r="C88" s="73">
        <v>134.6</v>
      </c>
      <c r="D88" s="73">
        <v>134.4</v>
      </c>
      <c r="E88" s="73">
        <v>134</v>
      </c>
      <c r="F88" s="73">
        <v>133.4</v>
      </c>
      <c r="G88" s="73">
        <v>132.5</v>
      </c>
      <c r="H88" s="73">
        <v>133.4</v>
      </c>
      <c r="I88" s="73">
        <v>132.19999999999999</v>
      </c>
      <c r="J88" s="73">
        <v>129.5</v>
      </c>
      <c r="K88" s="73">
        <v>128.1</v>
      </c>
      <c r="L88" s="73">
        <v>131.6</v>
      </c>
      <c r="M88" s="73">
        <v>128.1</v>
      </c>
      <c r="N88" s="73">
        <v>131.19999999999999</v>
      </c>
      <c r="O88" s="73">
        <v>131.5</v>
      </c>
      <c r="P88" s="73">
        <v>133.6</v>
      </c>
      <c r="Q88" s="73">
        <v>134.69999999999999</v>
      </c>
      <c r="R88" s="73">
        <v>135.4</v>
      </c>
      <c r="S88" s="73">
        <v>131.5</v>
      </c>
      <c r="T88" s="73">
        <v>130.4</v>
      </c>
      <c r="U88" s="73">
        <v>131.1</v>
      </c>
      <c r="V88" s="73">
        <v>130.69999999999999</v>
      </c>
      <c r="W88" s="73">
        <v>131</v>
      </c>
      <c r="X88" s="98">
        <v>134.5</v>
      </c>
      <c r="Y88" s="98">
        <v>135.5</v>
      </c>
      <c r="Z88" s="98">
        <v>131.6</v>
      </c>
      <c r="AA88" s="98">
        <v>136.4</v>
      </c>
      <c r="AB88" s="73">
        <v>135.80000000000001</v>
      </c>
      <c r="AC88" s="73">
        <v>134.6</v>
      </c>
      <c r="AD88" s="73">
        <v>134.69999999999999</v>
      </c>
      <c r="AE88" s="73">
        <v>134.9</v>
      </c>
      <c r="AF88" s="73">
        <v>134.4</v>
      </c>
      <c r="AG88" s="99"/>
      <c r="AH88" s="54">
        <f t="shared" si="14"/>
        <v>136.4</v>
      </c>
      <c r="AI88" s="55">
        <f t="shared" si="15"/>
        <v>128.1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130.4</v>
      </c>
      <c r="C89" s="101">
        <v>128.6</v>
      </c>
      <c r="D89" s="101">
        <v>129.30000000000001</v>
      </c>
      <c r="E89" s="101">
        <v>134.69999999999999</v>
      </c>
      <c r="F89" s="101">
        <v>132.9</v>
      </c>
      <c r="G89" s="101">
        <v>131.1</v>
      </c>
      <c r="H89" s="101">
        <v>133.69999999999999</v>
      </c>
      <c r="I89" s="101">
        <v>135</v>
      </c>
      <c r="J89" s="101">
        <v>132.69999999999999</v>
      </c>
      <c r="K89" s="101">
        <v>133</v>
      </c>
      <c r="L89" s="101">
        <v>137.1</v>
      </c>
      <c r="M89" s="101">
        <v>134.30000000000001</v>
      </c>
      <c r="N89" s="101">
        <v>135.19999999999999</v>
      </c>
      <c r="O89" s="101">
        <v>131.5</v>
      </c>
      <c r="P89" s="101">
        <v>135.1</v>
      </c>
      <c r="Q89" s="101">
        <v>134.6</v>
      </c>
      <c r="R89" s="101">
        <v>133.80000000000001</v>
      </c>
      <c r="S89" s="101">
        <v>135.30000000000001</v>
      </c>
      <c r="T89" s="101">
        <v>134.1</v>
      </c>
      <c r="U89" s="101">
        <v>133.9</v>
      </c>
      <c r="V89" s="101">
        <v>132.9</v>
      </c>
      <c r="W89" s="101">
        <v>133.6</v>
      </c>
      <c r="X89" s="98">
        <v>133.4</v>
      </c>
      <c r="Y89" s="98">
        <v>133</v>
      </c>
      <c r="Z89" s="98">
        <v>133.4</v>
      </c>
      <c r="AA89" s="98">
        <v>133.5</v>
      </c>
      <c r="AB89" s="101">
        <v>129.30000000000001</v>
      </c>
      <c r="AC89" s="101">
        <v>131.4</v>
      </c>
      <c r="AD89" s="101">
        <v>132.4</v>
      </c>
      <c r="AE89" s="101">
        <v>131.30000000000001</v>
      </c>
      <c r="AF89" s="101">
        <v>129.1</v>
      </c>
      <c r="AG89" s="102"/>
      <c r="AH89" s="54">
        <f t="shared" si="14"/>
        <v>137.1</v>
      </c>
      <c r="AI89" s="55">
        <f t="shared" si="15"/>
        <v>128.6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136.19999999999999</v>
      </c>
      <c r="C90" s="73">
        <v>137.19999999999999</v>
      </c>
      <c r="D90" s="73">
        <v>135</v>
      </c>
      <c r="E90" s="73">
        <v>136.6</v>
      </c>
      <c r="F90" s="73">
        <v>137.5</v>
      </c>
      <c r="G90" s="73">
        <v>136.9</v>
      </c>
      <c r="H90" s="73">
        <v>134.4</v>
      </c>
      <c r="I90" s="73">
        <v>132.80000000000001</v>
      </c>
      <c r="J90" s="73">
        <v>131.69999999999999</v>
      </c>
      <c r="K90" s="73">
        <v>131.30000000000001</v>
      </c>
      <c r="L90" s="73">
        <v>131.19999999999999</v>
      </c>
      <c r="M90" s="73">
        <v>129.5</v>
      </c>
      <c r="N90" s="73">
        <v>130.1</v>
      </c>
      <c r="O90" s="73">
        <v>132.6</v>
      </c>
      <c r="P90" s="73">
        <v>133</v>
      </c>
      <c r="Q90" s="73">
        <v>135.69999999999999</v>
      </c>
      <c r="R90" s="73">
        <v>132.80000000000001</v>
      </c>
      <c r="S90" s="73">
        <v>133.5</v>
      </c>
      <c r="T90" s="73">
        <v>132.9</v>
      </c>
      <c r="U90" s="73">
        <v>132.6</v>
      </c>
      <c r="V90" s="73">
        <v>134.1</v>
      </c>
      <c r="W90" s="73">
        <v>133.30000000000001</v>
      </c>
      <c r="X90" s="98">
        <v>128.5</v>
      </c>
      <c r="Y90" s="98">
        <v>132.80000000000001</v>
      </c>
      <c r="Z90" s="98">
        <v>134.1</v>
      </c>
      <c r="AA90" s="98">
        <v>127.1</v>
      </c>
      <c r="AB90" s="73">
        <v>137.19999999999999</v>
      </c>
      <c r="AC90" s="73">
        <v>130</v>
      </c>
      <c r="AD90" s="73">
        <v>131.69999999999999</v>
      </c>
      <c r="AE90" s="73">
        <v>134.69999999999999</v>
      </c>
      <c r="AF90" s="73">
        <v>135.69999999999999</v>
      </c>
      <c r="AG90" s="99"/>
      <c r="AH90" s="54">
        <f t="shared" si="14"/>
        <v>137.5</v>
      </c>
      <c r="AI90" s="55">
        <f t="shared" si="15"/>
        <v>127.1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</v>
      </c>
      <c r="C91" s="103">
        <v>67.2</v>
      </c>
      <c r="D91" s="103">
        <v>67.3</v>
      </c>
      <c r="E91" s="103">
        <v>67.2</v>
      </c>
      <c r="F91" s="103">
        <v>67.5</v>
      </c>
      <c r="G91" s="103">
        <v>66.3</v>
      </c>
      <c r="H91" s="103">
        <v>66.2</v>
      </c>
      <c r="I91" s="103">
        <v>65.5</v>
      </c>
      <c r="J91" s="103">
        <v>64.400000000000006</v>
      </c>
      <c r="K91" s="103">
        <v>64.099999999999994</v>
      </c>
      <c r="L91" s="103">
        <v>64.400000000000006</v>
      </c>
      <c r="M91" s="103">
        <v>63</v>
      </c>
      <c r="N91" s="103">
        <v>63.8</v>
      </c>
      <c r="O91" s="103">
        <v>62.9</v>
      </c>
      <c r="P91" s="103">
        <v>63</v>
      </c>
      <c r="Q91" s="103">
        <v>63.7</v>
      </c>
      <c r="R91" s="103">
        <v>62.6</v>
      </c>
      <c r="S91" s="103">
        <v>63.2</v>
      </c>
      <c r="T91" s="103">
        <v>63.6</v>
      </c>
      <c r="U91" s="103">
        <v>63.7</v>
      </c>
      <c r="V91" s="103">
        <v>63</v>
      </c>
      <c r="W91" s="103">
        <v>62.9</v>
      </c>
      <c r="X91" s="103">
        <v>63.9</v>
      </c>
      <c r="Y91" s="103">
        <v>64.099999999999994</v>
      </c>
      <c r="Z91" s="103">
        <v>63.7</v>
      </c>
      <c r="AA91" s="103">
        <v>64.599999999999994</v>
      </c>
      <c r="AB91" s="103">
        <v>64.099999999999994</v>
      </c>
      <c r="AC91" s="103">
        <v>64.900000000000006</v>
      </c>
      <c r="AD91" s="103">
        <v>65.099999999999994</v>
      </c>
      <c r="AE91" s="103">
        <v>66</v>
      </c>
      <c r="AF91" s="103">
        <v>66</v>
      </c>
      <c r="AG91" s="104"/>
      <c r="AH91" s="54">
        <f t="shared" si="14"/>
        <v>67.5</v>
      </c>
      <c r="AI91" s="55">
        <f t="shared" si="15"/>
        <v>62.6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203.33999999999995</v>
      </c>
      <c r="C93" s="110">
        <f>SUM(C15,C18,C21:C22,C42,C44:C45,C47,C49,C94:C97,C102,C108,C114,C123,C125,C137,C144,C147:C148,C155,C157,C159,C163:C165,C167:C169,C174,C180:C181,C183:C185,C193,C198)</f>
        <v>182.83999999999997</v>
      </c>
      <c r="D93" s="110">
        <f t="shared" ref="D93:AE93" si="22">SUM(D15,D18,D21:D22,D42,D44:D45,D47,D49,D94:D97,D102,D108,D114,D123,D125,D137,D144,D147:D148,D155,D157,D159,D163:D165,D167:D169,D174,D180:D181,D183:D185,D193,D198)</f>
        <v>176.33999999999997</v>
      </c>
      <c r="E93" s="110">
        <f t="shared" si="22"/>
        <v>172.83999999999997</v>
      </c>
      <c r="F93" s="110">
        <f t="shared" si="22"/>
        <v>174.23999999999998</v>
      </c>
      <c r="G93" s="109">
        <f t="shared" si="22"/>
        <v>200.64</v>
      </c>
      <c r="H93" s="109">
        <f t="shared" si="22"/>
        <v>231.33999999999997</v>
      </c>
      <c r="I93" s="109">
        <f t="shared" si="22"/>
        <v>260.74000000000007</v>
      </c>
      <c r="J93" s="109">
        <f t="shared" si="22"/>
        <v>311.04000000000002</v>
      </c>
      <c r="K93" s="109">
        <f t="shared" si="22"/>
        <v>360.94000000000005</v>
      </c>
      <c r="L93" s="109">
        <f t="shared" si="22"/>
        <v>418.04000000000008</v>
      </c>
      <c r="M93" s="109">
        <f t="shared" si="22"/>
        <v>395.64</v>
      </c>
      <c r="N93" s="109">
        <f t="shared" si="22"/>
        <v>418.04000000000008</v>
      </c>
      <c r="O93" s="109">
        <f t="shared" si="22"/>
        <v>408.44000000000005</v>
      </c>
      <c r="P93" s="109">
        <f t="shared" si="22"/>
        <v>411.64000000000004</v>
      </c>
      <c r="Q93" s="109">
        <f t="shared" si="22"/>
        <v>406.34000000000003</v>
      </c>
      <c r="R93" s="109">
        <f t="shared" si="22"/>
        <v>397.94000000000005</v>
      </c>
      <c r="S93" s="109">
        <f t="shared" si="22"/>
        <v>377.44000000000005</v>
      </c>
      <c r="T93" s="109">
        <f t="shared" si="22"/>
        <v>358.04000000000008</v>
      </c>
      <c r="U93" s="109">
        <f t="shared" si="22"/>
        <v>375.04000000000008</v>
      </c>
      <c r="V93" s="109">
        <f t="shared" si="22"/>
        <v>398.74000000000007</v>
      </c>
      <c r="W93" s="109">
        <f t="shared" si="22"/>
        <v>441.34000000000003</v>
      </c>
      <c r="X93" s="109">
        <f t="shared" si="22"/>
        <v>486.04000000000008</v>
      </c>
      <c r="Y93" s="109">
        <v>504.99708333333331</v>
      </c>
      <c r="Z93" s="109">
        <f t="shared" si="22"/>
        <v>475.54</v>
      </c>
      <c r="AA93" s="109">
        <f t="shared" si="22"/>
        <v>475.04</v>
      </c>
      <c r="AB93" s="109">
        <f t="shared" si="22"/>
        <v>442.04</v>
      </c>
      <c r="AC93" s="109">
        <f t="shared" si="22"/>
        <v>405.14</v>
      </c>
      <c r="AD93" s="109">
        <f t="shared" si="22"/>
        <v>393.64000000000004</v>
      </c>
      <c r="AE93" s="109">
        <f t="shared" si="22"/>
        <v>312.64000000000004</v>
      </c>
      <c r="AF93" s="109">
        <v>27.2</v>
      </c>
      <c r="AG93" s="111"/>
      <c r="AH93" s="54">
        <f>MAX(C93:AF93)</f>
        <v>504.99708333333331</v>
      </c>
      <c r="AI93" s="55">
        <f>MIN(C93:AF93)</f>
        <v>27.2</v>
      </c>
    </row>
    <row r="94" spans="1:88" x14ac:dyDescent="0.25">
      <c r="A94" s="112" t="s">
        <v>98</v>
      </c>
      <c r="B94" s="175">
        <v>8.1999999999999993</v>
      </c>
      <c r="C94" s="58">
        <v>15.8</v>
      </c>
      <c r="D94" s="58">
        <v>16.899999999999999</v>
      </c>
      <c r="E94" s="58">
        <v>30.8</v>
      </c>
      <c r="F94" s="58">
        <v>20.399999999999999</v>
      </c>
      <c r="G94" s="114">
        <v>-2.7</v>
      </c>
      <c r="H94" s="114">
        <v>8.4</v>
      </c>
      <c r="I94" s="114">
        <v>30</v>
      </c>
      <c r="J94" s="114">
        <v>47.6</v>
      </c>
      <c r="K94" s="114">
        <v>56.2</v>
      </c>
      <c r="L94" s="114">
        <v>73</v>
      </c>
      <c r="M94" s="113">
        <v>72.3</v>
      </c>
      <c r="N94" s="114">
        <v>80.3</v>
      </c>
      <c r="O94" s="114">
        <v>66.5</v>
      </c>
      <c r="P94" s="114">
        <v>76.3</v>
      </c>
      <c r="Q94" s="114">
        <v>74.8</v>
      </c>
      <c r="R94" s="114">
        <v>67.8</v>
      </c>
      <c r="S94" s="114">
        <v>60.5</v>
      </c>
      <c r="T94" s="114">
        <v>57.4</v>
      </c>
      <c r="U94" s="113">
        <v>50.8</v>
      </c>
      <c r="V94" s="113">
        <v>92.8</v>
      </c>
      <c r="W94" s="113">
        <v>83.8</v>
      </c>
      <c r="X94" s="114">
        <v>77.099999999999994</v>
      </c>
      <c r="Y94" s="114">
        <v>65.7</v>
      </c>
      <c r="Z94" s="114">
        <v>73.8</v>
      </c>
      <c r="AA94" s="114">
        <v>87.6</v>
      </c>
      <c r="AB94" s="114">
        <v>94.2</v>
      </c>
      <c r="AC94" s="114">
        <v>86.6</v>
      </c>
      <c r="AD94" s="113">
        <v>87.1</v>
      </c>
      <c r="AE94" s="113">
        <v>51.2</v>
      </c>
      <c r="AF94" s="113">
        <v>27.2</v>
      </c>
      <c r="AG94" s="115">
        <v>75</v>
      </c>
      <c r="AH94" s="54">
        <f t="shared" ref="AH94:AH99" si="23">IF(ABS(MAX(C94:AF94))&gt;ABS(MIN(C94:AF94)),MAX(C94:AF94),MIN(C94:AF94))</f>
        <v>94.2</v>
      </c>
      <c r="AI94" s="116">
        <f t="shared" ref="AI94:AI99" si="24">INDEX($C$9:$AF$9,1,MATCH(AH94,C94:AF94,0))</f>
        <v>0.83333333333333337</v>
      </c>
    </row>
    <row r="95" spans="1:88" x14ac:dyDescent="0.25">
      <c r="A95" s="117" t="s">
        <v>99</v>
      </c>
      <c r="B95" s="176">
        <v>-47.7</v>
      </c>
      <c r="C95" s="60">
        <v>-60</v>
      </c>
      <c r="D95" s="60">
        <v>-64</v>
      </c>
      <c r="E95" s="60">
        <v>-67</v>
      </c>
      <c r="F95" s="60">
        <v>-60</v>
      </c>
      <c r="G95" s="60">
        <v>-47</v>
      </c>
      <c r="H95" s="60">
        <v>-38</v>
      </c>
      <c r="I95" s="60">
        <v>-33</v>
      </c>
      <c r="J95" s="60">
        <v>-20</v>
      </c>
      <c r="K95" s="60">
        <v>-5.0999999999999996</v>
      </c>
      <c r="L95" s="60">
        <v>22.5</v>
      </c>
      <c r="M95" s="60">
        <v>24.9</v>
      </c>
      <c r="N95" s="60">
        <v>9.5</v>
      </c>
      <c r="O95" s="60">
        <v>14.8</v>
      </c>
      <c r="P95" s="60">
        <v>14.1</v>
      </c>
      <c r="Q95" s="60">
        <v>14.7</v>
      </c>
      <c r="R95" s="60">
        <v>17.5</v>
      </c>
      <c r="S95" s="60">
        <v>11</v>
      </c>
      <c r="T95" s="60">
        <v>-3</v>
      </c>
      <c r="U95" s="60">
        <v>9.3000000000000007</v>
      </c>
      <c r="V95" s="60">
        <v>9</v>
      </c>
      <c r="W95" s="60">
        <v>40</v>
      </c>
      <c r="X95" s="60">
        <f>34+31</f>
        <v>65</v>
      </c>
      <c r="Y95" s="60">
        <v>69</v>
      </c>
      <c r="Z95" s="60">
        <f>30+27</f>
        <v>57</v>
      </c>
      <c r="AA95" s="60">
        <f>26+23</f>
        <v>49</v>
      </c>
      <c r="AB95" s="60">
        <f>19.3+17.4</f>
        <v>36.700000000000003</v>
      </c>
      <c r="AC95" s="60">
        <f>-9.8+6.5</f>
        <v>-3.3000000000000007</v>
      </c>
      <c r="AD95" s="73">
        <f>6.4+4.2</f>
        <v>10.600000000000001</v>
      </c>
      <c r="AE95" s="73">
        <f>-7.4-8.6</f>
        <v>-16</v>
      </c>
      <c r="AF95" s="73">
        <f>-18.8-20.9</f>
        <v>-39.700000000000003</v>
      </c>
      <c r="AG95" s="115">
        <v>240</v>
      </c>
      <c r="AH95" s="54">
        <f t="shared" si="23"/>
        <v>69</v>
      </c>
      <c r="AI95" s="116">
        <f t="shared" si="24"/>
        <v>0.77083333333333337</v>
      </c>
    </row>
    <row r="96" spans="1:88" x14ac:dyDescent="0.25">
      <c r="A96" s="117" t="s">
        <v>100</v>
      </c>
      <c r="B96" s="176">
        <v>4</v>
      </c>
      <c r="C96" s="60">
        <v>-3</v>
      </c>
      <c r="D96" s="60">
        <v>-1.5</v>
      </c>
      <c r="E96" s="60">
        <v>-2.5</v>
      </c>
      <c r="F96" s="60">
        <v>-1.5</v>
      </c>
      <c r="G96" s="60">
        <v>-4.8</v>
      </c>
      <c r="H96" s="60">
        <v>-1.3</v>
      </c>
      <c r="I96" s="60">
        <v>2.2999999999999998</v>
      </c>
      <c r="J96" s="60">
        <v>6</v>
      </c>
      <c r="K96" s="60">
        <v>21.9</v>
      </c>
      <c r="L96" s="60">
        <v>36</v>
      </c>
      <c r="M96" s="60">
        <v>40.1</v>
      </c>
      <c r="N96" s="60">
        <v>35.1</v>
      </c>
      <c r="O96" s="60">
        <v>33.799999999999997</v>
      </c>
      <c r="P96" s="60">
        <v>34.200000000000003</v>
      </c>
      <c r="Q96" s="60">
        <v>38.200000000000003</v>
      </c>
      <c r="R96" s="60">
        <v>23</v>
      </c>
      <c r="S96" s="60">
        <v>18.899999999999999</v>
      </c>
      <c r="T96" s="60">
        <v>20.399999999999999</v>
      </c>
      <c r="U96" s="60">
        <v>20.2</v>
      </c>
      <c r="V96" s="60">
        <v>54.8</v>
      </c>
      <c r="W96" s="60">
        <v>52.3</v>
      </c>
      <c r="X96" s="60">
        <v>61.5</v>
      </c>
      <c r="Y96" s="60">
        <v>64.099999999999994</v>
      </c>
      <c r="Z96" s="60">
        <v>58.8</v>
      </c>
      <c r="AA96" s="60">
        <v>57.2</v>
      </c>
      <c r="AB96" s="60">
        <v>42.2</v>
      </c>
      <c r="AC96" s="60">
        <v>43.4</v>
      </c>
      <c r="AD96" s="73">
        <v>28</v>
      </c>
      <c r="AE96" s="73">
        <v>11.9</v>
      </c>
      <c r="AF96" s="73">
        <v>6.6</v>
      </c>
      <c r="AG96" s="115">
        <v>60</v>
      </c>
      <c r="AH96" s="54">
        <f t="shared" si="23"/>
        <v>64.099999999999994</v>
      </c>
      <c r="AI96" s="116">
        <f t="shared" si="24"/>
        <v>0.77083333333333337</v>
      </c>
    </row>
    <row r="97" spans="1:37" x14ac:dyDescent="0.25">
      <c r="A97" s="118" t="s">
        <v>101</v>
      </c>
      <c r="B97" s="177">
        <v>49.4</v>
      </c>
      <c r="C97" s="63">
        <v>40.6</v>
      </c>
      <c r="D97" s="63">
        <v>35.5</v>
      </c>
      <c r="E97" s="63">
        <v>22</v>
      </c>
      <c r="F97" s="63">
        <v>25.8</v>
      </c>
      <c r="G97" s="63">
        <v>65.599999999999994</v>
      </c>
      <c r="H97" s="63">
        <v>72.7</v>
      </c>
      <c r="I97" s="63">
        <v>71.900000000000006</v>
      </c>
      <c r="J97" s="63">
        <v>87.3</v>
      </c>
      <c r="K97" s="63">
        <v>98</v>
      </c>
      <c r="L97" s="63">
        <v>96.6</v>
      </c>
      <c r="M97" s="63">
        <v>106.9</v>
      </c>
      <c r="N97" s="63">
        <v>104.3</v>
      </c>
      <c r="O97" s="63">
        <v>104.5</v>
      </c>
      <c r="P97" s="63">
        <v>98.2</v>
      </c>
      <c r="Q97" s="63">
        <v>89.8</v>
      </c>
      <c r="R97" s="63">
        <v>100.8</v>
      </c>
      <c r="S97" s="63">
        <v>98.2</v>
      </c>
      <c r="T97" s="63">
        <v>94.4</v>
      </c>
      <c r="U97" s="63">
        <v>105.9</v>
      </c>
      <c r="V97" s="63">
        <v>53.3</v>
      </c>
      <c r="W97" s="63">
        <v>76.400000000000006</v>
      </c>
      <c r="X97" s="63">
        <v>93.6</v>
      </c>
      <c r="Y97" s="63">
        <v>93.8</v>
      </c>
      <c r="Z97" s="63">
        <v>90.7</v>
      </c>
      <c r="AA97" s="63">
        <v>86</v>
      </c>
      <c r="AB97" s="63">
        <v>73.7</v>
      </c>
      <c r="AC97" s="63">
        <v>83.2</v>
      </c>
      <c r="AD97" s="119">
        <v>72.7</v>
      </c>
      <c r="AE97" s="119">
        <v>70.3</v>
      </c>
      <c r="AF97" s="119">
        <v>53.9</v>
      </c>
      <c r="AG97" s="120">
        <v>120</v>
      </c>
      <c r="AH97" s="54">
        <f t="shared" si="23"/>
        <v>106.9</v>
      </c>
      <c r="AI97" s="116">
        <f t="shared" si="24"/>
        <v>0.33333333333333331</v>
      </c>
    </row>
    <row r="98" spans="1:37" x14ac:dyDescent="0.25">
      <c r="A98" s="118" t="s">
        <v>102</v>
      </c>
      <c r="B98" s="177">
        <v>59.3</v>
      </c>
      <c r="C98" s="63">
        <v>52.6</v>
      </c>
      <c r="D98" s="63">
        <v>45.8</v>
      </c>
      <c r="E98" s="63">
        <v>33.200000000000003</v>
      </c>
      <c r="F98" s="63">
        <v>32.299999999999997</v>
      </c>
      <c r="G98" s="63">
        <v>71</v>
      </c>
      <c r="H98" s="63">
        <v>77.7</v>
      </c>
      <c r="I98" s="63">
        <v>71</v>
      </c>
      <c r="J98" s="63">
        <v>81.8</v>
      </c>
      <c r="K98" s="63">
        <v>83.5</v>
      </c>
      <c r="L98" s="63">
        <v>92.2</v>
      </c>
      <c r="M98" s="63">
        <v>99.7</v>
      </c>
      <c r="N98" s="63">
        <v>77.599999999999994</v>
      </c>
      <c r="O98" s="63">
        <v>92.3</v>
      </c>
      <c r="P98" s="63">
        <v>88.7</v>
      </c>
      <c r="Q98" s="63">
        <v>80.7</v>
      </c>
      <c r="R98" s="63">
        <v>89.2</v>
      </c>
      <c r="S98" s="63">
        <v>93.5</v>
      </c>
      <c r="T98" s="63">
        <v>88.4</v>
      </c>
      <c r="U98" s="63">
        <v>96</v>
      </c>
      <c r="V98" s="63">
        <v>74.099999999999994</v>
      </c>
      <c r="W98" s="63">
        <v>96</v>
      </c>
      <c r="X98" s="63">
        <v>70.099999999999994</v>
      </c>
      <c r="Y98" s="63">
        <v>78.7</v>
      </c>
      <c r="Z98" s="63">
        <v>108.4</v>
      </c>
      <c r="AA98" s="63">
        <v>57</v>
      </c>
      <c r="AB98" s="63">
        <v>83</v>
      </c>
      <c r="AC98" s="63">
        <v>68.599999999999994</v>
      </c>
      <c r="AD98" s="119">
        <v>65.599999999999994</v>
      </c>
      <c r="AE98" s="119">
        <v>73.2</v>
      </c>
      <c r="AF98" s="119">
        <v>64</v>
      </c>
      <c r="AG98" s="120"/>
      <c r="AH98" s="54">
        <f t="shared" si="23"/>
        <v>108.4</v>
      </c>
      <c r="AI98" s="116">
        <f t="shared" si="24"/>
        <v>0.79166666666666663</v>
      </c>
    </row>
    <row r="99" spans="1:37" ht="15.75" thickBot="1" x14ac:dyDescent="0.3">
      <c r="A99" s="118" t="s">
        <v>217</v>
      </c>
      <c r="B99" s="177">
        <v>61.8</v>
      </c>
      <c r="C99" s="63">
        <v>67.7</v>
      </c>
      <c r="D99" s="63">
        <v>56.4</v>
      </c>
      <c r="E99" s="63">
        <v>36.1</v>
      </c>
      <c r="F99" s="63">
        <v>28.3</v>
      </c>
      <c r="G99" s="63">
        <v>51.9</v>
      </c>
      <c r="H99" s="63">
        <v>48.6</v>
      </c>
      <c r="I99" s="63">
        <v>36.299999999999997</v>
      </c>
      <c r="J99" s="63">
        <v>39.299999999999997</v>
      </c>
      <c r="K99" s="63">
        <v>44.1</v>
      </c>
      <c r="L99" s="63">
        <v>11.6</v>
      </c>
      <c r="M99" s="63">
        <v>11.7</v>
      </c>
      <c r="N99" s="63">
        <v>4.8</v>
      </c>
      <c r="O99" s="63">
        <v>31.6</v>
      </c>
      <c r="P99" s="63">
        <v>20.9</v>
      </c>
      <c r="Q99" s="63">
        <v>8.6</v>
      </c>
      <c r="R99" s="63">
        <v>8.9</v>
      </c>
      <c r="S99" s="63">
        <v>1.7</v>
      </c>
      <c r="T99" s="63">
        <v>3.8</v>
      </c>
      <c r="U99" s="63">
        <v>6</v>
      </c>
      <c r="V99" s="63">
        <v>-9.4</v>
      </c>
      <c r="W99" s="63">
        <v>-8.4</v>
      </c>
      <c r="X99" s="63">
        <v>2.9</v>
      </c>
      <c r="Y99" s="63">
        <v>7.9</v>
      </c>
      <c r="Z99" s="63">
        <v>7.7</v>
      </c>
      <c r="AA99" s="63">
        <v>-3</v>
      </c>
      <c r="AB99" s="63">
        <v>-6.9</v>
      </c>
      <c r="AC99" s="63">
        <v>5.3</v>
      </c>
      <c r="AD99" s="119">
        <v>1.7</v>
      </c>
      <c r="AE99" s="119">
        <v>26.7</v>
      </c>
      <c r="AF99" s="119">
        <v>42.1</v>
      </c>
      <c r="AG99" s="121"/>
      <c r="AH99" s="54">
        <f t="shared" si="23"/>
        <v>67.7</v>
      </c>
      <c r="AI99" s="116">
        <f t="shared" si="24"/>
        <v>4.1666666666666664E-2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1462.5400000000002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2078/09/23)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904.24</v>
      </c>
      <c r="U213" s="167">
        <f t="shared" si="61"/>
        <v>890.34</v>
      </c>
      <c r="V213" s="167">
        <f t="shared" si="61"/>
        <v>874.54</v>
      </c>
      <c r="W213" s="167">
        <f t="shared" si="61"/>
        <v>870.04</v>
      </c>
      <c r="X213" s="167">
        <f t="shared" si="61"/>
        <v>871.04</v>
      </c>
      <c r="Y213" s="167">
        <f t="shared" si="61"/>
        <v>931.54</v>
      </c>
      <c r="Z213" s="167">
        <f t="shared" si="61"/>
        <v>1008.44</v>
      </c>
      <c r="AA213" s="167">
        <f t="shared" si="61"/>
        <v>1086.7399999999998</v>
      </c>
      <c r="AB213" s="167">
        <f t="shared" si="61"/>
        <v>1209.74</v>
      </c>
      <c r="AC213" s="167">
        <f t="shared" si="61"/>
        <v>1335.6399999999999</v>
      </c>
      <c r="AD213" s="167">
        <f t="shared" si="61"/>
        <v>1438.84</v>
      </c>
      <c r="AE213" s="167">
        <f t="shared" si="61"/>
        <v>1462.5400000000002</v>
      </c>
      <c r="AF213" s="167">
        <f t="shared" si="61"/>
        <v>1434.44</v>
      </c>
      <c r="AG213" s="167">
        <f t="shared" si="61"/>
        <v>1392.24</v>
      </c>
      <c r="AH213" s="167">
        <f t="shared" si="61"/>
        <v>1353.3400000000001</v>
      </c>
      <c r="AI213" s="167">
        <f t="shared" si="61"/>
        <v>1280.6399999999999</v>
      </c>
      <c r="AJ213" s="167">
        <f t="shared" si="61"/>
        <v>1210.1399999999999</v>
      </c>
      <c r="AK213" s="167">
        <f t="shared" si="61"/>
        <v>1199.9399999999998</v>
      </c>
      <c r="AL213" s="167">
        <f t="shared" si="61"/>
        <v>1204.3399999999999</v>
      </c>
      <c r="AM213" s="167">
        <f t="shared" si="61"/>
        <v>1216.2400000000002</v>
      </c>
      <c r="AN213" s="167">
        <f t="shared" si="61"/>
        <v>1322.3400000000001</v>
      </c>
      <c r="AO213" s="167">
        <f t="shared" si="61"/>
        <v>1387.94</v>
      </c>
      <c r="AP213" s="167">
        <f t="shared" si="61"/>
        <v>1549.5400000000002</v>
      </c>
      <c r="AQ213" s="167">
        <f t="shared" si="61"/>
        <v>1539.54</v>
      </c>
      <c r="AR213" s="167">
        <f t="shared" si="61"/>
        <v>1524.94</v>
      </c>
      <c r="AS213" s="167">
        <f t="shared" si="61"/>
        <v>1466.94</v>
      </c>
      <c r="AT213" s="167">
        <f t="shared" si="61"/>
        <v>1449.54</v>
      </c>
      <c r="AU213" s="167">
        <f t="shared" si="61"/>
        <v>1369.84</v>
      </c>
      <c r="AV213" s="167">
        <f t="shared" si="61"/>
        <v>1252.54</v>
      </c>
      <c r="AW213" s="167">
        <f t="shared" si="61"/>
        <v>1074.44</v>
      </c>
      <c r="AX213" s="167">
        <f t="shared" si="61"/>
        <v>942.64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N62:N67 P39:R39 O61:O67 P40:Q42 R40:T41 M58:W59 X85:AA91 AB81:AF81 B81:R81 C56:AF56 B82:AF83 D193:AF199 B193:B199 C68:AF72 AB84:AF91 B84:B91 B73:AF80 B9:AF10 B191:AF191 AF57:AF59 B53:B72 AG73 AD94:AF99 B94:B99 U212:AF212 M60:O60 M61:N61 C57:L61 C63:L67 M12:P14 M16:P32 M36:P36 M39:P42 R42:S42 P60:U67 M37:X37 R12:X13 N45:X48 U40:Z42 M53:AF55 M11:AF11 Y18:AF30 Y36:AF36 Z40:AF43">
    <cfRule type="expression" dxfId="2914" priority="385">
      <formula>B$9&gt;=20/24</formula>
    </cfRule>
    <cfRule type="expression" dxfId="2913" priority="386">
      <formula>AND(B$9&gt;=14/24,B$9&lt;20/24)</formula>
    </cfRule>
    <cfRule type="expression" dxfId="2912" priority="387">
      <formula>AND(B$9&gt;=8/24,B$9&lt;14/24)</formula>
    </cfRule>
    <cfRule type="expression" dxfId="2911" priority="388">
      <formula>B$9&lt;8/24</formula>
    </cfRule>
  </conditionalFormatting>
  <conditionalFormatting sqref="AL4:AL6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910" priority="380">
      <formula>M$9&gt;=20/24</formula>
    </cfRule>
    <cfRule type="expression" dxfId="2909" priority="381">
      <formula>AND(M$9&gt;=14/24,M$9&lt;20/24)</formula>
    </cfRule>
    <cfRule type="expression" dxfId="2908" priority="382">
      <formula>AND(M$9&gt;=8/24,M$9&lt;14/24)</formula>
    </cfRule>
    <cfRule type="expression" dxfId="2907" priority="383">
      <formula>M$9&lt;8/24</formula>
    </cfRule>
  </conditionalFormatting>
  <conditionalFormatting sqref="M43:X43">
    <cfRule type="expression" dxfId="2906" priority="376">
      <formula>M$9&gt;=20/24</formula>
    </cfRule>
    <cfRule type="expression" dxfId="2905" priority="377">
      <formula>AND(M$9&gt;=14/24,M$9&lt;20/24)</formula>
    </cfRule>
    <cfRule type="expression" dxfId="2904" priority="378">
      <formula>AND(M$9&gt;=8/24,M$9&lt;14/24)</formula>
    </cfRule>
    <cfRule type="expression" dxfId="2903" priority="379">
      <formula>M$9&lt;8/24</formula>
    </cfRule>
  </conditionalFormatting>
  <conditionalFormatting sqref="S39:AF39">
    <cfRule type="expression" dxfId="2902" priority="368">
      <formula>S$9&gt;=20/24</formula>
    </cfRule>
    <cfRule type="expression" dxfId="2901" priority="369">
      <formula>AND(S$9&gt;=14/24,S$9&lt;20/24)</formula>
    </cfRule>
    <cfRule type="expression" dxfId="2900" priority="370">
      <formula>AND(S$9&gt;=8/24,S$9&lt;14/24)</formula>
    </cfRule>
    <cfRule type="expression" dxfId="2899" priority="371">
      <formula>S$9&lt;8/24</formula>
    </cfRule>
  </conditionalFormatting>
  <conditionalFormatting sqref="S57:AE57">
    <cfRule type="expression" dxfId="2898" priority="364">
      <formula>S$9&gt;=20/24</formula>
    </cfRule>
    <cfRule type="expression" dxfId="2897" priority="365">
      <formula>AND(S$9&gt;=14/24,S$9&lt;20/24)</formula>
    </cfRule>
    <cfRule type="expression" dxfId="2896" priority="366">
      <formula>AND(S$9&gt;=8/24,S$9&lt;14/24)</formula>
    </cfRule>
    <cfRule type="expression" dxfId="2895" priority="367">
      <formula>S$9&lt;8/24</formula>
    </cfRule>
  </conditionalFormatting>
  <conditionalFormatting sqref="S81:AA81">
    <cfRule type="expression" dxfId="2894" priority="360">
      <formula>S$9&gt;=20/24</formula>
    </cfRule>
    <cfRule type="expression" dxfId="2893" priority="361">
      <formula>AND(S$9&gt;=14/24,S$9&lt;20/24)</formula>
    </cfRule>
    <cfRule type="expression" dxfId="2892" priority="362">
      <formula>AND(S$9&gt;=8/24,S$9&lt;14/24)</formula>
    </cfRule>
    <cfRule type="expression" dxfId="2891" priority="363">
      <formula>S$9&lt;8/24</formula>
    </cfRule>
  </conditionalFormatting>
  <conditionalFormatting sqref="U84:AA84">
    <cfRule type="expression" dxfId="2890" priority="356">
      <formula>U$9&gt;=20/24</formula>
    </cfRule>
    <cfRule type="expression" dxfId="2889" priority="357">
      <formula>AND(U$9&gt;=14/24,U$9&lt;20/24)</formula>
    </cfRule>
    <cfRule type="expression" dxfId="2888" priority="358">
      <formula>AND(U$9&gt;=8/24,U$9&lt;14/24)</formula>
    </cfRule>
    <cfRule type="expression" dxfId="2887" priority="359">
      <formula>U$9&lt;8/24</formula>
    </cfRule>
  </conditionalFormatting>
  <conditionalFormatting sqref="M35:P35">
    <cfRule type="expression" dxfId="2886" priority="352">
      <formula>M$9&gt;=20/24</formula>
    </cfRule>
    <cfRule type="expression" dxfId="2885" priority="353">
      <formula>AND(M$9&gt;=14/24,M$9&lt;20/24)</formula>
    </cfRule>
    <cfRule type="expression" dxfId="2884" priority="354">
      <formula>AND(M$9&gt;=8/24,M$9&lt;14/24)</formula>
    </cfRule>
    <cfRule type="expression" dxfId="2883" priority="355">
      <formula>M$9&lt;8/24</formula>
    </cfRule>
  </conditionalFormatting>
  <conditionalFormatting sqref="M49:X49">
    <cfRule type="expression" dxfId="2882" priority="348">
      <formula>M$9&gt;=20/24</formula>
    </cfRule>
    <cfRule type="expression" dxfId="2881" priority="349">
      <formula>AND(M$9&gt;=14/24,M$9&lt;20/24)</formula>
    </cfRule>
    <cfRule type="expression" dxfId="2880" priority="350">
      <formula>AND(M$9&gt;=8/24,M$9&lt;14/24)</formula>
    </cfRule>
    <cfRule type="expression" dxfId="2879" priority="351">
      <formula>M$9&lt;8/24</formula>
    </cfRule>
  </conditionalFormatting>
  <conditionalFormatting sqref="M50:X50">
    <cfRule type="expression" dxfId="2878" priority="344">
      <formula>M$9&gt;=20/24</formula>
    </cfRule>
    <cfRule type="expression" dxfId="2877" priority="345">
      <formula>AND(M$9&gt;=14/24,M$9&lt;20/24)</formula>
    </cfRule>
    <cfRule type="expression" dxfId="2876" priority="346">
      <formula>AND(M$9&gt;=8/24,M$9&lt;14/24)</formula>
    </cfRule>
    <cfRule type="expression" dxfId="2875" priority="347">
      <formula>M$9&lt;8/24</formula>
    </cfRule>
  </conditionalFormatting>
  <conditionalFormatting sqref="M45:X48">
    <cfRule type="expression" dxfId="2874" priority="340">
      <formula>M$9&gt;=20/24</formula>
    </cfRule>
    <cfRule type="expression" dxfId="2873" priority="341">
      <formula>AND(M$9&gt;=14/24,M$9&lt;20/24)</formula>
    </cfRule>
    <cfRule type="expression" dxfId="2872" priority="342">
      <formula>AND(M$9&gt;=8/24,M$9&lt;14/24)</formula>
    </cfRule>
    <cfRule type="expression" dxfId="2871" priority="343">
      <formula>M$9&lt;8/24</formula>
    </cfRule>
  </conditionalFormatting>
  <conditionalFormatting sqref="Y37:AF37">
    <cfRule type="expression" dxfId="2870" priority="336">
      <formula>Y$9&gt;=20/24</formula>
    </cfRule>
    <cfRule type="expression" dxfId="2869" priority="337">
      <formula>AND(Y$9&gt;=14/24,Y$9&lt;20/24)</formula>
    </cfRule>
    <cfRule type="expression" dxfId="2868" priority="338">
      <formula>AND(Y$9&gt;=8/24,Y$9&lt;14/24)</formula>
    </cfRule>
    <cfRule type="expression" dxfId="2867" priority="339">
      <formula>Y$9&lt;8/24</formula>
    </cfRule>
  </conditionalFormatting>
  <conditionalFormatting sqref="Y31:AF32 Y35:AF35">
    <cfRule type="expression" dxfId="2866" priority="332">
      <formula>Y$9&gt;=20/24</formula>
    </cfRule>
    <cfRule type="expression" dxfId="2865" priority="333">
      <formula>AND(Y$9&gt;=14/24,Y$9&lt;20/24)</formula>
    </cfRule>
    <cfRule type="expression" dxfId="2864" priority="334">
      <formula>AND(Y$9&gt;=8/24,Y$9&lt;14/24)</formula>
    </cfRule>
    <cfRule type="expression" dxfId="2863" priority="335">
      <formula>Y$9&lt;8/24</formula>
    </cfRule>
  </conditionalFormatting>
  <conditionalFormatting sqref="S42:X43 T43:AF43 S45:AF48">
    <cfRule type="expression" dxfId="2862" priority="328">
      <formula>S$9&gt;=20/24</formula>
    </cfRule>
    <cfRule type="expression" dxfId="2861" priority="329">
      <formula>AND(S$9&gt;=14/24,S$9&lt;20/24)</formula>
    </cfRule>
    <cfRule type="expression" dxfId="2860" priority="330">
      <formula>AND(S$9&gt;=8/24,S$9&lt;14/24)</formula>
    </cfRule>
    <cfRule type="expression" dxfId="2859" priority="331">
      <formula>S$9&lt;8/24</formula>
    </cfRule>
  </conditionalFormatting>
  <conditionalFormatting sqref="S49:AF49">
    <cfRule type="expression" dxfId="2858" priority="324">
      <formula>S$9&gt;=20/24</formula>
    </cfRule>
    <cfRule type="expression" dxfId="2857" priority="325">
      <formula>AND(S$9&gt;=14/24,S$9&lt;20/24)</formula>
    </cfRule>
    <cfRule type="expression" dxfId="2856" priority="326">
      <formula>AND(S$9&gt;=8/24,S$9&lt;14/24)</formula>
    </cfRule>
    <cfRule type="expression" dxfId="2855" priority="327">
      <formula>S$9&lt;8/24</formula>
    </cfRule>
  </conditionalFormatting>
  <conditionalFormatting sqref="S50:AF50">
    <cfRule type="expression" dxfId="2854" priority="320">
      <formula>S$9&gt;=20/24</formula>
    </cfRule>
    <cfRule type="expression" dxfId="2853" priority="321">
      <formula>AND(S$9&gt;=14/24,S$9&lt;20/24)</formula>
    </cfRule>
    <cfRule type="expression" dxfId="2852" priority="322">
      <formula>AND(S$9&gt;=8/24,S$9&lt;14/24)</formula>
    </cfRule>
    <cfRule type="expression" dxfId="2851" priority="323">
      <formula>S$9&lt;8/24</formula>
    </cfRule>
  </conditionalFormatting>
  <conditionalFormatting sqref="Y60:AF67">
    <cfRule type="expression" dxfId="2850" priority="316">
      <formula>Y$9&gt;=20/24</formula>
    </cfRule>
    <cfRule type="expression" dxfId="2849" priority="317">
      <formula>AND(Y$9&gt;=14/24,Y$9&lt;20/24)</formula>
    </cfRule>
    <cfRule type="expression" dxfId="2848" priority="318">
      <formula>AND(Y$9&gt;=8/24,Y$9&lt;14/24)</formula>
    </cfRule>
    <cfRule type="expression" dxfId="2847" priority="319">
      <formula>Y$9&lt;8/24</formula>
    </cfRule>
  </conditionalFormatting>
  <conditionalFormatting sqref="C62:L62">
    <cfRule type="expression" dxfId="2846" priority="312">
      <formula>C$9&gt;=20/24</formula>
    </cfRule>
    <cfRule type="expression" dxfId="2845" priority="313">
      <formula>AND(C$9&gt;=14/24,C$9&lt;20/24)</formula>
    </cfRule>
    <cfRule type="expression" dxfId="2844" priority="314">
      <formula>AND(C$9&gt;=8/24,C$9&lt;14/24)</formula>
    </cfRule>
    <cfRule type="expression" dxfId="2843" priority="315">
      <formula>C$9&lt;8/24</formula>
    </cfRule>
  </conditionalFormatting>
  <conditionalFormatting sqref="U94:AC97">
    <cfRule type="expression" dxfId="2842" priority="308">
      <formula>U$9&gt;=20/24</formula>
    </cfRule>
    <cfRule type="expression" dxfId="2841" priority="309">
      <formula>AND(U$9&gt;=14/24,U$9&lt;20/24)</formula>
    </cfRule>
    <cfRule type="expression" dxfId="2840" priority="310">
      <formula>AND(U$9&gt;=8/24,U$9&lt;14/24)</formula>
    </cfRule>
    <cfRule type="expression" dxfId="2839" priority="311">
      <formula>U$9&lt;8/24</formula>
    </cfRule>
  </conditionalFormatting>
  <conditionalFormatting sqref="B38:AF38 C51:AG51 D39:N41 M42:N50 J42:L43 M12:P14 M16:P32 M34:P36 D37:X37 R12:X13 B52:AF56 C11:AF11 Y18:AF32 Y34:AF37 O39:AF50">
    <cfRule type="expression" dxfId="2838" priority="307">
      <formula>B11&gt;$AG11</formula>
    </cfRule>
  </conditionalFormatting>
  <conditionalFormatting sqref="A100:A156 A84:A97 A11:A14 A16:A32 A45:A72 A80:A82 A74:A78 A35:A43 A169:A199">
    <cfRule type="expression" dxfId="2837" priority="306">
      <formula>$AH11=0</formula>
    </cfRule>
  </conditionalFormatting>
  <conditionalFormatting sqref="U98:AC98">
    <cfRule type="expression" dxfId="2836" priority="302">
      <formula>U$9&gt;=20/24</formula>
    </cfRule>
    <cfRule type="expression" dxfId="2835" priority="303">
      <formula>AND(U$9&gt;=14/24,U$9&lt;20/24)</formula>
    </cfRule>
    <cfRule type="expression" dxfId="2834" priority="304">
      <formula>AND(U$9&gt;=8/24,U$9&lt;14/24)</formula>
    </cfRule>
    <cfRule type="expression" dxfId="2833" priority="305">
      <formula>U$9&lt;8/24</formula>
    </cfRule>
  </conditionalFormatting>
  <conditionalFormatting sqref="A98">
    <cfRule type="expression" dxfId="2832" priority="301">
      <formula>$AH98=0</formula>
    </cfRule>
  </conditionalFormatting>
  <conditionalFormatting sqref="M62:M67">
    <cfRule type="expression" dxfId="2831" priority="289">
      <formula>M$9&gt;=20/24</formula>
    </cfRule>
    <cfRule type="expression" dxfId="2830" priority="290">
      <formula>AND(M$9&gt;=14/24,M$9&lt;20/24)</formula>
    </cfRule>
    <cfRule type="expression" dxfId="2829" priority="291">
      <formula>AND(M$9&gt;=8/24,M$9&lt;14/24)</formula>
    </cfRule>
    <cfRule type="expression" dxfId="2828" priority="292">
      <formula>M$9&lt;8/24</formula>
    </cfRule>
  </conditionalFormatting>
  <conditionalFormatting sqref="AL32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M34:P34">
    <cfRule type="expression" dxfId="2827" priority="280">
      <formula>M$9&gt;=20/24</formula>
    </cfRule>
    <cfRule type="expression" dxfId="2826" priority="281">
      <formula>AND(M$9&gt;=14/24,M$9&lt;20/24)</formula>
    </cfRule>
    <cfRule type="expression" dxfId="2825" priority="282">
      <formula>AND(M$9&gt;=8/24,M$9&lt;14/24)</formula>
    </cfRule>
    <cfRule type="expression" dxfId="2824" priority="283">
      <formula>M$9&lt;8/24</formula>
    </cfRule>
  </conditionalFormatting>
  <conditionalFormatting sqref="Y34:AF34">
    <cfRule type="expression" dxfId="2823" priority="276">
      <formula>Y$9&gt;=20/24</formula>
    </cfRule>
    <cfRule type="expression" dxfId="2822" priority="277">
      <formula>AND(Y$9&gt;=14/24,Y$9&lt;20/24)</formula>
    </cfRule>
    <cfRule type="expression" dxfId="2821" priority="278">
      <formula>AND(Y$9&gt;=8/24,Y$9&lt;14/24)</formula>
    </cfRule>
    <cfRule type="expression" dxfId="2820" priority="279">
      <formula>Y$9&lt;8/24</formula>
    </cfRule>
  </conditionalFormatting>
  <conditionalFormatting sqref="A34">
    <cfRule type="expression" dxfId="2819" priority="275">
      <formula>$AH34=0</formula>
    </cfRule>
  </conditionalFormatting>
  <conditionalFormatting sqref="A83">
    <cfRule type="expression" dxfId="2818" priority="274">
      <formula>$AH83=0</formula>
    </cfRule>
  </conditionalFormatting>
  <conditionalFormatting sqref="M15:P15">
    <cfRule type="expression" dxfId="2817" priority="266">
      <formula>M$9&gt;=20/24</formula>
    </cfRule>
    <cfRule type="expression" dxfId="2816" priority="267">
      <formula>AND(M$9&gt;=14/24,M$9&lt;20/24)</formula>
    </cfRule>
    <cfRule type="expression" dxfId="2815" priority="268">
      <formula>AND(M$9&gt;=8/24,M$9&lt;14/24)</formula>
    </cfRule>
    <cfRule type="expression" dxfId="2814" priority="269">
      <formula>M$9&lt;8/24</formula>
    </cfRule>
  </conditionalFormatting>
  <conditionalFormatting sqref="M15:P15">
    <cfRule type="expression" dxfId="2813" priority="265">
      <formula>M15&gt;$AG15</formula>
    </cfRule>
  </conditionalFormatting>
  <conditionalFormatting sqref="A15">
    <cfRule type="expression" dxfId="2812" priority="264">
      <formula>$AH15=0</formula>
    </cfRule>
  </conditionalFormatting>
  <conditionalFormatting sqref="A163:A168">
    <cfRule type="expression" dxfId="2811" priority="263">
      <formula>$AH163=0</formula>
    </cfRule>
  </conditionalFormatting>
  <conditionalFormatting sqref="A157:A162">
    <cfRule type="expression" dxfId="2810" priority="262">
      <formula>$AH157=0</formula>
    </cfRule>
  </conditionalFormatting>
  <conditionalFormatting sqref="Z44:AF44">
    <cfRule type="expression" dxfId="2809" priority="258">
      <formula>Z$9&gt;=20/24</formula>
    </cfRule>
    <cfRule type="expression" dxfId="2808" priority="259">
      <formula>AND(Z$9&gt;=14/24,Z$9&lt;20/24)</formula>
    </cfRule>
    <cfRule type="expression" dxfId="2807" priority="260">
      <formula>AND(Z$9&gt;=8/24,Z$9&lt;14/24)</formula>
    </cfRule>
    <cfRule type="expression" dxfId="2806" priority="261">
      <formula>Z$9&lt;8/24</formula>
    </cfRule>
  </conditionalFormatting>
  <conditionalFormatting sqref="M44:X44">
    <cfRule type="expression" dxfId="2805" priority="254">
      <formula>M$9&gt;=20/24</formula>
    </cfRule>
    <cfRule type="expression" dxfId="2804" priority="255">
      <formula>AND(M$9&gt;=14/24,M$9&lt;20/24)</formula>
    </cfRule>
    <cfRule type="expression" dxfId="2803" priority="256">
      <formula>AND(M$9&gt;=8/24,M$9&lt;14/24)</formula>
    </cfRule>
    <cfRule type="expression" dxfId="2802" priority="257">
      <formula>M$9&lt;8/24</formula>
    </cfRule>
  </conditionalFormatting>
  <conditionalFormatting sqref="S44:AF44">
    <cfRule type="expression" dxfId="2801" priority="250">
      <formula>S$9&gt;=20/24</formula>
    </cfRule>
    <cfRule type="expression" dxfId="2800" priority="251">
      <formula>AND(S$9&gt;=14/24,S$9&lt;20/24)</formula>
    </cfRule>
    <cfRule type="expression" dxfId="2799" priority="252">
      <formula>AND(S$9&gt;=8/24,S$9&lt;14/24)</formula>
    </cfRule>
    <cfRule type="expression" dxfId="2798" priority="253">
      <formula>S$9&lt;8/24</formula>
    </cfRule>
  </conditionalFormatting>
  <conditionalFormatting sqref="A44">
    <cfRule type="expression" dxfId="2797" priority="249">
      <formula>$AH44=0</formula>
    </cfRule>
  </conditionalFormatting>
  <conditionalFormatting sqref="A79">
    <cfRule type="expression" dxfId="2796" priority="248">
      <formula>$AH79=0</formula>
    </cfRule>
  </conditionalFormatting>
  <conditionalFormatting sqref="A73">
    <cfRule type="expression" dxfId="2795" priority="247">
      <formula>$AH73=0</formula>
    </cfRule>
  </conditionalFormatting>
  <conditionalFormatting sqref="AL34:AL35 AL7:AL11 AL18:AL31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V60:X67">
    <cfRule type="expression" dxfId="2794" priority="243">
      <formula>V$9&gt;=20/24</formula>
    </cfRule>
    <cfRule type="expression" dxfId="2793" priority="244">
      <formula>AND(V$9&gt;=14/24,V$9&lt;20/24)</formula>
    </cfRule>
    <cfRule type="expression" dxfId="2792" priority="245">
      <formula>AND(V$9&gt;=8/24,V$9&lt;14/24)</formula>
    </cfRule>
    <cfRule type="expression" dxfId="2791" priority="246">
      <formula>V$9&lt;8/24</formula>
    </cfRule>
  </conditionalFormatting>
  <conditionalFormatting sqref="U85:W91">
    <cfRule type="expression" dxfId="2790" priority="239">
      <formula>U$9&gt;=20/24</formula>
    </cfRule>
    <cfRule type="expression" dxfId="2789" priority="240">
      <formula>AND(U$9&gt;=14/24,U$9&lt;20/24)</formula>
    </cfRule>
    <cfRule type="expression" dxfId="2788" priority="241">
      <formula>AND(U$9&gt;=8/24,U$9&lt;14/24)</formula>
    </cfRule>
    <cfRule type="expression" dxfId="2787" priority="242">
      <formula>U$9&lt;8/24</formula>
    </cfRule>
  </conditionalFormatting>
  <conditionalFormatting sqref="C84:R91 S85:T91">
    <cfRule type="expression" dxfId="2786" priority="235">
      <formula>C$9&gt;=20/24</formula>
    </cfRule>
    <cfRule type="expression" dxfId="2785" priority="236">
      <formula>AND(C$9&gt;=14/24,C$9&lt;20/24)</formula>
    </cfRule>
    <cfRule type="expression" dxfId="2784" priority="237">
      <formula>AND(C$9&gt;=8/24,C$9&lt;14/24)</formula>
    </cfRule>
    <cfRule type="expression" dxfId="2783" priority="238">
      <formula>C$9&lt;8/24</formula>
    </cfRule>
  </conditionalFormatting>
  <conditionalFormatting sqref="S84:T84">
    <cfRule type="expression" dxfId="2782" priority="231">
      <formula>S$9&gt;=20/24</formula>
    </cfRule>
    <cfRule type="expression" dxfId="2781" priority="232">
      <formula>AND(S$9&gt;=14/24,S$9&lt;20/24)</formula>
    </cfRule>
    <cfRule type="expression" dxfId="2780" priority="233">
      <formula>AND(S$9&gt;=8/24,S$9&lt;14/24)</formula>
    </cfRule>
    <cfRule type="expression" dxfId="2779" priority="234">
      <formula>S$9&lt;8/24</formula>
    </cfRule>
  </conditionalFormatting>
  <conditionalFormatting sqref="C95:M97 C94:F94">
    <cfRule type="expression" dxfId="2778" priority="227">
      <formula>C$9&gt;=20/24</formula>
    </cfRule>
    <cfRule type="expression" dxfId="2777" priority="228">
      <formula>AND(C$9&gt;=14/24,C$9&lt;20/24)</formula>
    </cfRule>
    <cfRule type="expression" dxfId="2776" priority="229">
      <formula>AND(C$9&gt;=8/24,C$9&lt;14/24)</formula>
    </cfRule>
    <cfRule type="expression" dxfId="2775" priority="230">
      <formula>C$9&lt;8/24</formula>
    </cfRule>
  </conditionalFormatting>
  <conditionalFormatting sqref="N95:R97 O94:R94">
    <cfRule type="expression" dxfId="2774" priority="223">
      <formula>N$9&gt;=20/24</formula>
    </cfRule>
    <cfRule type="expression" dxfId="2773" priority="224">
      <formula>AND(N$9&gt;=14/24,N$9&lt;20/24)</formula>
    </cfRule>
    <cfRule type="expression" dxfId="2772" priority="225">
      <formula>AND(N$9&gt;=8/24,N$9&lt;14/24)</formula>
    </cfRule>
    <cfRule type="expression" dxfId="2771" priority="226">
      <formula>N$9&lt;8/24</formula>
    </cfRule>
  </conditionalFormatting>
  <conditionalFormatting sqref="S94:T97">
    <cfRule type="expression" dxfId="2770" priority="219">
      <formula>S$9&gt;=20/24</formula>
    </cfRule>
    <cfRule type="expression" dxfId="2769" priority="220">
      <formula>AND(S$9&gt;=14/24,S$9&lt;20/24)</formula>
    </cfRule>
    <cfRule type="expression" dxfId="2768" priority="221">
      <formula>AND(S$9&gt;=8/24,S$9&lt;14/24)</formula>
    </cfRule>
    <cfRule type="expression" dxfId="2767" priority="222">
      <formula>S$9&lt;8/24</formula>
    </cfRule>
  </conditionalFormatting>
  <conditionalFormatting sqref="C98:M98">
    <cfRule type="expression" dxfId="2766" priority="215">
      <formula>C$9&gt;=20/24</formula>
    </cfRule>
    <cfRule type="expression" dxfId="2765" priority="216">
      <formula>AND(C$9&gt;=14/24,C$9&lt;20/24)</formula>
    </cfRule>
    <cfRule type="expression" dxfId="2764" priority="217">
      <formula>AND(C$9&gt;=8/24,C$9&lt;14/24)</formula>
    </cfRule>
    <cfRule type="expression" dxfId="2763" priority="218">
      <formula>C$9&lt;8/24</formula>
    </cfRule>
  </conditionalFormatting>
  <conditionalFormatting sqref="N98:R98">
    <cfRule type="expression" dxfId="2762" priority="211">
      <formula>N$9&gt;=20/24</formula>
    </cfRule>
    <cfRule type="expression" dxfId="2761" priority="212">
      <formula>AND(N$9&gt;=14/24,N$9&lt;20/24)</formula>
    </cfRule>
    <cfRule type="expression" dxfId="2760" priority="213">
      <formula>AND(N$9&gt;=8/24,N$9&lt;14/24)</formula>
    </cfRule>
    <cfRule type="expression" dxfId="2759" priority="214">
      <formula>N$9&lt;8/24</formula>
    </cfRule>
  </conditionalFormatting>
  <conditionalFormatting sqref="S98:T98">
    <cfRule type="expression" dxfId="2758" priority="207">
      <formula>S$9&gt;=20/24</formula>
    </cfRule>
    <cfRule type="expression" dxfId="2757" priority="208">
      <formula>AND(S$9&gt;=14/24,S$9&lt;20/24)</formula>
    </cfRule>
    <cfRule type="expression" dxfId="2756" priority="209">
      <formula>AND(S$9&gt;=8/24,S$9&lt;14/24)</formula>
    </cfRule>
    <cfRule type="expression" dxfId="2755" priority="210">
      <formula>S$9&lt;8/24</formula>
    </cfRule>
  </conditionalFormatting>
  <conditionalFormatting sqref="M94:N94">
    <cfRule type="expression" dxfId="2754" priority="203">
      <formula>M$9&gt;=20/24</formula>
    </cfRule>
    <cfRule type="expression" dxfId="2753" priority="204">
      <formula>AND(M$9&gt;=14/24,M$9&lt;20/24)</formula>
    </cfRule>
    <cfRule type="expression" dxfId="2752" priority="205">
      <formula>AND(M$9&gt;=8/24,M$9&lt;14/24)</formula>
    </cfRule>
    <cfRule type="expression" dxfId="2751" priority="206">
      <formula>M$9&lt;8/24</formula>
    </cfRule>
  </conditionalFormatting>
  <conditionalFormatting sqref="G94:L94">
    <cfRule type="expression" dxfId="2750" priority="199">
      <formula>G$9&gt;=20/24</formula>
    </cfRule>
    <cfRule type="expression" dxfId="2749" priority="200">
      <formula>AND(G$9&gt;=14/24,G$9&lt;20/24)</formula>
    </cfRule>
    <cfRule type="expression" dxfId="2748" priority="201">
      <formula>AND(G$9&gt;=8/24,G$9&lt;14/24)</formula>
    </cfRule>
    <cfRule type="expression" dxfId="2747" priority="202">
      <formula>G$9&lt;8/24</formula>
    </cfRule>
  </conditionalFormatting>
  <conditionalFormatting sqref="U94:W94">
    <cfRule type="expression" dxfId="2746" priority="195">
      <formula>U$9&gt;=20/24</formula>
    </cfRule>
    <cfRule type="expression" dxfId="2745" priority="196">
      <formula>AND(U$9&gt;=14/24,U$9&lt;20/24)</formula>
    </cfRule>
    <cfRule type="expression" dxfId="2744" priority="197">
      <formula>AND(U$9&gt;=8/24,U$9&lt;14/24)</formula>
    </cfRule>
    <cfRule type="expression" dxfId="2743" priority="198">
      <formula>U$9&lt;8/24</formula>
    </cfRule>
  </conditionalFormatting>
  <conditionalFormatting sqref="N94:T94">
    <cfRule type="expression" dxfId="2742" priority="191">
      <formula>N$9&gt;=20/24</formula>
    </cfRule>
    <cfRule type="expression" dxfId="2741" priority="192">
      <formula>AND(N$9&gt;=14/24,N$9&lt;20/24)</formula>
    </cfRule>
    <cfRule type="expression" dxfId="2740" priority="193">
      <formula>AND(N$9&gt;=8/24,N$9&lt;14/24)</formula>
    </cfRule>
    <cfRule type="expression" dxfId="2739" priority="194">
      <formula>N$9&lt;8/24</formula>
    </cfRule>
  </conditionalFormatting>
  <conditionalFormatting sqref="U99:AC99">
    <cfRule type="expression" dxfId="2738" priority="187">
      <formula>U$9&gt;=20/24</formula>
    </cfRule>
    <cfRule type="expression" dxfId="2737" priority="188">
      <formula>AND(U$9&gt;=14/24,U$9&lt;20/24)</formula>
    </cfRule>
    <cfRule type="expression" dxfId="2736" priority="189">
      <formula>AND(U$9&gt;=8/24,U$9&lt;14/24)</formula>
    </cfRule>
    <cfRule type="expression" dxfId="2735" priority="190">
      <formula>U$9&lt;8/24</formula>
    </cfRule>
  </conditionalFormatting>
  <conditionalFormatting sqref="C99:M99">
    <cfRule type="expression" dxfId="2734" priority="183">
      <formula>C$9&gt;=20/24</formula>
    </cfRule>
    <cfRule type="expression" dxfId="2733" priority="184">
      <formula>AND(C$9&gt;=14/24,C$9&lt;20/24)</formula>
    </cfRule>
    <cfRule type="expression" dxfId="2732" priority="185">
      <formula>AND(C$9&gt;=8/24,C$9&lt;14/24)</formula>
    </cfRule>
    <cfRule type="expression" dxfId="2731" priority="186">
      <formula>C$9&lt;8/24</formula>
    </cfRule>
  </conditionalFormatting>
  <conditionalFormatting sqref="N99:R99">
    <cfRule type="expression" dxfId="2730" priority="179">
      <formula>N$9&gt;=20/24</formula>
    </cfRule>
    <cfRule type="expression" dxfId="2729" priority="180">
      <formula>AND(N$9&gt;=14/24,N$9&lt;20/24)</formula>
    </cfRule>
    <cfRule type="expression" dxfId="2728" priority="181">
      <formula>AND(N$9&gt;=8/24,N$9&lt;14/24)</formula>
    </cfRule>
    <cfRule type="expression" dxfId="2727" priority="182">
      <formula>N$9&lt;8/24</formula>
    </cfRule>
  </conditionalFormatting>
  <conditionalFormatting sqref="S99:T99">
    <cfRule type="expression" dxfId="2726" priority="175">
      <formula>S$9&gt;=20/24</formula>
    </cfRule>
    <cfRule type="expression" dxfId="2725" priority="176">
      <formula>AND(S$9&gt;=14/24,S$9&lt;20/24)</formula>
    </cfRule>
    <cfRule type="expression" dxfId="2724" priority="177">
      <formula>AND(S$9&gt;=8/24,S$9&lt;14/24)</formula>
    </cfRule>
    <cfRule type="expression" dxfId="2723" priority="178">
      <formula>S$9&lt;8/24</formula>
    </cfRule>
  </conditionalFormatting>
  <conditionalFormatting sqref="Y12:AF16">
    <cfRule type="expression" dxfId="2722" priority="171">
      <formula>Y$9&gt;=20/24</formula>
    </cfRule>
    <cfRule type="expression" dxfId="2721" priority="172">
      <formula>AND(Y$9&gt;=14/24,Y$9&lt;20/24)</formula>
    </cfRule>
    <cfRule type="expression" dxfId="2720" priority="173">
      <formula>AND(Y$9&gt;=8/24,Y$9&lt;14/24)</formula>
    </cfRule>
    <cfRule type="expression" dxfId="2719" priority="174">
      <formula>Y$9&lt;8/24</formula>
    </cfRule>
  </conditionalFormatting>
  <conditionalFormatting sqref="Y17:AF17">
    <cfRule type="expression" dxfId="2718" priority="167">
      <formula>Y$9&gt;=20/24</formula>
    </cfRule>
    <cfRule type="expression" dxfId="2717" priority="168">
      <formula>AND(Y$9&gt;=14/24,Y$9&lt;20/24)</formula>
    </cfRule>
    <cfRule type="expression" dxfId="2716" priority="169">
      <formula>AND(Y$9&gt;=8/24,Y$9&lt;14/24)</formula>
    </cfRule>
    <cfRule type="expression" dxfId="2715" priority="170">
      <formula>Y$9&lt;8/24</formula>
    </cfRule>
  </conditionalFormatting>
  <conditionalFormatting sqref="Y12:AF13">
    <cfRule type="expression" dxfId="2714" priority="163">
      <formula>Y$9&gt;=20/24</formula>
    </cfRule>
    <cfRule type="expression" dxfId="2713" priority="164">
      <formula>AND(Y$9&gt;=14/24,Y$9&lt;20/24)</formula>
    </cfRule>
    <cfRule type="expression" dxfId="2712" priority="165">
      <formula>AND(Y$9&gt;=8/24,Y$9&lt;14/24)</formula>
    </cfRule>
    <cfRule type="expression" dxfId="2711" priority="166">
      <formula>Y$9&lt;8/24</formula>
    </cfRule>
  </conditionalFormatting>
  <conditionalFormatting sqref="AD58:AE59">
    <cfRule type="expression" dxfId="2710" priority="159">
      <formula>AD$9&gt;=20/24</formula>
    </cfRule>
    <cfRule type="expression" dxfId="2709" priority="160">
      <formula>AND(AD$9&gt;=14/24,AD$9&lt;20/24)</formula>
    </cfRule>
    <cfRule type="expression" dxfId="2708" priority="161">
      <formula>AND(AD$9&gt;=8/24,AD$9&lt;14/24)</formula>
    </cfRule>
    <cfRule type="expression" dxfId="2707" priority="162">
      <formula>AD$9&lt;8/24</formula>
    </cfRule>
  </conditionalFormatting>
  <conditionalFormatting sqref="AL33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06" priority="392">
      <formula>C$9&gt;=20/24</formula>
    </cfRule>
    <cfRule type="expression" dxfId="2705" priority="393">
      <formula>AND(C$9&gt;=14/24,C$9&lt;20/24)</formula>
    </cfRule>
    <cfRule type="expression" dxfId="2704" priority="394">
      <formula>AND(C$9&gt;=8/24,C$9&lt;14/24)</formula>
    </cfRule>
    <cfRule type="expression" dxfId="2703" priority="395">
      <formula>C$9&lt;8/24</formula>
    </cfRule>
  </conditionalFormatting>
  <conditionalFormatting sqref="A200">
    <cfRule type="expression" dxfId="2702" priority="396">
      <formula>$AH200=0</formula>
    </cfRule>
  </conditionalFormatting>
  <conditionalFormatting sqref="AG212">
    <cfRule type="expression" dxfId="2701" priority="397">
      <formula>B$9&gt;=20/24</formula>
    </cfRule>
    <cfRule type="expression" dxfId="2700" priority="398">
      <formula>AND(B$9&gt;=14/24,B$9&lt;20/24)</formula>
    </cfRule>
    <cfRule type="expression" dxfId="2699" priority="399">
      <formula>AND(B$9&gt;=8/24,B$9&lt;14/24)</formula>
    </cfRule>
    <cfRule type="expression" dxfId="2698" priority="400">
      <formula>B$9&lt;8/24</formula>
    </cfRule>
  </conditionalFormatting>
  <conditionalFormatting sqref="S8">
    <cfRule type="expression" dxfId="2697" priority="153">
      <formula>U$9&gt;=20/24</formula>
    </cfRule>
    <cfRule type="expression" dxfId="2696" priority="154">
      <formula>AND(U$9&gt;=14/24,U$9&lt;20/24)</formula>
    </cfRule>
    <cfRule type="expression" dxfId="2695" priority="155">
      <formula>AND(U$9&gt;=8/24,U$9&lt;14/24)</formula>
    </cfRule>
    <cfRule type="expression" dxfId="2694" priority="156">
      <formula>U$9&lt;8/24</formula>
    </cfRule>
  </conditionalFormatting>
  <conditionalFormatting sqref="AB8">
    <cfRule type="expression" dxfId="2693" priority="149">
      <formula>AD$9&gt;=20/24</formula>
    </cfRule>
    <cfRule type="expression" dxfId="2692" priority="150">
      <formula>AND(AD$9&gt;=14/24,AD$9&lt;20/24)</formula>
    </cfRule>
    <cfRule type="expression" dxfId="2691" priority="151">
      <formula>AND(AD$9&gt;=8/24,AD$9&lt;14/24)</formula>
    </cfRule>
    <cfRule type="expression" dxfId="2690" priority="152">
      <formula>AD$9&lt;8/24</formula>
    </cfRule>
  </conditionalFormatting>
  <conditionalFormatting sqref="AH212:AX212">
    <cfRule type="expression" dxfId="2689" priority="401">
      <formula>AG$9&gt;=20/24</formula>
    </cfRule>
    <cfRule type="expression" dxfId="2688" priority="402">
      <formula>AND(AG$9&gt;=14/24,AG$9&lt;20/24)</formula>
    </cfRule>
    <cfRule type="expression" dxfId="2687" priority="403">
      <formula>AND(AG$9&gt;=8/24,AG$9&lt;14/24)</formula>
    </cfRule>
    <cfRule type="expression" dxfId="2686" priority="404">
      <formula>AG$9&lt;8/24</formula>
    </cfRule>
  </conditionalFormatting>
  <conditionalFormatting sqref="T212">
    <cfRule type="expression" dxfId="2685" priority="405">
      <formula>AX$9&gt;=20/24</formula>
    </cfRule>
    <cfRule type="expression" dxfId="2684" priority="406">
      <formula>AND(AX$9&gt;=14/24,AX$9&lt;20/24)</formula>
    </cfRule>
    <cfRule type="expression" dxfId="2683" priority="407">
      <formula>AND(AX$9&gt;=8/24,AX$9&lt;14/24)</formula>
    </cfRule>
    <cfRule type="expression" dxfId="2682" priority="408">
      <formula>AX$9&lt;8/24</formula>
    </cfRule>
  </conditionalFormatting>
  <conditionalFormatting sqref="A99">
    <cfRule type="expression" dxfId="2681" priority="148">
      <formula>$AH99=0</formula>
    </cfRule>
  </conditionalFormatting>
  <conditionalFormatting sqref="M33:P33">
    <cfRule type="expression" dxfId="2680" priority="144">
      <formula>M$9&gt;=20/24</formula>
    </cfRule>
    <cfRule type="expression" dxfId="2679" priority="145">
      <formula>AND(M$9&gt;=14/24,M$9&lt;20/24)</formula>
    </cfRule>
    <cfRule type="expression" dxfId="2678" priority="146">
      <formula>AND(M$9&gt;=8/24,M$9&lt;14/24)</formula>
    </cfRule>
    <cfRule type="expression" dxfId="2677" priority="147">
      <formula>M$9&lt;8/24</formula>
    </cfRule>
  </conditionalFormatting>
  <conditionalFormatting sqref="Y33:AF33">
    <cfRule type="expression" dxfId="2676" priority="136">
      <formula>Y$9&gt;=20/24</formula>
    </cfRule>
    <cfRule type="expression" dxfId="2675" priority="137">
      <formula>AND(Y$9&gt;=14/24,Y$9&lt;20/24)</formula>
    </cfRule>
    <cfRule type="expression" dxfId="2674" priority="138">
      <formula>AND(Y$9&gt;=8/24,Y$9&lt;14/24)</formula>
    </cfRule>
    <cfRule type="expression" dxfId="2673" priority="139">
      <formula>Y$9&lt;8/24</formula>
    </cfRule>
  </conditionalFormatting>
  <conditionalFormatting sqref="M33:P33 Y33:AF33">
    <cfRule type="expression" dxfId="2672" priority="135">
      <formula>M33&gt;$AG33</formula>
    </cfRule>
  </conditionalFormatting>
  <conditionalFormatting sqref="B11 B37:C37">
    <cfRule type="expression" dxfId="2671" priority="134">
      <formula>B11&gt;$AG11</formula>
    </cfRule>
  </conditionalFormatting>
  <conditionalFormatting sqref="B18:L30 B36:L36">
    <cfRule type="expression" dxfId="2670" priority="130">
      <formula>B$9&gt;=20/24</formula>
    </cfRule>
    <cfRule type="expression" dxfId="2669" priority="131">
      <formula>AND(B$9&gt;=14/24,B$9&lt;20/24)</formula>
    </cfRule>
    <cfRule type="expression" dxfId="2668" priority="132">
      <formula>AND(B$9&gt;=8/24,B$9&lt;14/24)</formula>
    </cfRule>
    <cfRule type="expression" dxfId="2667" priority="133">
      <formula>B$9&lt;8/24</formula>
    </cfRule>
  </conditionalFormatting>
  <conditionalFormatting sqref="B31:L32 B35:L35">
    <cfRule type="expression" dxfId="2666" priority="126">
      <formula>B$9&gt;=20/24</formula>
    </cfRule>
    <cfRule type="expression" dxfId="2665" priority="127">
      <formula>AND(B$9&gt;=14/24,B$9&lt;20/24)</formula>
    </cfRule>
    <cfRule type="expression" dxfId="2664" priority="128">
      <formula>AND(B$9&gt;=8/24,B$9&lt;14/24)</formula>
    </cfRule>
    <cfRule type="expression" dxfId="2663" priority="129">
      <formula>B$9&lt;8/24</formula>
    </cfRule>
  </conditionalFormatting>
  <conditionalFormatting sqref="B18:L32 B34:L36">
    <cfRule type="expression" dxfId="2662" priority="125">
      <formula>B18&gt;$AG18</formula>
    </cfRule>
  </conditionalFormatting>
  <conditionalFormatting sqref="B34:L34">
    <cfRule type="expression" dxfId="2661" priority="121">
      <formula>B$9&gt;=20/24</formula>
    </cfRule>
    <cfRule type="expression" dxfId="2660" priority="122">
      <formula>AND(B$9&gt;=14/24,B$9&lt;20/24)</formula>
    </cfRule>
    <cfRule type="expression" dxfId="2659" priority="123">
      <formula>AND(B$9&gt;=8/24,B$9&lt;14/24)</formula>
    </cfRule>
    <cfRule type="expression" dxfId="2658" priority="124">
      <formula>B$9&lt;8/24</formula>
    </cfRule>
  </conditionalFormatting>
  <conditionalFormatting sqref="B12:L16">
    <cfRule type="expression" dxfId="2657" priority="117">
      <formula>B$9&gt;=20/24</formula>
    </cfRule>
    <cfRule type="expression" dxfId="2656" priority="118">
      <formula>AND(B$9&gt;=14/24,B$9&lt;20/24)</formula>
    </cfRule>
    <cfRule type="expression" dxfId="2655" priority="119">
      <formula>AND(B$9&gt;=8/24,B$9&lt;14/24)</formula>
    </cfRule>
    <cfRule type="expression" dxfId="2654" priority="120">
      <formula>B$9&lt;8/24</formula>
    </cfRule>
  </conditionalFormatting>
  <conditionalFormatting sqref="B17:L17">
    <cfRule type="expression" dxfId="2653" priority="113">
      <formula>B$9&gt;=20/24</formula>
    </cfRule>
    <cfRule type="expression" dxfId="2652" priority="114">
      <formula>AND(B$9&gt;=14/24,B$9&lt;20/24)</formula>
    </cfRule>
    <cfRule type="expression" dxfId="2651" priority="115">
      <formula>AND(B$9&gt;=8/24,B$9&lt;14/24)</formula>
    </cfRule>
    <cfRule type="expression" dxfId="2650" priority="116">
      <formula>B$9&lt;8/24</formula>
    </cfRule>
  </conditionalFormatting>
  <conditionalFormatting sqref="B12:L13">
    <cfRule type="expression" dxfId="2649" priority="109">
      <formula>B$9&gt;=20/24</formula>
    </cfRule>
    <cfRule type="expression" dxfId="2648" priority="110">
      <formula>AND(B$9&gt;=14/24,B$9&lt;20/24)</formula>
    </cfRule>
    <cfRule type="expression" dxfId="2647" priority="111">
      <formula>AND(B$9&gt;=8/24,B$9&lt;14/24)</formula>
    </cfRule>
    <cfRule type="expression" dxfId="2646" priority="112">
      <formula>B$9&lt;8/24</formula>
    </cfRule>
  </conditionalFormatting>
  <conditionalFormatting sqref="B33:L33">
    <cfRule type="expression" dxfId="2645" priority="105">
      <formula>B$9&gt;=20/24</formula>
    </cfRule>
    <cfRule type="expression" dxfId="2644" priority="106">
      <formula>AND(B$9&gt;=14/24,B$9&lt;20/24)</formula>
    </cfRule>
    <cfRule type="expression" dxfId="2643" priority="107">
      <formula>AND(B$9&gt;=8/24,B$9&lt;14/24)</formula>
    </cfRule>
    <cfRule type="expression" dxfId="2642" priority="108">
      <formula>B$9&lt;8/24</formula>
    </cfRule>
  </conditionalFormatting>
  <conditionalFormatting sqref="B33:L33">
    <cfRule type="expression" dxfId="2641" priority="104">
      <formula>B33&gt;$AG33</formula>
    </cfRule>
  </conditionalFormatting>
  <conditionalFormatting sqref="B43:I43">
    <cfRule type="expression" dxfId="2640" priority="100">
      <formula>B$9&gt;=20/24</formula>
    </cfRule>
    <cfRule type="expression" dxfId="2639" priority="101">
      <formula>AND(B$9&gt;=14/24,B$9&lt;20/24)</formula>
    </cfRule>
    <cfRule type="expression" dxfId="2638" priority="102">
      <formula>AND(B$9&gt;=8/24,B$9&lt;14/24)</formula>
    </cfRule>
    <cfRule type="expression" dxfId="2637" priority="103">
      <formula>B$9&lt;8/24</formula>
    </cfRule>
  </conditionalFormatting>
  <conditionalFormatting sqref="B45:L48">
    <cfRule type="expression" dxfId="2636" priority="96">
      <formula>B$9&gt;=20/24</formula>
    </cfRule>
    <cfRule type="expression" dxfId="2635" priority="97">
      <formula>AND(B$9&gt;=14/24,B$9&lt;20/24)</formula>
    </cfRule>
    <cfRule type="expression" dxfId="2634" priority="98">
      <formula>AND(B$9&gt;=8/24,B$9&lt;14/24)</formula>
    </cfRule>
    <cfRule type="expression" dxfId="2633" priority="99">
      <formula>B$9&lt;8/24</formula>
    </cfRule>
  </conditionalFormatting>
  <conditionalFormatting sqref="B49:L49">
    <cfRule type="expression" dxfId="2632" priority="92">
      <formula>B$9&gt;=20/24</formula>
    </cfRule>
    <cfRule type="expression" dxfId="2631" priority="93">
      <formula>AND(B$9&gt;=14/24,B$9&lt;20/24)</formula>
    </cfRule>
    <cfRule type="expression" dxfId="2630" priority="94">
      <formula>AND(B$9&gt;=8/24,B$9&lt;14/24)</formula>
    </cfRule>
    <cfRule type="expression" dxfId="2629" priority="95">
      <formula>B$9&lt;8/24</formula>
    </cfRule>
  </conditionalFormatting>
  <conditionalFormatting sqref="B50:L50">
    <cfRule type="expression" dxfId="2628" priority="88">
      <formula>B$9&gt;=20/24</formula>
    </cfRule>
    <cfRule type="expression" dxfId="2627" priority="89">
      <formula>AND(B$9&gt;=14/24,B$9&lt;20/24)</formula>
    </cfRule>
    <cfRule type="expression" dxfId="2626" priority="90">
      <formula>AND(B$9&gt;=8/24,B$9&lt;14/24)</formula>
    </cfRule>
    <cfRule type="expression" dxfId="2625" priority="91">
      <formula>B$9&lt;8/24</formula>
    </cfRule>
  </conditionalFormatting>
  <conditionalFormatting sqref="B39:B51 C39:C50 D42:I50 J44:L50">
    <cfRule type="expression" dxfId="2624" priority="87">
      <formula>B39&gt;$AG39</formula>
    </cfRule>
  </conditionalFormatting>
  <conditionalFormatting sqref="B44:L44">
    <cfRule type="expression" dxfId="2623" priority="83">
      <formula>B$9&gt;=20/24</formula>
    </cfRule>
    <cfRule type="expression" dxfId="2622" priority="84">
      <formula>AND(B$9&gt;=14/24,B$9&lt;20/24)</formula>
    </cfRule>
    <cfRule type="expression" dxfId="2621" priority="85">
      <formula>AND(B$9&gt;=8/24,B$9&lt;14/24)</formula>
    </cfRule>
    <cfRule type="expression" dxfId="2620" priority="86">
      <formula>B$9&lt;8/24</formula>
    </cfRule>
  </conditionalFormatting>
  <conditionalFormatting sqref="B44:L44">
    <cfRule type="expression" dxfId="2619" priority="79">
      <formula>B$9&gt;=20/24</formula>
    </cfRule>
    <cfRule type="expression" dxfId="2618" priority="80">
      <formula>AND(B$9&gt;=14/24,B$9&lt;20/24)</formula>
    </cfRule>
    <cfRule type="expression" dxfId="2617" priority="81">
      <formula>AND(B$9&gt;=8/24,B$9&lt;14/24)</formula>
    </cfRule>
    <cfRule type="expression" dxfId="2616" priority="82">
      <formula>B$9&lt;8/24</formula>
    </cfRule>
  </conditionalFormatting>
  <conditionalFormatting sqref="B49:L49">
    <cfRule type="expression" dxfId="2615" priority="75">
      <formula>B$9&gt;=20/24</formula>
    </cfRule>
    <cfRule type="expression" dxfId="2614" priority="76">
      <formula>AND(B$9&gt;=14/24,B$9&lt;20/24)</formula>
    </cfRule>
    <cfRule type="expression" dxfId="2613" priority="77">
      <formula>AND(B$9&gt;=8/24,B$9&lt;14/24)</formula>
    </cfRule>
    <cfRule type="expression" dxfId="2612" priority="78">
      <formula>B$9&lt;8/24</formula>
    </cfRule>
  </conditionalFormatting>
  <conditionalFormatting sqref="Q12:Q14 Q16:Q32 Q36">
    <cfRule type="expression" dxfId="2611" priority="71">
      <formula>Q$9&gt;=20/24</formula>
    </cfRule>
    <cfRule type="expression" dxfId="2610" priority="72">
      <formula>AND(Q$9&gt;=14/24,Q$9&lt;20/24)</formula>
    </cfRule>
    <cfRule type="expression" dxfId="2609" priority="73">
      <formula>AND(Q$9&gt;=8/24,Q$9&lt;14/24)</formula>
    </cfRule>
    <cfRule type="expression" dxfId="2608" priority="74">
      <formula>Q$9&lt;8/24</formula>
    </cfRule>
  </conditionalFormatting>
  <conditionalFormatting sqref="Q35">
    <cfRule type="expression" dxfId="2607" priority="67">
      <formula>Q$9&gt;=20/24</formula>
    </cfRule>
    <cfRule type="expression" dxfId="2606" priority="68">
      <formula>AND(Q$9&gt;=14/24,Q$9&lt;20/24)</formula>
    </cfRule>
    <cfRule type="expression" dxfId="2605" priority="69">
      <formula>AND(Q$9&gt;=8/24,Q$9&lt;14/24)</formula>
    </cfRule>
    <cfRule type="expression" dxfId="2604" priority="70">
      <formula>Q$9&lt;8/24</formula>
    </cfRule>
  </conditionalFormatting>
  <conditionalFormatting sqref="Q12:Q14 Q16:Q32 Q34:Q36">
    <cfRule type="expression" dxfId="2603" priority="66">
      <formula>Q12&gt;$AG12</formula>
    </cfRule>
  </conditionalFormatting>
  <conditionalFormatting sqref="Q34">
    <cfRule type="expression" dxfId="2602" priority="62">
      <formula>Q$9&gt;=20/24</formula>
    </cfRule>
    <cfRule type="expression" dxfId="2601" priority="63">
      <formula>AND(Q$9&gt;=14/24,Q$9&lt;20/24)</formula>
    </cfRule>
    <cfRule type="expression" dxfId="2600" priority="64">
      <formula>AND(Q$9&gt;=8/24,Q$9&lt;14/24)</formula>
    </cfRule>
    <cfRule type="expression" dxfId="2599" priority="65">
      <formula>Q$9&lt;8/24</formula>
    </cfRule>
  </conditionalFormatting>
  <conditionalFormatting sqref="Q15">
    <cfRule type="expression" dxfId="2598" priority="58">
      <formula>Q$9&gt;=20/24</formula>
    </cfRule>
    <cfRule type="expression" dxfId="2597" priority="59">
      <formula>AND(Q$9&gt;=14/24,Q$9&lt;20/24)</formula>
    </cfRule>
    <cfRule type="expression" dxfId="2596" priority="60">
      <formula>AND(Q$9&gt;=8/24,Q$9&lt;14/24)</formula>
    </cfRule>
    <cfRule type="expression" dxfId="2595" priority="61">
      <formula>Q$9&lt;8/24</formula>
    </cfRule>
  </conditionalFormatting>
  <conditionalFormatting sqref="Q15">
    <cfRule type="expression" dxfId="2594" priority="57">
      <formula>Q15&gt;$AG15</formula>
    </cfRule>
  </conditionalFormatting>
  <conditionalFormatting sqref="Q33">
    <cfRule type="expression" dxfId="2593" priority="53">
      <formula>Q$9&gt;=20/24</formula>
    </cfRule>
    <cfRule type="expression" dxfId="2592" priority="54">
      <formula>AND(Q$9&gt;=14/24,Q$9&lt;20/24)</formula>
    </cfRule>
    <cfRule type="expression" dxfId="2591" priority="55">
      <formula>AND(Q$9&gt;=8/24,Q$9&lt;14/24)</formula>
    </cfRule>
    <cfRule type="expression" dxfId="2590" priority="56">
      <formula>Q$9&lt;8/24</formula>
    </cfRule>
  </conditionalFormatting>
  <conditionalFormatting sqref="Q33">
    <cfRule type="expression" dxfId="2589" priority="52">
      <formula>Q33&gt;$AG33</formula>
    </cfRule>
  </conditionalFormatting>
  <conditionalFormatting sqref="R14:X14 R16:X32 R36:X36">
    <cfRule type="expression" dxfId="2588" priority="48">
      <formula>R$9&gt;=20/24</formula>
    </cfRule>
    <cfRule type="expression" dxfId="2587" priority="49">
      <formula>AND(R$9&gt;=14/24,R$9&lt;20/24)</formula>
    </cfRule>
    <cfRule type="expression" dxfId="2586" priority="50">
      <formula>AND(R$9&gt;=8/24,R$9&lt;14/24)</formula>
    </cfRule>
    <cfRule type="expression" dxfId="2585" priority="51">
      <formula>R$9&lt;8/24</formula>
    </cfRule>
  </conditionalFormatting>
  <conditionalFormatting sqref="R35:X35">
    <cfRule type="expression" dxfId="2584" priority="44">
      <formula>R$9&gt;=20/24</formula>
    </cfRule>
    <cfRule type="expression" dxfId="2583" priority="45">
      <formula>AND(R$9&gt;=14/24,R$9&lt;20/24)</formula>
    </cfRule>
    <cfRule type="expression" dxfId="2582" priority="46">
      <formula>AND(R$9&gt;=8/24,R$9&lt;14/24)</formula>
    </cfRule>
    <cfRule type="expression" dxfId="2581" priority="47">
      <formula>R$9&lt;8/24</formula>
    </cfRule>
  </conditionalFormatting>
  <conditionalFormatting sqref="R14:X14 R16:X32 R34:X36">
    <cfRule type="expression" dxfId="2580" priority="43">
      <formula>R14&gt;$AG14</formula>
    </cfRule>
  </conditionalFormatting>
  <conditionalFormatting sqref="R34:X34">
    <cfRule type="expression" dxfId="2579" priority="39">
      <formula>R$9&gt;=20/24</formula>
    </cfRule>
    <cfRule type="expression" dxfId="2578" priority="40">
      <formula>AND(R$9&gt;=14/24,R$9&lt;20/24)</formula>
    </cfRule>
    <cfRule type="expression" dxfId="2577" priority="41">
      <formula>AND(R$9&gt;=8/24,R$9&lt;14/24)</formula>
    </cfRule>
    <cfRule type="expression" dxfId="2576" priority="42">
      <formula>R$9&lt;8/24</formula>
    </cfRule>
  </conditionalFormatting>
  <conditionalFormatting sqref="R15:X15">
    <cfRule type="expression" dxfId="2575" priority="35">
      <formula>R$9&gt;=20/24</formula>
    </cfRule>
    <cfRule type="expression" dxfId="2574" priority="36">
      <formula>AND(R$9&gt;=14/24,R$9&lt;20/24)</formula>
    </cfRule>
    <cfRule type="expression" dxfId="2573" priority="37">
      <formula>AND(R$9&gt;=8/24,R$9&lt;14/24)</formula>
    </cfRule>
    <cfRule type="expression" dxfId="2572" priority="38">
      <formula>R$9&lt;8/24</formula>
    </cfRule>
  </conditionalFormatting>
  <conditionalFormatting sqref="R15:X15">
    <cfRule type="expression" dxfId="2571" priority="34">
      <formula>R15&gt;$AG15</formula>
    </cfRule>
  </conditionalFormatting>
  <conditionalFormatting sqref="R33:X33">
    <cfRule type="expression" dxfId="2570" priority="30">
      <formula>R$9&gt;=20/24</formula>
    </cfRule>
    <cfRule type="expression" dxfId="2569" priority="31">
      <formula>AND(R$9&gt;=14/24,R$9&lt;20/24)</formula>
    </cfRule>
    <cfRule type="expression" dxfId="2568" priority="32">
      <formula>AND(R$9&gt;=8/24,R$9&lt;14/24)</formula>
    </cfRule>
    <cfRule type="expression" dxfId="2567" priority="33">
      <formula>R$9&lt;8/24</formula>
    </cfRule>
  </conditionalFormatting>
  <conditionalFormatting sqref="R33:X33">
    <cfRule type="expression" dxfId="2566" priority="29">
      <formula>R33&gt;$AG33</formula>
    </cfRule>
  </conditionalFormatting>
  <conditionalFormatting sqref="AK12:AL12">
    <cfRule type="expression" dxfId="2565" priority="15">
      <formula>AK$9&gt;=20/24</formula>
    </cfRule>
    <cfRule type="expression" dxfId="2564" priority="16">
      <formula>AND(AK$9&gt;=14/24,AK$9&lt;20/24)</formula>
    </cfRule>
    <cfRule type="expression" dxfId="2563" priority="17">
      <formula>AND(AK$9&gt;=8/24,AK$9&lt;14/24)</formula>
    </cfRule>
    <cfRule type="expression" dxfId="2562" priority="18">
      <formula>AK$9&lt;8/24</formula>
    </cfRule>
  </conditionalFormatting>
  <conditionalFormatting sqref="AK12:AL12">
    <cfRule type="expression" dxfId="2561" priority="14">
      <formula>AK12&gt;$AG12</formula>
    </cfRule>
  </conditionalFormatting>
  <conditionalFormatting sqref="AK13:AL13 AK15:AL17 AL14">
    <cfRule type="expression" dxfId="2560" priority="10">
      <formula>AK$9&gt;=20/24</formula>
    </cfRule>
    <cfRule type="expression" dxfId="2559" priority="11">
      <formula>AND(AK$9&gt;=14/24,AK$9&lt;20/24)</formula>
    </cfRule>
    <cfRule type="expression" dxfId="2558" priority="12">
      <formula>AND(AK$9&gt;=8/24,AK$9&lt;14/24)</formula>
    </cfRule>
    <cfRule type="expression" dxfId="2557" priority="13">
      <formula>AK$9&lt;8/24</formula>
    </cfRule>
  </conditionalFormatting>
  <conditionalFormatting sqref="AK13:AL13 AL14">
    <cfRule type="expression" dxfId="2556" priority="6">
      <formula>AK$9&gt;=20/24</formula>
    </cfRule>
    <cfRule type="expression" dxfId="2555" priority="7">
      <formula>AND(AK$9&gt;=14/24,AK$9&lt;20/24)</formula>
    </cfRule>
    <cfRule type="expression" dxfId="2554" priority="8">
      <formula>AND(AK$9&gt;=8/24,AK$9&lt;14/24)</formula>
    </cfRule>
    <cfRule type="expression" dxfId="2553" priority="9">
      <formula>AK$9&lt;8/24</formula>
    </cfRule>
  </conditionalFormatting>
  <conditionalFormatting sqref="AK14">
    <cfRule type="expression" dxfId="2552" priority="2">
      <formula>AK$9&gt;=20/24</formula>
    </cfRule>
    <cfRule type="expression" dxfId="2551" priority="3">
      <formula>AND(AK$9&gt;=14/24,AK$9&lt;20/24)</formula>
    </cfRule>
    <cfRule type="expression" dxfId="2550" priority="4">
      <formula>AND(AK$9&gt;=8/24,AK$9&lt;14/24)</formula>
    </cfRule>
    <cfRule type="expression" dxfId="2549" priority="5">
      <formula>AK$9&lt;8/24</formula>
    </cfRule>
  </conditionalFormatting>
  <conditionalFormatting sqref="AK14">
    <cfRule type="expression" dxfId="2548" priority="1">
      <formula>AK14&gt;$AG14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8" id="{677584C9-CA03-484C-B3E8-BFA0A374D58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L59" sqref="L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2078/09/24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198</v>
      </c>
      <c r="C5" s="32">
        <f t="shared" si="0"/>
        <v>183</v>
      </c>
      <c r="D5" s="32">
        <f t="shared" si="0"/>
        <v>171.8</v>
      </c>
      <c r="E5" s="32">
        <f t="shared" si="0"/>
        <v>218.2</v>
      </c>
      <c r="F5" s="32">
        <f t="shared" si="0"/>
        <v>273.39999999999998</v>
      </c>
      <c r="G5" s="32">
        <f t="shared" si="0"/>
        <v>290.89999999999998</v>
      </c>
      <c r="H5" s="32">
        <f t="shared" si="0"/>
        <v>244.9</v>
      </c>
      <c r="I5" s="32">
        <f t="shared" si="0"/>
        <v>261.8</v>
      </c>
      <c r="J5" s="32">
        <f t="shared" si="0"/>
        <v>154.69999999999999</v>
      </c>
      <c r="K5" s="32">
        <f t="shared" si="0"/>
        <v>122</v>
      </c>
      <c r="L5" s="32">
        <f t="shared" si="0"/>
        <v>92</v>
      </c>
      <c r="M5" s="32">
        <f t="shared" si="0"/>
        <v>100</v>
      </c>
      <c r="N5" s="32">
        <f t="shared" si="0"/>
        <v>288.5</v>
      </c>
      <c r="O5" s="32">
        <f t="shared" si="0"/>
        <v>281</v>
      </c>
      <c r="P5" s="32">
        <f t="shared" si="0"/>
        <v>308</v>
      </c>
      <c r="Q5" s="32">
        <f t="shared" si="0"/>
        <v>302</v>
      </c>
      <c r="R5" s="32">
        <f t="shared" si="0"/>
        <v>403.6</v>
      </c>
      <c r="S5" s="32">
        <f t="shared" si="0"/>
        <v>416</v>
      </c>
      <c r="T5" s="32">
        <f t="shared" si="0"/>
        <v>457.5</v>
      </c>
      <c r="U5" s="32">
        <f t="shared" si="0"/>
        <v>184.39999999999998</v>
      </c>
      <c r="V5" s="32">
        <f t="shared" si="0"/>
        <v>226.5</v>
      </c>
      <c r="W5" s="32">
        <f t="shared" si="0"/>
        <v>252.81</v>
      </c>
      <c r="X5" s="32">
        <f t="shared" si="0"/>
        <v>270.97000000000003</v>
      </c>
      <c r="Y5" s="32">
        <f t="shared" si="0"/>
        <v>128.19999999999999</v>
      </c>
      <c r="Z5" s="32">
        <f t="shared" si="0"/>
        <v>185</v>
      </c>
      <c r="AA5" s="32">
        <f t="shared" si="0"/>
        <v>273.8</v>
      </c>
      <c r="AB5" s="32">
        <f t="shared" si="0"/>
        <v>246.91</v>
      </c>
      <c r="AC5" s="32">
        <f t="shared" si="0"/>
        <v>273.8</v>
      </c>
      <c r="AD5" s="32">
        <f t="shared" si="0"/>
        <v>240.5</v>
      </c>
      <c r="AE5" s="32">
        <f t="shared" si="0"/>
        <v>182.89999999999998</v>
      </c>
      <c r="AF5" s="32">
        <f>B68</f>
        <v>211.2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1416MW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Load=875</v>
      </c>
      <c r="B7" s="37">
        <f>B75</f>
        <v>911.84</v>
      </c>
      <c r="C7" s="37">
        <f t="shared" ref="C7:AF7" si="1">C75</f>
        <v>913.14</v>
      </c>
      <c r="D7" s="37">
        <f t="shared" si="1"/>
        <v>908.14</v>
      </c>
      <c r="E7" s="37">
        <f t="shared" si="1"/>
        <v>874.93999999999994</v>
      </c>
      <c r="F7" s="37">
        <f t="shared" si="1"/>
        <v>900.54</v>
      </c>
      <c r="G7" s="37">
        <f t="shared" si="1"/>
        <v>936.33999999999992</v>
      </c>
      <c r="H7" s="37">
        <f t="shared" si="1"/>
        <v>1008.9399999999999</v>
      </c>
      <c r="I7" s="37">
        <f t="shared" si="1"/>
        <v>1057.1399999999999</v>
      </c>
      <c r="J7" s="37">
        <f t="shared" si="1"/>
        <v>1160.04</v>
      </c>
      <c r="K7" s="37">
        <f t="shared" si="1"/>
        <v>1280.94</v>
      </c>
      <c r="L7" s="37">
        <f t="shared" si="1"/>
        <v>1344.9399999999998</v>
      </c>
      <c r="M7" s="37">
        <f t="shared" si="1"/>
        <v>1415.94</v>
      </c>
      <c r="N7" s="37">
        <f t="shared" si="1"/>
        <v>1394.44</v>
      </c>
      <c r="O7" s="37">
        <f t="shared" si="1"/>
        <v>1323.24</v>
      </c>
      <c r="P7" s="37">
        <f t="shared" si="1"/>
        <v>1273.04</v>
      </c>
      <c r="Q7" s="37">
        <f t="shared" si="1"/>
        <v>1181.94</v>
      </c>
      <c r="R7" s="37">
        <f t="shared" si="1"/>
        <v>1112.3399999999999</v>
      </c>
      <c r="S7" s="37">
        <f t="shared" si="1"/>
        <v>1083.8400000000001</v>
      </c>
      <c r="T7" s="37">
        <f t="shared" si="1"/>
        <v>1114.44</v>
      </c>
      <c r="U7" s="37">
        <f t="shared" si="1"/>
        <v>1141.74</v>
      </c>
      <c r="V7" s="37">
        <f t="shared" si="1"/>
        <v>1132.54</v>
      </c>
      <c r="W7" s="37">
        <f t="shared" si="1"/>
        <v>1265.6399999999999</v>
      </c>
      <c r="X7" s="37">
        <f t="shared" si="1"/>
        <v>1473.95</v>
      </c>
      <c r="Y7" s="37">
        <f t="shared" si="1"/>
        <v>1470.2099999999998</v>
      </c>
      <c r="Z7" s="37">
        <f t="shared" si="1"/>
        <v>1384.34</v>
      </c>
      <c r="AA7" s="37">
        <f t="shared" si="1"/>
        <v>1381.44</v>
      </c>
      <c r="AB7" s="37">
        <f t="shared" si="1"/>
        <v>1306.6399999999999</v>
      </c>
      <c r="AC7" s="37">
        <f t="shared" si="1"/>
        <v>1272.4499999999998</v>
      </c>
      <c r="AD7" s="37">
        <f t="shared" si="1"/>
        <v>1171.8399999999999</v>
      </c>
      <c r="AE7" s="37">
        <f t="shared" si="1"/>
        <v>1009.54</v>
      </c>
      <c r="AF7" s="37">
        <f t="shared" si="1"/>
        <v>909.33999999999992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15</v>
      </c>
      <c r="C11" s="49">
        <v>30</v>
      </c>
      <c r="D11" s="49">
        <v>30</v>
      </c>
      <c r="E11" s="49">
        <v>60</v>
      </c>
      <c r="F11" s="49">
        <v>30</v>
      </c>
      <c r="G11" s="49">
        <v>10</v>
      </c>
      <c r="H11" s="49">
        <v>40</v>
      </c>
      <c r="I11" s="49">
        <v>90</v>
      </c>
      <c r="J11" s="49">
        <v>130</v>
      </c>
      <c r="K11" s="49">
        <v>290</v>
      </c>
      <c r="L11" s="49">
        <v>300</v>
      </c>
      <c r="M11" s="50">
        <v>440</v>
      </c>
      <c r="N11" s="50">
        <v>386</v>
      </c>
      <c r="O11" s="50">
        <v>129.19999999999999</v>
      </c>
      <c r="P11" s="50">
        <v>127</v>
      </c>
      <c r="Q11" s="50">
        <v>130</v>
      </c>
      <c r="R11" s="51">
        <v>115</v>
      </c>
      <c r="S11" s="50">
        <v>40</v>
      </c>
      <c r="T11" s="50">
        <v>10</v>
      </c>
      <c r="U11" s="50">
        <v>10</v>
      </c>
      <c r="V11" s="50">
        <v>120</v>
      </c>
      <c r="W11" s="50">
        <v>190</v>
      </c>
      <c r="X11" s="50">
        <v>280</v>
      </c>
      <c r="Y11" s="50">
        <v>340</v>
      </c>
      <c r="Z11" s="50">
        <v>350</v>
      </c>
      <c r="AA11" s="50">
        <v>270</v>
      </c>
      <c r="AB11" s="50">
        <v>120</v>
      </c>
      <c r="AC11" s="50">
        <v>100</v>
      </c>
      <c r="AD11" s="50">
        <v>100</v>
      </c>
      <c r="AE11" s="50">
        <v>60</v>
      </c>
      <c r="AF11" s="49">
        <v>40</v>
      </c>
      <c r="AG11" s="53">
        <v>456</v>
      </c>
      <c r="AH11" s="54">
        <f>MAX(B11:AF11)</f>
        <v>440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44</v>
      </c>
      <c r="C12" s="58">
        <v>44</v>
      </c>
      <c r="D12" s="58">
        <v>44</v>
      </c>
      <c r="E12" s="58">
        <v>44</v>
      </c>
      <c r="F12" s="58">
        <v>44</v>
      </c>
      <c r="G12" s="58">
        <v>44</v>
      </c>
      <c r="H12" s="58">
        <v>44</v>
      </c>
      <c r="I12" s="58">
        <v>44</v>
      </c>
      <c r="J12" s="58">
        <v>44</v>
      </c>
      <c r="K12" s="58">
        <v>44</v>
      </c>
      <c r="L12" s="58">
        <v>44</v>
      </c>
      <c r="M12" s="58">
        <v>44</v>
      </c>
      <c r="N12" s="58">
        <v>44</v>
      </c>
      <c r="O12" s="58">
        <v>44</v>
      </c>
      <c r="P12" s="58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49">
        <v>44</v>
      </c>
      <c r="Y12" s="58">
        <v>44</v>
      </c>
      <c r="Z12" s="58">
        <v>44</v>
      </c>
      <c r="AA12" s="58">
        <v>44</v>
      </c>
      <c r="AB12" s="50">
        <v>44</v>
      </c>
      <c r="AC12" s="50">
        <v>44</v>
      </c>
      <c r="AD12" s="50">
        <v>44</v>
      </c>
      <c r="AE12" s="50">
        <v>44</v>
      </c>
      <c r="AF12" s="50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24.9</v>
      </c>
      <c r="C13" s="58">
        <v>24.9</v>
      </c>
      <c r="D13" s="58">
        <v>24.9</v>
      </c>
      <c r="E13" s="58">
        <v>24.9</v>
      </c>
      <c r="F13" s="58">
        <v>24.9</v>
      </c>
      <c r="G13" s="58">
        <v>24.9</v>
      </c>
      <c r="H13" s="58">
        <v>24.9</v>
      </c>
      <c r="I13" s="58">
        <v>24.9</v>
      </c>
      <c r="J13" s="58">
        <v>24.9</v>
      </c>
      <c r="K13" s="58">
        <v>24.9</v>
      </c>
      <c r="L13" s="58">
        <v>24.9</v>
      </c>
      <c r="M13" s="58">
        <v>24.9</v>
      </c>
      <c r="N13" s="58">
        <v>24.9</v>
      </c>
      <c r="O13" s="58">
        <v>24.5</v>
      </c>
      <c r="P13" s="58">
        <v>24.3</v>
      </c>
      <c r="Q13" s="58">
        <v>24.3</v>
      </c>
      <c r="R13" s="58">
        <v>24.3</v>
      </c>
      <c r="S13" s="58">
        <v>24.3</v>
      </c>
      <c r="T13" s="58">
        <v>24.3</v>
      </c>
      <c r="U13" s="58">
        <v>24.3</v>
      </c>
      <c r="V13" s="58">
        <v>24.3</v>
      </c>
      <c r="W13" s="58">
        <v>24.3</v>
      </c>
      <c r="X13" s="58">
        <v>24.3</v>
      </c>
      <c r="Y13" s="58">
        <v>24.3</v>
      </c>
      <c r="Z13" s="58">
        <v>24.3</v>
      </c>
      <c r="AA13" s="58">
        <v>24.3</v>
      </c>
      <c r="AB13" s="50">
        <v>24.1</v>
      </c>
      <c r="AC13" s="50">
        <v>24</v>
      </c>
      <c r="AD13" s="50">
        <v>24.1</v>
      </c>
      <c r="AE13" s="50">
        <v>24.1</v>
      </c>
      <c r="AF13" s="50">
        <v>24.1</v>
      </c>
      <c r="AG13" s="59">
        <v>52.4</v>
      </c>
      <c r="AH13" s="54">
        <f t="shared" si="2"/>
        <v>24.9</v>
      </c>
      <c r="AI13" s="55">
        <f t="shared" si="3"/>
        <v>24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46.6</v>
      </c>
      <c r="C14" s="60">
        <v>46.6</v>
      </c>
      <c r="D14" s="60">
        <v>46.6</v>
      </c>
      <c r="E14" s="60">
        <v>46.6</v>
      </c>
      <c r="F14" s="60">
        <v>46.6</v>
      </c>
      <c r="G14" s="60">
        <v>46.6</v>
      </c>
      <c r="H14" s="60">
        <v>46.6</v>
      </c>
      <c r="I14" s="60">
        <v>46.6</v>
      </c>
      <c r="J14" s="60">
        <v>46.6</v>
      </c>
      <c r="K14" s="60">
        <v>46.6</v>
      </c>
      <c r="L14" s="60">
        <v>46.6</v>
      </c>
      <c r="M14" s="60">
        <v>46.6</v>
      </c>
      <c r="N14" s="60">
        <v>46.6</v>
      </c>
      <c r="O14" s="60">
        <v>0</v>
      </c>
      <c r="P14" s="60">
        <v>0</v>
      </c>
      <c r="Q14" s="60">
        <v>0</v>
      </c>
      <c r="R14" s="60">
        <v>0</v>
      </c>
      <c r="S14" s="60">
        <v>25</v>
      </c>
      <c r="T14" s="60">
        <v>50</v>
      </c>
      <c r="U14" s="60">
        <v>50</v>
      </c>
      <c r="V14" s="60">
        <v>50</v>
      </c>
      <c r="W14" s="60">
        <v>50</v>
      </c>
      <c r="X14" s="60">
        <v>50</v>
      </c>
      <c r="Y14" s="60">
        <v>50</v>
      </c>
      <c r="Z14" s="60">
        <v>50</v>
      </c>
      <c r="AA14" s="60">
        <v>50</v>
      </c>
      <c r="AB14" s="50">
        <v>49.6</v>
      </c>
      <c r="AC14" s="50">
        <v>49.5</v>
      </c>
      <c r="AD14" s="50">
        <v>49.6</v>
      </c>
      <c r="AE14" s="50">
        <v>49.6</v>
      </c>
      <c r="AF14" s="50">
        <v>49.6</v>
      </c>
      <c r="AG14" s="59">
        <v>50</v>
      </c>
      <c r="AH14" s="54">
        <f t="shared" si="2"/>
        <v>50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23.5</v>
      </c>
      <c r="C15" s="60">
        <v>23.5</v>
      </c>
      <c r="D15" s="60">
        <v>23.5</v>
      </c>
      <c r="E15" s="60">
        <v>23.5</v>
      </c>
      <c r="F15" s="60">
        <v>23.5</v>
      </c>
      <c r="G15" s="60">
        <v>23.5</v>
      </c>
      <c r="H15" s="60">
        <v>23.5</v>
      </c>
      <c r="I15" s="60">
        <v>23.5</v>
      </c>
      <c r="J15" s="60">
        <v>23.5</v>
      </c>
      <c r="K15" s="60">
        <v>23.5</v>
      </c>
      <c r="L15" s="60">
        <v>23.5</v>
      </c>
      <c r="M15" s="60">
        <v>23.5</v>
      </c>
      <c r="N15" s="60">
        <v>23.5</v>
      </c>
      <c r="O15" s="60">
        <v>23.5</v>
      </c>
      <c r="P15" s="60">
        <v>23.5</v>
      </c>
      <c r="Q15" s="60">
        <v>23.5</v>
      </c>
      <c r="R15" s="60">
        <v>23.5</v>
      </c>
      <c r="S15" s="60">
        <v>23.5</v>
      </c>
      <c r="T15" s="60">
        <v>23.5</v>
      </c>
      <c r="U15" s="60">
        <v>23.5</v>
      </c>
      <c r="V15" s="60">
        <v>23.5</v>
      </c>
      <c r="W15" s="60">
        <v>23.5</v>
      </c>
      <c r="X15" s="60">
        <v>23.5</v>
      </c>
      <c r="Y15" s="60">
        <v>23.5</v>
      </c>
      <c r="Z15" s="60">
        <v>23.5</v>
      </c>
      <c r="AA15" s="60">
        <v>23.5</v>
      </c>
      <c r="AB15" s="50">
        <v>24.4</v>
      </c>
      <c r="AC15" s="50">
        <v>23.8</v>
      </c>
      <c r="AD15" s="50">
        <v>23.5</v>
      </c>
      <c r="AE15" s="50">
        <v>23.5</v>
      </c>
      <c r="AF15" s="50">
        <v>23.5</v>
      </c>
      <c r="AG15" s="62">
        <v>45</v>
      </c>
      <c r="AH15" s="54">
        <f t="shared" si="2"/>
        <v>24.4</v>
      </c>
      <c r="AI15" s="55">
        <f t="shared" si="3"/>
        <v>23.5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>
        <v>12</v>
      </c>
      <c r="M16" s="63">
        <v>12</v>
      </c>
      <c r="N16" s="63">
        <v>12</v>
      </c>
      <c r="O16" s="63">
        <v>12</v>
      </c>
      <c r="P16" s="63">
        <v>12</v>
      </c>
      <c r="Q16" s="63">
        <v>12</v>
      </c>
      <c r="R16" s="63">
        <v>12</v>
      </c>
      <c r="S16" s="63">
        <v>12</v>
      </c>
      <c r="T16" s="63">
        <v>12</v>
      </c>
      <c r="U16" s="63">
        <v>12</v>
      </c>
      <c r="V16" s="63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50">
        <v>12</v>
      </c>
      <c r="AC16" s="50">
        <v>12</v>
      </c>
      <c r="AD16" s="50">
        <v>12</v>
      </c>
      <c r="AE16" s="50">
        <v>12</v>
      </c>
      <c r="AF16" s="50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11</v>
      </c>
      <c r="C17" s="60">
        <v>11</v>
      </c>
      <c r="D17" s="60">
        <v>11</v>
      </c>
      <c r="E17" s="60">
        <v>11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60">
        <v>11</v>
      </c>
      <c r="N17" s="60">
        <v>11</v>
      </c>
      <c r="O17" s="60">
        <v>11</v>
      </c>
      <c r="P17" s="60">
        <v>11</v>
      </c>
      <c r="Q17" s="60">
        <v>11</v>
      </c>
      <c r="R17" s="60">
        <v>11</v>
      </c>
      <c r="S17" s="60">
        <v>11</v>
      </c>
      <c r="T17" s="60">
        <v>11</v>
      </c>
      <c r="U17" s="60">
        <v>11</v>
      </c>
      <c r="V17" s="60">
        <v>11</v>
      </c>
      <c r="W17" s="60">
        <v>11</v>
      </c>
      <c r="X17" s="60">
        <v>11</v>
      </c>
      <c r="Y17" s="60">
        <v>11</v>
      </c>
      <c r="Z17" s="60">
        <v>11</v>
      </c>
      <c r="AA17" s="60">
        <v>11</v>
      </c>
      <c r="AB17" s="50">
        <v>11</v>
      </c>
      <c r="AC17" s="50">
        <v>11</v>
      </c>
      <c r="AD17" s="50">
        <v>11</v>
      </c>
      <c r="AE17" s="50">
        <v>11</v>
      </c>
      <c r="AF17" s="5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11.5</v>
      </c>
      <c r="C19" s="50">
        <v>11.5</v>
      </c>
      <c r="D19" s="50">
        <v>11.5</v>
      </c>
      <c r="E19" s="50">
        <v>11.5</v>
      </c>
      <c r="F19" s="50">
        <v>11.5</v>
      </c>
      <c r="G19" s="50">
        <v>11.5</v>
      </c>
      <c r="H19" s="50">
        <v>11.5</v>
      </c>
      <c r="I19" s="50">
        <v>11.5</v>
      </c>
      <c r="J19" s="50">
        <v>11.2</v>
      </c>
      <c r="K19" s="50">
        <v>11.2</v>
      </c>
      <c r="L19" s="50">
        <v>11.2</v>
      </c>
      <c r="M19" s="50">
        <v>11.2</v>
      </c>
      <c r="N19" s="50">
        <v>11.2</v>
      </c>
      <c r="O19" s="50">
        <v>10.8</v>
      </c>
      <c r="P19" s="50">
        <v>10.8</v>
      </c>
      <c r="Q19" s="50">
        <v>10.8</v>
      </c>
      <c r="R19" s="50">
        <v>10.8</v>
      </c>
      <c r="S19" s="50">
        <v>10.8</v>
      </c>
      <c r="T19" s="50">
        <v>10.8</v>
      </c>
      <c r="U19" s="50">
        <v>10.8</v>
      </c>
      <c r="V19" s="50">
        <v>10.8</v>
      </c>
      <c r="W19" s="50">
        <v>10.8</v>
      </c>
      <c r="X19" s="50">
        <v>10.8</v>
      </c>
      <c r="Y19" s="50">
        <v>10.8</v>
      </c>
      <c r="Z19" s="50">
        <v>10.8</v>
      </c>
      <c r="AA19" s="50">
        <v>10.8</v>
      </c>
      <c r="AB19" s="50">
        <v>11.5</v>
      </c>
      <c r="AC19" s="50">
        <v>11.5</v>
      </c>
      <c r="AD19" s="50">
        <v>11.7</v>
      </c>
      <c r="AE19" s="50">
        <v>11.7</v>
      </c>
      <c r="AF19" s="50">
        <v>11.7</v>
      </c>
      <c r="AG19" s="59">
        <v>30</v>
      </c>
      <c r="AH19" s="54">
        <f t="shared" si="2"/>
        <v>11.7</v>
      </c>
      <c r="AI19" s="55">
        <f t="shared" si="3"/>
        <v>10.8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20.399999999999999</v>
      </c>
      <c r="C22" s="50">
        <v>20.399999999999999</v>
      </c>
      <c r="D22" s="50">
        <v>20.399999999999999</v>
      </c>
      <c r="E22" s="50">
        <v>20.399999999999999</v>
      </c>
      <c r="F22" s="50">
        <v>20.399999999999999</v>
      </c>
      <c r="G22" s="50">
        <v>20.399999999999999</v>
      </c>
      <c r="H22" s="50">
        <v>20.399999999999999</v>
      </c>
      <c r="I22" s="50">
        <v>20.399999999999999</v>
      </c>
      <c r="J22" s="50">
        <v>20.399999999999999</v>
      </c>
      <c r="K22" s="50">
        <v>20.399999999999999</v>
      </c>
      <c r="L22" s="50">
        <v>20.399999999999999</v>
      </c>
      <c r="M22" s="50">
        <v>20.399999999999999</v>
      </c>
      <c r="N22" s="50">
        <v>20.399999999999999</v>
      </c>
      <c r="O22" s="50">
        <v>13.4</v>
      </c>
      <c r="P22" s="50">
        <v>13.4</v>
      </c>
      <c r="Q22" s="50">
        <v>13.4</v>
      </c>
      <c r="R22" s="50">
        <v>13.4</v>
      </c>
      <c r="S22" s="50">
        <v>13.4</v>
      </c>
      <c r="T22" s="50">
        <v>13.4</v>
      </c>
      <c r="U22" s="50">
        <v>13.4</v>
      </c>
      <c r="V22" s="50">
        <v>13.4</v>
      </c>
      <c r="W22" s="50">
        <v>13.4</v>
      </c>
      <c r="X22" s="50">
        <v>13.4</v>
      </c>
      <c r="Y22" s="50">
        <v>19</v>
      </c>
      <c r="Z22" s="50">
        <v>19</v>
      </c>
      <c r="AA22" s="50">
        <v>19</v>
      </c>
      <c r="AB22" s="50">
        <v>14.9</v>
      </c>
      <c r="AC22" s="50">
        <v>14.9</v>
      </c>
      <c r="AD22" s="50">
        <v>14.2</v>
      </c>
      <c r="AE22" s="50">
        <v>14.2</v>
      </c>
      <c r="AF22" s="50">
        <v>14.2</v>
      </c>
      <c r="AG22" s="59">
        <v>25</v>
      </c>
      <c r="AH22" s="54">
        <f t="shared" si="2"/>
        <v>20.399999999999999</v>
      </c>
      <c r="AI22" s="55">
        <f t="shared" si="3"/>
        <v>13.4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11</v>
      </c>
      <c r="K24" s="50">
        <v>11</v>
      </c>
      <c r="L24" s="50">
        <v>11</v>
      </c>
      <c r="M24" s="50">
        <v>11</v>
      </c>
      <c r="N24" s="50">
        <v>11</v>
      </c>
      <c r="O24" s="50">
        <v>10.3</v>
      </c>
      <c r="P24" s="50">
        <v>10.3</v>
      </c>
      <c r="Q24" s="50">
        <v>10.3</v>
      </c>
      <c r="R24" s="50">
        <v>10.3</v>
      </c>
      <c r="S24" s="50">
        <v>10.3</v>
      </c>
      <c r="T24" s="50">
        <v>10.3</v>
      </c>
      <c r="U24" s="50">
        <v>10.3</v>
      </c>
      <c r="V24" s="50">
        <v>10.3</v>
      </c>
      <c r="W24" s="50">
        <v>10.3</v>
      </c>
      <c r="X24" s="50">
        <v>10.3</v>
      </c>
      <c r="Y24" s="50">
        <v>10.3</v>
      </c>
      <c r="Z24" s="50">
        <v>10.3</v>
      </c>
      <c r="AA24" s="50">
        <v>10.3</v>
      </c>
      <c r="AB24" s="50">
        <v>15.4</v>
      </c>
      <c r="AC24" s="50">
        <v>15.2</v>
      </c>
      <c r="AD24" s="50">
        <v>15.3</v>
      </c>
      <c r="AE24" s="50">
        <v>15.3</v>
      </c>
      <c r="AF24" s="50">
        <v>15.3</v>
      </c>
      <c r="AG24" s="59">
        <v>25</v>
      </c>
      <c r="AH24" s="54">
        <f t="shared" si="2"/>
        <v>15.4</v>
      </c>
      <c r="AI24" s="55">
        <f t="shared" si="3"/>
        <v>10.3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11</v>
      </c>
      <c r="C25" s="50">
        <v>11</v>
      </c>
      <c r="D25" s="50">
        <v>11</v>
      </c>
      <c r="E25" s="50">
        <v>11</v>
      </c>
      <c r="F25" s="50">
        <v>11</v>
      </c>
      <c r="G25" s="50">
        <v>11</v>
      </c>
      <c r="H25" s="50">
        <v>11</v>
      </c>
      <c r="I25" s="50">
        <v>11</v>
      </c>
      <c r="J25" s="50">
        <v>11</v>
      </c>
      <c r="K25" s="50">
        <v>11</v>
      </c>
      <c r="L25" s="50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9.5</v>
      </c>
      <c r="C26" s="50">
        <v>9.5</v>
      </c>
      <c r="D26" s="50">
        <v>9.5</v>
      </c>
      <c r="E26" s="50">
        <v>9.5</v>
      </c>
      <c r="F26" s="50">
        <v>9.5</v>
      </c>
      <c r="G26" s="50">
        <v>9.5</v>
      </c>
      <c r="H26" s="50">
        <v>9.5</v>
      </c>
      <c r="I26" s="50">
        <v>9.5</v>
      </c>
      <c r="J26" s="50">
        <v>9.5</v>
      </c>
      <c r="K26" s="50">
        <v>9.5</v>
      </c>
      <c r="L26" s="50">
        <v>9.5</v>
      </c>
      <c r="M26" s="50">
        <v>9.5</v>
      </c>
      <c r="N26" s="50">
        <v>9.5</v>
      </c>
      <c r="O26" s="50">
        <v>9.5</v>
      </c>
      <c r="P26" s="50">
        <v>9.5</v>
      </c>
      <c r="Q26" s="50">
        <v>9.5</v>
      </c>
      <c r="R26" s="50">
        <v>9.5</v>
      </c>
      <c r="S26" s="50">
        <v>9.5</v>
      </c>
      <c r="T26" s="50">
        <v>9.5</v>
      </c>
      <c r="U26" s="50">
        <v>9.5</v>
      </c>
      <c r="V26" s="50">
        <v>9.5</v>
      </c>
      <c r="W26" s="50">
        <v>9.5</v>
      </c>
      <c r="X26" s="50">
        <v>9.5</v>
      </c>
      <c r="Y26" s="50">
        <v>9.5</v>
      </c>
      <c r="Z26" s="50">
        <v>9.5</v>
      </c>
      <c r="AA26" s="50">
        <v>9.5</v>
      </c>
      <c r="AB26" s="50">
        <v>9.5</v>
      </c>
      <c r="AC26" s="50">
        <v>9.5</v>
      </c>
      <c r="AD26" s="50">
        <v>9.5</v>
      </c>
      <c r="AE26" s="50">
        <v>9.5</v>
      </c>
      <c r="AF26" s="50">
        <v>9.5</v>
      </c>
      <c r="AG26" s="59">
        <v>20</v>
      </c>
      <c r="AH26" s="54">
        <f t="shared" si="2"/>
        <v>9.5</v>
      </c>
      <c r="AI26" s="55">
        <f t="shared" si="3"/>
        <v>9.5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21.8+39.5</f>
        <v>61.3</v>
      </c>
      <c r="C37" s="70">
        <f t="shared" ref="C37:D37" si="4">21.8+39.5</f>
        <v>61.3</v>
      </c>
      <c r="D37" s="70">
        <f t="shared" si="4"/>
        <v>61.3</v>
      </c>
      <c r="E37" s="70">
        <v>58.2</v>
      </c>
      <c r="F37" s="70">
        <v>58.2</v>
      </c>
      <c r="G37" s="61">
        <v>56.9</v>
      </c>
      <c r="H37" s="61">
        <v>57</v>
      </c>
      <c r="I37" s="61">
        <v>57</v>
      </c>
      <c r="J37" s="61">
        <v>57.6</v>
      </c>
      <c r="K37" s="61">
        <v>58</v>
      </c>
      <c r="L37" s="61">
        <v>58</v>
      </c>
      <c r="M37" s="70">
        <v>53.2</v>
      </c>
      <c r="N37" s="70">
        <v>53.2</v>
      </c>
      <c r="O37" s="70">
        <v>57</v>
      </c>
      <c r="P37" s="70">
        <f>20.3+38.2</f>
        <v>58.5</v>
      </c>
      <c r="Q37" s="70">
        <f>20.3+38.2</f>
        <v>58.5</v>
      </c>
      <c r="R37" s="70">
        <f t="shared" ref="R37:W37" si="5">36+19.2</f>
        <v>55.2</v>
      </c>
      <c r="S37" s="70">
        <f t="shared" si="5"/>
        <v>55.2</v>
      </c>
      <c r="T37" s="70">
        <f t="shared" si="5"/>
        <v>55.2</v>
      </c>
      <c r="U37" s="70">
        <f t="shared" si="5"/>
        <v>55.2</v>
      </c>
      <c r="V37" s="70">
        <f t="shared" si="5"/>
        <v>55.2</v>
      </c>
      <c r="W37" s="70">
        <f t="shared" si="5"/>
        <v>55.2</v>
      </c>
      <c r="X37" s="70">
        <f>35.8+18.3</f>
        <v>54.099999999999994</v>
      </c>
      <c r="Y37" s="70">
        <v>54.099999999999994</v>
      </c>
      <c r="Z37" s="70">
        <v>54.099999999999994</v>
      </c>
      <c r="AA37" s="70">
        <v>54.099999999999994</v>
      </c>
      <c r="AB37" s="70">
        <f>17.7+32.8</f>
        <v>50.5</v>
      </c>
      <c r="AC37" s="70">
        <f>17.2+31</f>
        <v>48.2</v>
      </c>
      <c r="AD37" s="70">
        <f>17.8+32.8</f>
        <v>50.599999999999994</v>
      </c>
      <c r="AE37" s="70">
        <f>18.4+34.4</f>
        <v>52.8</v>
      </c>
      <c r="AF37" s="61">
        <f>19+35.8</f>
        <v>54.8</v>
      </c>
      <c r="AG37" s="67">
        <v>240</v>
      </c>
      <c r="AH37" s="54">
        <f t="shared" si="2"/>
        <v>61.3</v>
      </c>
      <c r="AI37" s="55">
        <f t="shared" si="3"/>
        <v>48.2</v>
      </c>
      <c r="AK37" s="56"/>
    </row>
    <row r="38" spans="1:88" ht="15.75" thickBot="1" x14ac:dyDescent="0.3">
      <c r="A38" s="71" t="s">
        <v>46</v>
      </c>
      <c r="B38" s="72">
        <f>SUM(B11:B36)</f>
        <v>473.1</v>
      </c>
      <c r="C38" s="72">
        <f t="shared" ref="C38:AF38" si="6">SUM(C11:C36)</f>
        <v>488.1</v>
      </c>
      <c r="D38" s="72">
        <f t="shared" si="6"/>
        <v>488.1</v>
      </c>
      <c r="E38" s="72">
        <f t="shared" si="6"/>
        <v>518.09999999999991</v>
      </c>
      <c r="F38" s="72">
        <f t="shared" si="6"/>
        <v>488.1</v>
      </c>
      <c r="G38" s="72">
        <f t="shared" si="6"/>
        <v>468.1</v>
      </c>
      <c r="H38" s="72">
        <f t="shared" si="6"/>
        <v>498.09999999999997</v>
      </c>
      <c r="I38" s="72">
        <f t="shared" si="6"/>
        <v>548.09999999999991</v>
      </c>
      <c r="J38" s="72">
        <f t="shared" si="6"/>
        <v>585.79999999999995</v>
      </c>
      <c r="K38" s="72">
        <f t="shared" si="6"/>
        <v>745.8</v>
      </c>
      <c r="L38" s="72">
        <f t="shared" si="6"/>
        <v>755.8</v>
      </c>
      <c r="M38" s="72">
        <f t="shared" si="6"/>
        <v>895.80000000000007</v>
      </c>
      <c r="N38" s="72">
        <f t="shared" si="6"/>
        <v>841.80000000000007</v>
      </c>
      <c r="O38" s="72">
        <f t="shared" si="6"/>
        <v>529.9</v>
      </c>
      <c r="P38" s="72">
        <f t="shared" si="6"/>
        <v>527.5</v>
      </c>
      <c r="Q38" s="72">
        <f t="shared" si="6"/>
        <v>530.5</v>
      </c>
      <c r="R38" s="72">
        <f t="shared" si="6"/>
        <v>515.5</v>
      </c>
      <c r="S38" s="72">
        <f t="shared" si="6"/>
        <v>465.5</v>
      </c>
      <c r="T38" s="72">
        <f t="shared" si="6"/>
        <v>460.5</v>
      </c>
      <c r="U38" s="72">
        <f t="shared" si="6"/>
        <v>460.5</v>
      </c>
      <c r="V38" s="72">
        <f t="shared" si="6"/>
        <v>570.5</v>
      </c>
      <c r="W38" s="72">
        <f t="shared" si="6"/>
        <v>640.5</v>
      </c>
      <c r="X38" s="72">
        <f t="shared" si="6"/>
        <v>730.5</v>
      </c>
      <c r="Y38" s="72">
        <v>726.1</v>
      </c>
      <c r="Z38" s="72">
        <f t="shared" si="6"/>
        <v>806.09999999999991</v>
      </c>
      <c r="AA38" s="72">
        <f t="shared" si="6"/>
        <v>726.1</v>
      </c>
      <c r="AB38" s="72">
        <f t="shared" si="6"/>
        <v>578.09999999999991</v>
      </c>
      <c r="AC38" s="72">
        <f t="shared" si="6"/>
        <v>557.09999999999991</v>
      </c>
      <c r="AD38" s="72">
        <f t="shared" si="6"/>
        <v>556.59999999999991</v>
      </c>
      <c r="AE38" s="72">
        <f t="shared" si="6"/>
        <v>516.59999999999991</v>
      </c>
      <c r="AF38" s="72">
        <f t="shared" si="6"/>
        <v>496.59999999999997</v>
      </c>
      <c r="AG38" s="67">
        <f>SUM(AG11:AG37)</f>
        <v>1492.8299999999997</v>
      </c>
      <c r="AH38" s="54">
        <f t="shared" si="2"/>
        <v>895.80000000000007</v>
      </c>
      <c r="AI38" s="55">
        <f t="shared" si="3"/>
        <v>460.5</v>
      </c>
      <c r="AK38" s="56"/>
    </row>
    <row r="39" spans="1:88" x14ac:dyDescent="0.25">
      <c r="A39" s="57" t="s">
        <v>47</v>
      </c>
      <c r="B39" s="50">
        <v>30.2</v>
      </c>
      <c r="C39" s="61">
        <v>40</v>
      </c>
      <c r="D39" s="61">
        <v>40</v>
      </c>
      <c r="E39" s="61">
        <v>0</v>
      </c>
      <c r="F39" s="61">
        <v>0</v>
      </c>
      <c r="G39" s="61">
        <v>30</v>
      </c>
      <c r="H39" s="61">
        <v>30</v>
      </c>
      <c r="I39" s="61">
        <v>65.5</v>
      </c>
      <c r="J39" s="61">
        <v>86.7</v>
      </c>
      <c r="K39" s="61">
        <v>97.6</v>
      </c>
      <c r="L39" s="61">
        <v>145.69999999999999</v>
      </c>
      <c r="M39" s="61">
        <v>145.69999999999999</v>
      </c>
      <c r="N39" s="50">
        <v>145.69999999999999</v>
      </c>
      <c r="O39" s="50">
        <v>145.80000000000001</v>
      </c>
      <c r="P39" s="50">
        <v>145.69999999999999</v>
      </c>
      <c r="Q39" s="50">
        <v>100</v>
      </c>
      <c r="R39" s="50">
        <v>102</v>
      </c>
      <c r="S39" s="50">
        <v>91.6</v>
      </c>
      <c r="T39" s="50">
        <v>90</v>
      </c>
      <c r="U39" s="50">
        <v>71</v>
      </c>
      <c r="V39" s="50">
        <v>136</v>
      </c>
      <c r="W39" s="50">
        <v>136.4</v>
      </c>
      <c r="X39" s="50">
        <v>144.9</v>
      </c>
      <c r="Y39" s="50">
        <v>145.19999999999999</v>
      </c>
      <c r="Z39" s="50">
        <v>145.19999999999999</v>
      </c>
      <c r="AA39" s="50">
        <v>145.19999999999999</v>
      </c>
      <c r="AB39" s="50">
        <v>143.9</v>
      </c>
      <c r="AC39" s="50">
        <v>144.30000000000001</v>
      </c>
      <c r="AD39" s="50">
        <v>80.8</v>
      </c>
      <c r="AE39" s="50">
        <v>40</v>
      </c>
      <c r="AF39" s="49">
        <v>43.1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73">
        <v>35</v>
      </c>
      <c r="C40" s="61">
        <v>25</v>
      </c>
      <c r="D40" s="61">
        <v>25</v>
      </c>
      <c r="E40" s="61">
        <v>0</v>
      </c>
      <c r="F40" s="61">
        <v>0</v>
      </c>
      <c r="G40" s="61">
        <v>0</v>
      </c>
      <c r="H40" s="61">
        <v>25.4</v>
      </c>
      <c r="I40" s="61">
        <v>24.9</v>
      </c>
      <c r="J40" s="61">
        <v>47</v>
      </c>
      <c r="K40" s="61">
        <v>69</v>
      </c>
      <c r="L40" s="61">
        <v>71.099999999999994</v>
      </c>
      <c r="M40" s="61">
        <v>71.099999999999994</v>
      </c>
      <c r="N40" s="73">
        <v>71.099999999999994</v>
      </c>
      <c r="O40" s="73">
        <v>68.900000000000006</v>
      </c>
      <c r="P40" s="73">
        <v>54.7</v>
      </c>
      <c r="Q40" s="73">
        <v>45.6</v>
      </c>
      <c r="R40" s="73">
        <v>47</v>
      </c>
      <c r="S40" s="73">
        <v>24.7</v>
      </c>
      <c r="T40" s="73">
        <v>0</v>
      </c>
      <c r="U40" s="73">
        <v>0</v>
      </c>
      <c r="V40" s="73">
        <v>64.2</v>
      </c>
      <c r="W40" s="73">
        <v>69.8</v>
      </c>
      <c r="X40" s="73">
        <v>70.7</v>
      </c>
      <c r="Y40" s="73">
        <v>68.7</v>
      </c>
      <c r="Z40" s="73">
        <v>68.7</v>
      </c>
      <c r="AA40" s="73">
        <v>68.7</v>
      </c>
      <c r="AB40" s="73">
        <v>70.400000000000006</v>
      </c>
      <c r="AC40" s="73">
        <v>68.8</v>
      </c>
      <c r="AD40" s="73">
        <v>54.5</v>
      </c>
      <c r="AE40" s="73">
        <v>25.3</v>
      </c>
      <c r="AF40" s="61">
        <v>24.8</v>
      </c>
      <c r="AG40" s="67">
        <v>70</v>
      </c>
      <c r="AH40" s="54">
        <f t="shared" si="2"/>
        <v>71.099999999999994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73">
        <v>46</v>
      </c>
      <c r="C41" s="61">
        <v>46</v>
      </c>
      <c r="D41" s="61">
        <v>46</v>
      </c>
      <c r="E41" s="61">
        <v>69</v>
      </c>
      <c r="F41" s="61">
        <v>68.400000000000006</v>
      </c>
      <c r="G41" s="61">
        <v>38.799999999999997</v>
      </c>
      <c r="H41" s="61">
        <v>33.5</v>
      </c>
      <c r="I41" s="61">
        <v>32.9</v>
      </c>
      <c r="J41" s="61">
        <v>32.9</v>
      </c>
      <c r="K41" s="61">
        <v>68</v>
      </c>
      <c r="L41" s="61">
        <v>67.5</v>
      </c>
      <c r="M41" s="61">
        <v>67.5</v>
      </c>
      <c r="N41" s="73">
        <v>67.5</v>
      </c>
      <c r="O41" s="73">
        <v>66.2</v>
      </c>
      <c r="P41" s="73">
        <v>54.2</v>
      </c>
      <c r="Q41" s="73">
        <v>33</v>
      </c>
      <c r="R41" s="73">
        <v>18</v>
      </c>
      <c r="S41" s="73">
        <v>18</v>
      </c>
      <c r="T41" s="73">
        <v>22.8</v>
      </c>
      <c r="U41" s="73">
        <v>22.6</v>
      </c>
      <c r="V41" s="73">
        <v>46.6</v>
      </c>
      <c r="W41" s="73">
        <v>67.3</v>
      </c>
      <c r="X41" s="73">
        <v>67.3</v>
      </c>
      <c r="Y41" s="73">
        <v>62.6</v>
      </c>
      <c r="Z41" s="73">
        <v>62.6</v>
      </c>
      <c r="AA41" s="73">
        <v>67</v>
      </c>
      <c r="AB41" s="73">
        <v>66.8</v>
      </c>
      <c r="AC41" s="73">
        <v>65.2</v>
      </c>
      <c r="AD41" s="73">
        <v>65.2</v>
      </c>
      <c r="AE41" s="73">
        <v>56.6</v>
      </c>
      <c r="AF41" s="61">
        <v>45.6</v>
      </c>
      <c r="AG41" s="67">
        <v>69</v>
      </c>
      <c r="AH41" s="54">
        <f t="shared" si="2"/>
        <v>69</v>
      </c>
      <c r="AI41" s="55">
        <f t="shared" si="3"/>
        <v>18</v>
      </c>
      <c r="AK41" s="56"/>
    </row>
    <row r="42" spans="1:88" x14ac:dyDescent="0.25">
      <c r="A42" s="66" t="s">
        <v>50</v>
      </c>
      <c r="B42" s="73">
        <v>61.2</v>
      </c>
      <c r="C42" s="61">
        <v>60.9</v>
      </c>
      <c r="D42" s="61">
        <v>60.9</v>
      </c>
      <c r="E42" s="61">
        <v>60.9</v>
      </c>
      <c r="F42" s="61">
        <v>60.7</v>
      </c>
      <c r="G42" s="61">
        <v>60.9</v>
      </c>
      <c r="H42" s="61">
        <v>60.9</v>
      </c>
      <c r="I42" s="61">
        <v>60.7</v>
      </c>
      <c r="J42" s="61">
        <v>60.7</v>
      </c>
      <c r="K42" s="61">
        <v>60.7</v>
      </c>
      <c r="L42" s="61">
        <v>60.7</v>
      </c>
      <c r="M42" s="61">
        <v>60.7</v>
      </c>
      <c r="N42" s="73">
        <v>60.7</v>
      </c>
      <c r="O42" s="73">
        <v>60.7</v>
      </c>
      <c r="P42" s="73">
        <v>60.7</v>
      </c>
      <c r="Q42" s="73">
        <v>60.7</v>
      </c>
      <c r="R42" s="73">
        <v>60.7</v>
      </c>
      <c r="S42" s="73">
        <v>25.3</v>
      </c>
      <c r="T42" s="73">
        <v>60</v>
      </c>
      <c r="U42" s="73">
        <v>60</v>
      </c>
      <c r="V42" s="73">
        <v>60.7</v>
      </c>
      <c r="W42" s="73">
        <v>60</v>
      </c>
      <c r="X42" s="73">
        <v>60</v>
      </c>
      <c r="Y42" s="73">
        <v>60.4</v>
      </c>
      <c r="Z42" s="73">
        <v>60.4</v>
      </c>
      <c r="AA42" s="73">
        <v>60.4</v>
      </c>
      <c r="AB42" s="73">
        <v>60.7</v>
      </c>
      <c r="AC42" s="73">
        <v>60.7</v>
      </c>
      <c r="AD42" s="73">
        <v>60.9</v>
      </c>
      <c r="AE42" s="73">
        <v>60.9</v>
      </c>
      <c r="AF42" s="61">
        <v>61.2</v>
      </c>
      <c r="AG42" s="67">
        <v>60</v>
      </c>
      <c r="AH42" s="54">
        <f t="shared" si="2"/>
        <v>61.2</v>
      </c>
      <c r="AI42" s="55">
        <f t="shared" si="3"/>
        <v>25.3</v>
      </c>
      <c r="AK42" s="56"/>
    </row>
    <row r="43" spans="1:88" x14ac:dyDescent="0.25">
      <c r="A43" s="66" t="s">
        <v>51</v>
      </c>
      <c r="B43" s="50">
        <v>0</v>
      </c>
      <c r="C43" s="61">
        <v>0</v>
      </c>
      <c r="D43" s="61">
        <v>10</v>
      </c>
      <c r="E43" s="61">
        <v>0</v>
      </c>
      <c r="F43" s="61">
        <v>10</v>
      </c>
      <c r="G43" s="61">
        <v>10</v>
      </c>
      <c r="H43" s="61">
        <v>15</v>
      </c>
      <c r="I43" s="61">
        <v>25</v>
      </c>
      <c r="J43" s="61">
        <v>30</v>
      </c>
      <c r="K43" s="61">
        <v>30</v>
      </c>
      <c r="L43" s="61">
        <v>30</v>
      </c>
      <c r="M43" s="61">
        <v>28</v>
      </c>
      <c r="N43" s="50">
        <v>27.5</v>
      </c>
      <c r="O43" s="50">
        <v>30</v>
      </c>
      <c r="P43" s="50">
        <v>30</v>
      </c>
      <c r="Q43" s="50">
        <v>0</v>
      </c>
      <c r="R43" s="50">
        <v>0</v>
      </c>
      <c r="S43" s="50">
        <v>0</v>
      </c>
      <c r="T43" s="50">
        <v>10</v>
      </c>
      <c r="U43" s="50">
        <v>15</v>
      </c>
      <c r="V43" s="50">
        <v>15</v>
      </c>
      <c r="W43" s="50">
        <v>10</v>
      </c>
      <c r="X43" s="50">
        <v>24</v>
      </c>
      <c r="Y43" s="50">
        <v>24</v>
      </c>
      <c r="Z43" s="50">
        <v>24</v>
      </c>
      <c r="AA43" s="50">
        <v>24</v>
      </c>
      <c r="AB43" s="73">
        <v>24</v>
      </c>
      <c r="AC43" s="73">
        <v>24</v>
      </c>
      <c r="AD43" s="73">
        <v>14.8</v>
      </c>
      <c r="AE43" s="73">
        <v>14.5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50">
        <v>3.2</v>
      </c>
      <c r="C46" s="50">
        <v>3.2</v>
      </c>
      <c r="D46" s="50">
        <v>3.2</v>
      </c>
      <c r="E46" s="50">
        <v>3.2</v>
      </c>
      <c r="F46" s="50">
        <v>3.2</v>
      </c>
      <c r="G46" s="50">
        <v>3.2</v>
      </c>
      <c r="H46" s="50">
        <v>3.2</v>
      </c>
      <c r="I46" s="50">
        <v>3.2</v>
      </c>
      <c r="J46" s="50">
        <v>3.2</v>
      </c>
      <c r="K46" s="50">
        <v>3.2</v>
      </c>
      <c r="L46" s="50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6.4</v>
      </c>
      <c r="C48" s="50">
        <v>6.4</v>
      </c>
      <c r="D48" s="50">
        <v>6.4</v>
      </c>
      <c r="E48" s="50">
        <v>6.4</v>
      </c>
      <c r="F48" s="50">
        <v>6.4</v>
      </c>
      <c r="G48" s="50">
        <v>6.4</v>
      </c>
      <c r="H48" s="50">
        <v>6.4</v>
      </c>
      <c r="I48" s="50">
        <v>6.4</v>
      </c>
      <c r="J48" s="50">
        <v>6.4</v>
      </c>
      <c r="K48" s="50">
        <v>6.4</v>
      </c>
      <c r="L48" s="50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50">
        <v>6.6</v>
      </c>
      <c r="C49" s="50">
        <v>6.6</v>
      </c>
      <c r="D49" s="50">
        <v>6.6</v>
      </c>
      <c r="E49" s="50">
        <v>6.6</v>
      </c>
      <c r="F49" s="50">
        <v>6.6</v>
      </c>
      <c r="G49" s="50">
        <v>6.6</v>
      </c>
      <c r="H49" s="50">
        <v>6.6</v>
      </c>
      <c r="I49" s="50">
        <v>6.6</v>
      </c>
      <c r="J49" s="50">
        <v>6.6</v>
      </c>
      <c r="K49" s="50">
        <v>6.6</v>
      </c>
      <c r="L49" s="50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50">
        <v>4.4000000000000004</v>
      </c>
      <c r="C50" s="50">
        <v>4.4000000000000004</v>
      </c>
      <c r="D50" s="50">
        <v>4.4000000000000004</v>
      </c>
      <c r="E50" s="50">
        <v>4.4000000000000004</v>
      </c>
      <c r="F50" s="50">
        <v>4.4000000000000004</v>
      </c>
      <c r="G50" s="50">
        <v>4.4000000000000004</v>
      </c>
      <c r="H50" s="50">
        <v>4.4000000000000004</v>
      </c>
      <c r="I50" s="50">
        <v>4.4000000000000004</v>
      </c>
      <c r="J50" s="50">
        <v>4.4000000000000004</v>
      </c>
      <c r="K50" s="50">
        <v>4.4000000000000004</v>
      </c>
      <c r="L50" s="50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 t="shared" ref="B51" si="7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8">U199</f>
        <v>3.54</v>
      </c>
      <c r="V51" s="77">
        <f t="shared" si="8"/>
        <v>3.54</v>
      </c>
      <c r="W51" s="77">
        <f t="shared" si="8"/>
        <v>3.54</v>
      </c>
      <c r="X51" s="77">
        <f t="shared" si="8"/>
        <v>3.54</v>
      </c>
      <c r="Y51" s="77">
        <v>3.54</v>
      </c>
      <c r="Z51" s="77">
        <v>3.54</v>
      </c>
      <c r="AA51" s="77">
        <f t="shared" si="8"/>
        <v>3.54</v>
      </c>
      <c r="AB51" s="77">
        <f t="shared" si="8"/>
        <v>3.54</v>
      </c>
      <c r="AC51" s="77">
        <f t="shared" si="8"/>
        <v>3.54</v>
      </c>
      <c r="AD51" s="77">
        <f t="shared" si="8"/>
        <v>3.54</v>
      </c>
      <c r="AE51" s="77">
        <f t="shared" si="8"/>
        <v>3.54</v>
      </c>
      <c r="AF51" s="77">
        <f t="shared" si="8"/>
        <v>3.54</v>
      </c>
      <c r="AG51" s="77">
        <f t="shared" si="8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227.54</v>
      </c>
      <c r="C52" s="72">
        <f t="shared" ref="C52:AF52" si="9">SUM(C39:C51)</f>
        <v>227.04</v>
      </c>
      <c r="D52" s="72">
        <f t="shared" si="9"/>
        <v>237.04</v>
      </c>
      <c r="E52" s="72">
        <f t="shared" si="9"/>
        <v>185.04</v>
      </c>
      <c r="F52" s="72">
        <f t="shared" si="9"/>
        <v>194.24</v>
      </c>
      <c r="G52" s="72">
        <f t="shared" si="9"/>
        <v>194.83999999999997</v>
      </c>
      <c r="H52" s="72">
        <f t="shared" si="9"/>
        <v>219.94</v>
      </c>
      <c r="I52" s="72">
        <f t="shared" si="9"/>
        <v>264.14</v>
      </c>
      <c r="J52" s="72">
        <f t="shared" si="9"/>
        <v>312.44</v>
      </c>
      <c r="K52" s="72">
        <f t="shared" si="9"/>
        <v>380.44</v>
      </c>
      <c r="L52" s="72">
        <f t="shared" si="9"/>
        <v>430.13999999999993</v>
      </c>
      <c r="M52" s="72">
        <f t="shared" si="9"/>
        <v>428.13999999999993</v>
      </c>
      <c r="N52" s="72">
        <f t="shared" si="9"/>
        <v>427.63999999999993</v>
      </c>
      <c r="O52" s="72">
        <f t="shared" si="9"/>
        <v>426.74</v>
      </c>
      <c r="P52" s="72">
        <f t="shared" si="9"/>
        <v>400.43999999999994</v>
      </c>
      <c r="Q52" s="72">
        <f t="shared" si="9"/>
        <v>294.44</v>
      </c>
      <c r="R52" s="72">
        <f t="shared" si="9"/>
        <v>282.83999999999997</v>
      </c>
      <c r="S52" s="72">
        <f t="shared" si="9"/>
        <v>214.74</v>
      </c>
      <c r="T52" s="72">
        <f t="shared" si="9"/>
        <v>237.94</v>
      </c>
      <c r="U52" s="72">
        <f t="shared" si="9"/>
        <v>223.73999999999998</v>
      </c>
      <c r="V52" s="72">
        <f t="shared" si="9"/>
        <v>377.64</v>
      </c>
      <c r="W52" s="72">
        <f t="shared" si="9"/>
        <v>398.64</v>
      </c>
      <c r="X52" s="72">
        <f t="shared" si="9"/>
        <v>422.04</v>
      </c>
      <c r="Y52" s="72">
        <v>416.03999999999996</v>
      </c>
      <c r="Z52" s="72">
        <f t="shared" si="9"/>
        <v>416.03999999999996</v>
      </c>
      <c r="AA52" s="72">
        <f t="shared" si="9"/>
        <v>420.43999999999994</v>
      </c>
      <c r="AB52" s="72">
        <f t="shared" si="9"/>
        <v>420.94</v>
      </c>
      <c r="AC52" s="72">
        <f t="shared" si="9"/>
        <v>418.14</v>
      </c>
      <c r="AD52" s="72">
        <f t="shared" si="9"/>
        <v>331.34</v>
      </c>
      <c r="AE52" s="72">
        <f t="shared" si="9"/>
        <v>252.44</v>
      </c>
      <c r="AF52" s="72">
        <f t="shared" si="9"/>
        <v>229.83999999999997</v>
      </c>
      <c r="AG52" s="78">
        <f>SUM(AG39:AG51)</f>
        <v>489.91</v>
      </c>
      <c r="AH52" s="54">
        <f t="shared" si="2"/>
        <v>430.13999999999993</v>
      </c>
      <c r="AI52" s="55">
        <f t="shared" si="3"/>
        <v>185.04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61">
        <v>30</v>
      </c>
      <c r="M53" s="79">
        <v>0</v>
      </c>
      <c r="N53" s="79">
        <v>15</v>
      </c>
      <c r="O53" s="79">
        <v>10.199999999999999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43.6</v>
      </c>
      <c r="Y53" s="50">
        <v>25</v>
      </c>
      <c r="Z53" s="50">
        <v>20</v>
      </c>
      <c r="AA53" s="50">
        <v>30</v>
      </c>
      <c r="AB53" s="50">
        <v>19.7</v>
      </c>
      <c r="AC53" s="50">
        <v>30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43.6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61">
        <v>5</v>
      </c>
      <c r="M54" s="79">
        <v>0</v>
      </c>
      <c r="N54" s="79">
        <v>7</v>
      </c>
      <c r="O54" s="79">
        <v>8</v>
      </c>
      <c r="P54" s="79">
        <v>5.2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18.3</v>
      </c>
      <c r="Y54" s="73">
        <v>14</v>
      </c>
      <c r="Z54" s="73">
        <v>10</v>
      </c>
      <c r="AA54" s="73">
        <v>14.5</v>
      </c>
      <c r="AB54" s="73">
        <v>10.3</v>
      </c>
      <c r="AC54" s="73">
        <v>14.9</v>
      </c>
      <c r="AD54" s="73">
        <v>7.4</v>
      </c>
      <c r="AE54" s="73">
        <v>0</v>
      </c>
      <c r="AF54" s="73">
        <v>0</v>
      </c>
      <c r="AG54" s="67">
        <v>32</v>
      </c>
      <c r="AH54" s="54">
        <f t="shared" si="2"/>
        <v>18.3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>
        <v>0</v>
      </c>
      <c r="L55" s="74">
        <v>2</v>
      </c>
      <c r="M55" s="81">
        <v>0</v>
      </c>
      <c r="N55" s="81">
        <v>3</v>
      </c>
      <c r="O55" s="81">
        <v>2.9</v>
      </c>
      <c r="P55" s="81">
        <v>1.9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6.7</v>
      </c>
      <c r="Y55" s="80">
        <v>5.4</v>
      </c>
      <c r="Z55" s="80">
        <v>4</v>
      </c>
      <c r="AA55" s="80">
        <v>5.4</v>
      </c>
      <c r="AB55" s="80">
        <v>3.8</v>
      </c>
      <c r="AC55" s="80">
        <v>5.4</v>
      </c>
      <c r="AD55" s="80">
        <v>2.7</v>
      </c>
      <c r="AE55" s="80">
        <v>0</v>
      </c>
      <c r="AF55" s="80">
        <v>0</v>
      </c>
      <c r="AG55" s="82">
        <v>14</v>
      </c>
      <c r="AH55" s="54">
        <f t="shared" si="2"/>
        <v>6.7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10">SUM(D53:D55)</f>
        <v>0</v>
      </c>
      <c r="E56" s="72">
        <f t="shared" si="10"/>
        <v>0</v>
      </c>
      <c r="F56" s="72">
        <f t="shared" si="10"/>
        <v>0</v>
      </c>
      <c r="G56" s="72">
        <f t="shared" si="10"/>
        <v>0</v>
      </c>
      <c r="H56" s="72">
        <f t="shared" si="10"/>
        <v>0</v>
      </c>
      <c r="I56" s="72">
        <f t="shared" si="10"/>
        <v>0</v>
      </c>
      <c r="J56" s="72">
        <f t="shared" si="10"/>
        <v>0</v>
      </c>
      <c r="K56" s="72">
        <f t="shared" si="10"/>
        <v>0</v>
      </c>
      <c r="L56" s="72">
        <f t="shared" si="10"/>
        <v>37</v>
      </c>
      <c r="M56" s="72">
        <f t="shared" si="10"/>
        <v>0</v>
      </c>
      <c r="N56" s="72">
        <f t="shared" si="10"/>
        <v>25</v>
      </c>
      <c r="O56" s="72">
        <f t="shared" si="10"/>
        <v>21.099999999999998</v>
      </c>
      <c r="P56" s="72">
        <f t="shared" si="10"/>
        <v>7.1</v>
      </c>
      <c r="Q56" s="72">
        <f t="shared" si="10"/>
        <v>0</v>
      </c>
      <c r="R56" s="72">
        <f t="shared" si="10"/>
        <v>0</v>
      </c>
      <c r="S56" s="72">
        <f t="shared" si="10"/>
        <v>0</v>
      </c>
      <c r="T56" s="72">
        <f t="shared" si="10"/>
        <v>0</v>
      </c>
      <c r="U56" s="72">
        <f t="shared" si="10"/>
        <v>0</v>
      </c>
      <c r="V56" s="72">
        <f t="shared" si="10"/>
        <v>0</v>
      </c>
      <c r="W56" s="72">
        <f t="shared" si="10"/>
        <v>0</v>
      </c>
      <c r="X56" s="72">
        <f t="shared" si="10"/>
        <v>68.600000000000009</v>
      </c>
      <c r="Y56" s="72">
        <v>57.1</v>
      </c>
      <c r="Z56" s="72">
        <f t="shared" si="10"/>
        <v>34</v>
      </c>
      <c r="AA56" s="72">
        <f t="shared" si="10"/>
        <v>49.9</v>
      </c>
      <c r="AB56" s="72">
        <f t="shared" si="10"/>
        <v>33.799999999999997</v>
      </c>
      <c r="AC56" s="72">
        <f t="shared" si="10"/>
        <v>50.3</v>
      </c>
      <c r="AD56" s="72">
        <f t="shared" si="10"/>
        <v>10.100000000000001</v>
      </c>
      <c r="AE56" s="72">
        <f t="shared" si="10"/>
        <v>0</v>
      </c>
      <c r="AF56" s="72">
        <f t="shared" si="10"/>
        <v>0</v>
      </c>
      <c r="AG56" s="78">
        <f>SUM(AG53:AG55)</f>
        <v>106</v>
      </c>
      <c r="AH56" s="54">
        <f t="shared" si="2"/>
        <v>68.600000000000009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57.2</v>
      </c>
      <c r="C57" s="50">
        <v>58</v>
      </c>
      <c r="D57" s="50">
        <v>58</v>
      </c>
      <c r="E57" s="50">
        <v>65.8</v>
      </c>
      <c r="F57" s="50">
        <v>58.2</v>
      </c>
      <c r="G57" s="50">
        <v>62.4</v>
      </c>
      <c r="H57" s="50">
        <v>64.7</v>
      </c>
      <c r="I57" s="50">
        <v>65</v>
      </c>
      <c r="J57" s="50">
        <v>70.8</v>
      </c>
      <c r="K57" s="50">
        <v>70.7</v>
      </c>
      <c r="L57" s="50">
        <v>69.3</v>
      </c>
      <c r="M57" s="50">
        <v>67</v>
      </c>
      <c r="N57" s="50">
        <v>75</v>
      </c>
      <c r="O57" s="50">
        <v>54.7</v>
      </c>
      <c r="P57" s="50">
        <v>56</v>
      </c>
      <c r="Q57" s="50">
        <v>63</v>
      </c>
      <c r="R57" s="50">
        <v>59</v>
      </c>
      <c r="S57" s="50">
        <v>71.599999999999994</v>
      </c>
      <c r="T57" s="50">
        <v>69</v>
      </c>
      <c r="U57" s="50">
        <v>63.5</v>
      </c>
      <c r="V57" s="50">
        <v>56.8</v>
      </c>
      <c r="W57" s="50">
        <v>68.099999999999994</v>
      </c>
      <c r="X57" s="50">
        <v>63.71</v>
      </c>
      <c r="Y57" s="50">
        <v>69</v>
      </c>
      <c r="Z57" s="50">
        <v>64</v>
      </c>
      <c r="AA57" s="50">
        <v>64</v>
      </c>
      <c r="AB57" s="50">
        <v>62.8</v>
      </c>
      <c r="AC57" s="50">
        <v>66.81</v>
      </c>
      <c r="AD57" s="50">
        <v>68.900000000000006</v>
      </c>
      <c r="AE57" s="50">
        <v>58.9</v>
      </c>
      <c r="AF57" s="50">
        <v>65.3</v>
      </c>
      <c r="AG57" s="62"/>
      <c r="AH57" s="54">
        <f t="shared" si="2"/>
        <v>75</v>
      </c>
      <c r="AI57" s="55">
        <f t="shared" si="3"/>
        <v>54.7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154</v>
      </c>
      <c r="C59" s="73">
        <v>140</v>
      </c>
      <c r="D59" s="73">
        <v>125</v>
      </c>
      <c r="E59" s="73">
        <v>106</v>
      </c>
      <c r="F59" s="73">
        <v>160</v>
      </c>
      <c r="G59" s="73">
        <v>211</v>
      </c>
      <c r="H59" s="50">
        <v>226.2</v>
      </c>
      <c r="I59" s="50">
        <v>179.9</v>
      </c>
      <c r="J59" s="50">
        <v>191</v>
      </c>
      <c r="K59" s="50">
        <v>84</v>
      </c>
      <c r="L59" s="50">
        <v>52.7</v>
      </c>
      <c r="M59" s="73">
        <v>0</v>
      </c>
      <c r="N59" s="73">
        <v>0</v>
      </c>
      <c r="O59" s="73">
        <v>216.3</v>
      </c>
      <c r="P59" s="73">
        <v>220</v>
      </c>
      <c r="Q59" s="73">
        <v>240</v>
      </c>
      <c r="R59" s="73">
        <v>238</v>
      </c>
      <c r="S59" s="73">
        <v>332</v>
      </c>
      <c r="T59" s="73">
        <v>312</v>
      </c>
      <c r="U59" s="73">
        <v>337</v>
      </c>
      <c r="V59" s="73">
        <v>83.6</v>
      </c>
      <c r="W59" s="73">
        <v>52.4</v>
      </c>
      <c r="X59" s="84">
        <v>67.7</v>
      </c>
      <c r="Y59" s="84">
        <v>0.2</v>
      </c>
      <c r="Z59" s="84">
        <v>0.2</v>
      </c>
      <c r="AA59" s="84">
        <v>121</v>
      </c>
      <c r="AB59" s="73">
        <v>181</v>
      </c>
      <c r="AC59" s="73">
        <v>180.1</v>
      </c>
      <c r="AD59" s="73">
        <v>204.9</v>
      </c>
      <c r="AE59" s="73">
        <v>181.6</v>
      </c>
      <c r="AF59" s="73">
        <v>117.6</v>
      </c>
      <c r="AG59" s="85"/>
      <c r="AH59" s="54">
        <f t="shared" si="2"/>
        <v>337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25</v>
      </c>
      <c r="N60" s="58">
        <v>25</v>
      </c>
      <c r="O60" s="73">
        <v>17.5</v>
      </c>
      <c r="P60" s="73">
        <v>0</v>
      </c>
      <c r="Q60" s="73">
        <v>0</v>
      </c>
      <c r="R60" s="73">
        <v>0</v>
      </c>
      <c r="S60" s="73">
        <v>0</v>
      </c>
      <c r="T60" s="73">
        <v>35</v>
      </c>
      <c r="U60" s="73">
        <v>57</v>
      </c>
      <c r="V60" s="73">
        <v>44</v>
      </c>
      <c r="W60" s="73">
        <v>40</v>
      </c>
      <c r="X60" s="73">
        <v>44</v>
      </c>
      <c r="Y60" s="73">
        <v>35</v>
      </c>
      <c r="Z60" s="73">
        <v>0</v>
      </c>
      <c r="AA60" s="73">
        <v>0</v>
      </c>
      <c r="AB60" s="73">
        <v>30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57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66</v>
      </c>
      <c r="X61" s="50">
        <v>77.400000000000006</v>
      </c>
      <c r="Y61" s="50">
        <v>71</v>
      </c>
      <c r="Z61" s="50">
        <v>64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77.400000000000006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5</v>
      </c>
      <c r="Q62" s="60">
        <v>5</v>
      </c>
      <c r="R62" s="60">
        <v>5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5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5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5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50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50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211.2</v>
      </c>
      <c r="C68" s="72">
        <f>SUM(C57:C67)</f>
        <v>198</v>
      </c>
      <c r="D68" s="72">
        <f t="shared" ref="D68:AF68" si="11">SUM(D57:D67)</f>
        <v>183</v>
      </c>
      <c r="E68" s="72">
        <f t="shared" si="11"/>
        <v>171.8</v>
      </c>
      <c r="F68" s="72">
        <f t="shared" si="11"/>
        <v>218.2</v>
      </c>
      <c r="G68" s="72">
        <f t="shared" si="11"/>
        <v>273.39999999999998</v>
      </c>
      <c r="H68" s="72">
        <f t="shared" si="11"/>
        <v>290.89999999999998</v>
      </c>
      <c r="I68" s="72">
        <f t="shared" si="11"/>
        <v>244.9</v>
      </c>
      <c r="J68" s="72">
        <f t="shared" si="11"/>
        <v>261.8</v>
      </c>
      <c r="K68" s="72">
        <f t="shared" si="11"/>
        <v>154.69999999999999</v>
      </c>
      <c r="L68" s="72">
        <f t="shared" si="11"/>
        <v>122</v>
      </c>
      <c r="M68" s="72">
        <f t="shared" si="11"/>
        <v>92</v>
      </c>
      <c r="N68" s="72">
        <f t="shared" si="11"/>
        <v>100</v>
      </c>
      <c r="O68" s="72">
        <f t="shared" si="11"/>
        <v>288.5</v>
      </c>
      <c r="P68" s="72">
        <f t="shared" si="11"/>
        <v>281</v>
      </c>
      <c r="Q68" s="72">
        <f t="shared" si="11"/>
        <v>308</v>
      </c>
      <c r="R68" s="72">
        <f t="shared" si="11"/>
        <v>302</v>
      </c>
      <c r="S68" s="72">
        <f t="shared" si="11"/>
        <v>403.6</v>
      </c>
      <c r="T68" s="72">
        <f t="shared" si="11"/>
        <v>416</v>
      </c>
      <c r="U68" s="72">
        <f t="shared" si="11"/>
        <v>457.5</v>
      </c>
      <c r="V68" s="72">
        <f t="shared" si="11"/>
        <v>184.39999999999998</v>
      </c>
      <c r="W68" s="72">
        <f t="shared" si="11"/>
        <v>226.5</v>
      </c>
      <c r="X68" s="72">
        <f t="shared" si="11"/>
        <v>252.81</v>
      </c>
      <c r="Y68" s="72">
        <v>270.97000000000003</v>
      </c>
      <c r="Z68" s="72">
        <f t="shared" si="11"/>
        <v>128.19999999999999</v>
      </c>
      <c r="AA68" s="72">
        <f t="shared" si="11"/>
        <v>185</v>
      </c>
      <c r="AB68" s="72">
        <f t="shared" si="11"/>
        <v>273.8</v>
      </c>
      <c r="AC68" s="72">
        <f t="shared" si="11"/>
        <v>246.91</v>
      </c>
      <c r="AD68" s="72">
        <f t="shared" si="11"/>
        <v>273.8</v>
      </c>
      <c r="AE68" s="72">
        <f t="shared" si="11"/>
        <v>240.5</v>
      </c>
      <c r="AF68" s="72">
        <f t="shared" si="11"/>
        <v>182.89999999999998</v>
      </c>
      <c r="AG68" s="78">
        <f>SUM(AG57:AG67)</f>
        <v>0</v>
      </c>
      <c r="AH68" s="54">
        <f t="shared" si="2"/>
        <v>457.5</v>
      </c>
      <c r="AI68" s="55">
        <f t="shared" si="3"/>
        <v>92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2">SUM(D69:D71)</f>
        <v>0</v>
      </c>
      <c r="E72" s="72">
        <f t="shared" si="12"/>
        <v>0</v>
      </c>
      <c r="F72" s="72">
        <f t="shared" si="12"/>
        <v>0</v>
      </c>
      <c r="G72" s="72">
        <f t="shared" si="12"/>
        <v>0</v>
      </c>
      <c r="H72" s="72">
        <f t="shared" si="12"/>
        <v>0</v>
      </c>
      <c r="I72" s="72">
        <f t="shared" si="12"/>
        <v>0</v>
      </c>
      <c r="J72" s="72">
        <f t="shared" si="12"/>
        <v>0</v>
      </c>
      <c r="K72" s="72">
        <f t="shared" si="12"/>
        <v>0</v>
      </c>
      <c r="L72" s="72">
        <f t="shared" si="12"/>
        <v>0</v>
      </c>
      <c r="M72" s="72">
        <f t="shared" si="12"/>
        <v>0</v>
      </c>
      <c r="N72" s="72">
        <f t="shared" si="12"/>
        <v>0</v>
      </c>
      <c r="O72" s="72">
        <f t="shared" si="12"/>
        <v>0</v>
      </c>
      <c r="P72" s="72">
        <f t="shared" si="12"/>
        <v>0</v>
      </c>
      <c r="Q72" s="72">
        <f t="shared" si="12"/>
        <v>0</v>
      </c>
      <c r="R72" s="72">
        <f t="shared" si="12"/>
        <v>0</v>
      </c>
      <c r="S72" s="72">
        <f t="shared" si="12"/>
        <v>0</v>
      </c>
      <c r="T72" s="72">
        <f t="shared" si="12"/>
        <v>0</v>
      </c>
      <c r="U72" s="72">
        <f t="shared" si="12"/>
        <v>0</v>
      </c>
      <c r="V72" s="72">
        <f t="shared" si="12"/>
        <v>0</v>
      </c>
      <c r="W72" s="72">
        <f t="shared" si="12"/>
        <v>0</v>
      </c>
      <c r="X72" s="72">
        <f t="shared" si="12"/>
        <v>0</v>
      </c>
      <c r="Y72" s="72">
        <v>0</v>
      </c>
      <c r="Z72" s="72">
        <f t="shared" si="12"/>
        <v>0</v>
      </c>
      <c r="AA72" s="72">
        <f t="shared" si="12"/>
        <v>0</v>
      </c>
      <c r="AB72" s="72">
        <f t="shared" si="12"/>
        <v>0</v>
      </c>
      <c r="AC72" s="72">
        <f t="shared" si="12"/>
        <v>0</v>
      </c>
      <c r="AD72" s="72">
        <f t="shared" si="12"/>
        <v>0</v>
      </c>
      <c r="AE72" s="72">
        <f t="shared" si="12"/>
        <v>0</v>
      </c>
      <c r="AF72" s="72">
        <f t="shared" si="12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911.84</v>
      </c>
      <c r="C73" s="89">
        <f>C68+C56+C52+C38+C72</f>
        <v>913.14</v>
      </c>
      <c r="D73" s="89">
        <f t="shared" ref="D73:AG73" si="13">D68+D56+D52+D38+D72</f>
        <v>908.14</v>
      </c>
      <c r="E73" s="89">
        <f t="shared" si="13"/>
        <v>874.93999999999994</v>
      </c>
      <c r="F73" s="89">
        <f t="shared" si="13"/>
        <v>900.54</v>
      </c>
      <c r="G73" s="89">
        <f t="shared" si="13"/>
        <v>936.33999999999992</v>
      </c>
      <c r="H73" s="89">
        <f t="shared" si="13"/>
        <v>1008.9399999999999</v>
      </c>
      <c r="I73" s="89">
        <f t="shared" si="13"/>
        <v>1057.1399999999999</v>
      </c>
      <c r="J73" s="89">
        <f t="shared" si="13"/>
        <v>1160.04</v>
      </c>
      <c r="K73" s="89">
        <f t="shared" si="13"/>
        <v>1280.94</v>
      </c>
      <c r="L73" s="89">
        <f t="shared" si="13"/>
        <v>1344.9399999999998</v>
      </c>
      <c r="M73" s="89">
        <f t="shared" si="13"/>
        <v>1415.94</v>
      </c>
      <c r="N73" s="89">
        <f t="shared" si="13"/>
        <v>1394.44</v>
      </c>
      <c r="O73" s="89">
        <f t="shared" si="13"/>
        <v>1266.24</v>
      </c>
      <c r="P73" s="89">
        <f t="shared" si="13"/>
        <v>1216.04</v>
      </c>
      <c r="Q73" s="89">
        <f t="shared" si="13"/>
        <v>1132.94</v>
      </c>
      <c r="R73" s="89">
        <f t="shared" si="13"/>
        <v>1100.3399999999999</v>
      </c>
      <c r="S73" s="89">
        <f t="shared" si="13"/>
        <v>1083.8400000000001</v>
      </c>
      <c r="T73" s="89">
        <f t="shared" si="13"/>
        <v>1114.44</v>
      </c>
      <c r="U73" s="89">
        <f t="shared" si="13"/>
        <v>1141.74</v>
      </c>
      <c r="V73" s="89">
        <f t="shared" si="13"/>
        <v>1132.54</v>
      </c>
      <c r="W73" s="89">
        <f t="shared" si="13"/>
        <v>1265.6399999999999</v>
      </c>
      <c r="X73" s="89">
        <f t="shared" si="13"/>
        <v>1473.95</v>
      </c>
      <c r="Y73" s="89">
        <v>1470.2099999999998</v>
      </c>
      <c r="Z73" s="89">
        <f t="shared" si="13"/>
        <v>1384.34</v>
      </c>
      <c r="AA73" s="89">
        <f t="shared" si="13"/>
        <v>1381.44</v>
      </c>
      <c r="AB73" s="89">
        <f t="shared" si="13"/>
        <v>1306.6399999999999</v>
      </c>
      <c r="AC73" s="89">
        <f t="shared" si="13"/>
        <v>1272.4499999999998</v>
      </c>
      <c r="AD73" s="89">
        <f t="shared" si="13"/>
        <v>1171.8399999999999</v>
      </c>
      <c r="AE73" s="89">
        <f t="shared" si="13"/>
        <v>1009.54</v>
      </c>
      <c r="AF73" s="89">
        <f t="shared" si="13"/>
        <v>909.33999999999992</v>
      </c>
      <c r="AG73" s="89">
        <f t="shared" si="13"/>
        <v>2144.14</v>
      </c>
      <c r="AH73" s="54">
        <f t="shared" si="2"/>
        <v>1473.95</v>
      </c>
      <c r="AI73" s="55">
        <f t="shared" si="3"/>
        <v>874.93999999999994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>
        <v>57</v>
      </c>
      <c r="P74" s="91">
        <v>57</v>
      </c>
      <c r="Q74" s="91">
        <v>49</v>
      </c>
      <c r="R74" s="91">
        <v>12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57</v>
      </c>
      <c r="AI74" s="55">
        <f t="shared" si="3"/>
        <v>12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911.84</v>
      </c>
      <c r="C75" s="89">
        <f>C73+C74</f>
        <v>913.14</v>
      </c>
      <c r="D75" s="89">
        <f t="shared" ref="D75:AF75" si="14">D72+D68+D56+D52+D38+D74</f>
        <v>908.14</v>
      </c>
      <c r="E75" s="89">
        <f t="shared" si="14"/>
        <v>874.93999999999994</v>
      </c>
      <c r="F75" s="89">
        <f t="shared" si="14"/>
        <v>900.54</v>
      </c>
      <c r="G75" s="89">
        <f t="shared" si="14"/>
        <v>936.33999999999992</v>
      </c>
      <c r="H75" s="89">
        <f t="shared" si="14"/>
        <v>1008.9399999999999</v>
      </c>
      <c r="I75" s="89">
        <f t="shared" si="14"/>
        <v>1057.1399999999999</v>
      </c>
      <c r="J75" s="89">
        <f t="shared" si="14"/>
        <v>1160.04</v>
      </c>
      <c r="K75" s="89">
        <f t="shared" si="14"/>
        <v>1280.94</v>
      </c>
      <c r="L75" s="89">
        <f t="shared" si="14"/>
        <v>1344.9399999999998</v>
      </c>
      <c r="M75" s="89">
        <f t="shared" si="14"/>
        <v>1415.94</v>
      </c>
      <c r="N75" s="89">
        <f t="shared" si="14"/>
        <v>1394.44</v>
      </c>
      <c r="O75" s="89">
        <f t="shared" si="14"/>
        <v>1323.24</v>
      </c>
      <c r="P75" s="89">
        <f t="shared" si="14"/>
        <v>1273.04</v>
      </c>
      <c r="Q75" s="89">
        <f t="shared" si="14"/>
        <v>1181.94</v>
      </c>
      <c r="R75" s="89">
        <f t="shared" si="14"/>
        <v>1112.3399999999999</v>
      </c>
      <c r="S75" s="89">
        <f t="shared" si="14"/>
        <v>1083.8400000000001</v>
      </c>
      <c r="T75" s="89">
        <f t="shared" si="14"/>
        <v>1114.44</v>
      </c>
      <c r="U75" s="89">
        <f t="shared" si="14"/>
        <v>1141.74</v>
      </c>
      <c r="V75" s="89">
        <f t="shared" si="14"/>
        <v>1132.54</v>
      </c>
      <c r="W75" s="89">
        <f t="shared" si="14"/>
        <v>1265.6399999999999</v>
      </c>
      <c r="X75" s="89">
        <f t="shared" si="14"/>
        <v>1473.95</v>
      </c>
      <c r="Y75" s="89">
        <v>1470.2099999999998</v>
      </c>
      <c r="Z75" s="89">
        <f t="shared" si="14"/>
        <v>1384.34</v>
      </c>
      <c r="AA75" s="89">
        <f t="shared" si="14"/>
        <v>1381.44</v>
      </c>
      <c r="AB75" s="89">
        <f t="shared" si="14"/>
        <v>1306.6399999999999</v>
      </c>
      <c r="AC75" s="89">
        <f t="shared" si="14"/>
        <v>1272.4499999999998</v>
      </c>
      <c r="AD75" s="89">
        <f t="shared" si="14"/>
        <v>1171.8399999999999</v>
      </c>
      <c r="AE75" s="89">
        <f t="shared" si="14"/>
        <v>1009.54</v>
      </c>
      <c r="AF75" s="89">
        <f t="shared" si="14"/>
        <v>909.33999999999992</v>
      </c>
      <c r="AG75" s="78">
        <f>AG72+AG68+AG56+AG52+AG38+AG74</f>
        <v>2144.14</v>
      </c>
      <c r="AH75" s="54">
        <f t="shared" si="2"/>
        <v>1473.95</v>
      </c>
      <c r="AI75" s="55">
        <f t="shared" si="3"/>
        <v>874.93999999999994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5">IF(D60&lt;0,D60*-1,0)</f>
        <v>0</v>
      </c>
      <c r="E76" s="58">
        <f t="shared" si="15"/>
        <v>0</v>
      </c>
      <c r="F76" s="58">
        <f t="shared" si="15"/>
        <v>0</v>
      </c>
      <c r="G76" s="58">
        <f t="shared" si="15"/>
        <v>0</v>
      </c>
      <c r="H76" s="58">
        <f t="shared" si="15"/>
        <v>0</v>
      </c>
      <c r="I76" s="58">
        <f t="shared" si="15"/>
        <v>0</v>
      </c>
      <c r="J76" s="58">
        <f t="shared" si="15"/>
        <v>0</v>
      </c>
      <c r="K76" s="58">
        <f t="shared" si="15"/>
        <v>0</v>
      </c>
      <c r="L76" s="58">
        <f t="shared" si="15"/>
        <v>0</v>
      </c>
      <c r="M76" s="58">
        <f t="shared" si="15"/>
        <v>0</v>
      </c>
      <c r="N76" s="58">
        <f t="shared" si="15"/>
        <v>0</v>
      </c>
      <c r="O76" s="58">
        <f t="shared" si="15"/>
        <v>0</v>
      </c>
      <c r="P76" s="58">
        <f t="shared" si="15"/>
        <v>0</v>
      </c>
      <c r="Q76" s="58">
        <f t="shared" si="15"/>
        <v>0</v>
      </c>
      <c r="R76" s="58">
        <f t="shared" si="15"/>
        <v>0</v>
      </c>
      <c r="S76" s="58">
        <f t="shared" si="15"/>
        <v>0</v>
      </c>
      <c r="T76" s="58">
        <f t="shared" si="15"/>
        <v>0</v>
      </c>
      <c r="U76" s="58">
        <f t="shared" si="15"/>
        <v>0</v>
      </c>
      <c r="V76" s="58">
        <f t="shared" si="15"/>
        <v>0</v>
      </c>
      <c r="W76" s="58">
        <f t="shared" si="15"/>
        <v>0</v>
      </c>
      <c r="X76" s="58">
        <f t="shared" si="15"/>
        <v>0</v>
      </c>
      <c r="Y76" s="58"/>
      <c r="Z76" s="58">
        <f t="shared" si="15"/>
        <v>0</v>
      </c>
      <c r="AA76" s="58">
        <f t="shared" si="15"/>
        <v>0</v>
      </c>
      <c r="AB76" s="58">
        <f t="shared" si="15"/>
        <v>0</v>
      </c>
      <c r="AC76" s="58">
        <f t="shared" si="15"/>
        <v>0</v>
      </c>
      <c r="AD76" s="58">
        <f t="shared" si="15"/>
        <v>0</v>
      </c>
      <c r="AE76" s="58">
        <f t="shared" si="15"/>
        <v>0</v>
      </c>
      <c r="AF76" s="58">
        <f t="shared" si="15"/>
        <v>0</v>
      </c>
      <c r="AG76" s="62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8">IF(D58&lt;0,D58*-1,0)</f>
        <v>0</v>
      </c>
      <c r="E77" s="58">
        <f t="shared" si="18"/>
        <v>0</v>
      </c>
      <c r="F77" s="58">
        <f t="shared" si="18"/>
        <v>0</v>
      </c>
      <c r="G77" s="58">
        <f t="shared" si="18"/>
        <v>0</v>
      </c>
      <c r="H77" s="58">
        <f t="shared" si="18"/>
        <v>0</v>
      </c>
      <c r="I77" s="58">
        <f t="shared" si="18"/>
        <v>0</v>
      </c>
      <c r="J77" s="58">
        <f t="shared" si="18"/>
        <v>0</v>
      </c>
      <c r="K77" s="58">
        <f t="shared" si="18"/>
        <v>0</v>
      </c>
      <c r="L77" s="58">
        <f t="shared" si="18"/>
        <v>0</v>
      </c>
      <c r="M77" s="58">
        <f t="shared" si="18"/>
        <v>0</v>
      </c>
      <c r="N77" s="58">
        <f t="shared" si="18"/>
        <v>0</v>
      </c>
      <c r="O77" s="58">
        <f t="shared" si="18"/>
        <v>0</v>
      </c>
      <c r="P77" s="58">
        <f t="shared" si="18"/>
        <v>0</v>
      </c>
      <c r="Q77" s="58">
        <f t="shared" si="18"/>
        <v>0</v>
      </c>
      <c r="R77" s="58">
        <f t="shared" si="18"/>
        <v>0</v>
      </c>
      <c r="S77" s="58">
        <f t="shared" si="18"/>
        <v>0</v>
      </c>
      <c r="T77" s="58">
        <f t="shared" si="18"/>
        <v>0</v>
      </c>
      <c r="U77" s="58">
        <f t="shared" si="18"/>
        <v>0</v>
      </c>
      <c r="V77" s="58">
        <f t="shared" si="18"/>
        <v>0</v>
      </c>
      <c r="W77" s="58">
        <f t="shared" si="18"/>
        <v>0</v>
      </c>
      <c r="X77" s="58">
        <f t="shared" si="18"/>
        <v>0</v>
      </c>
      <c r="Y77" s="58">
        <v>0</v>
      </c>
      <c r="Z77" s="58">
        <f t="shared" si="18"/>
        <v>0</v>
      </c>
      <c r="AA77" s="58">
        <f t="shared" si="18"/>
        <v>0</v>
      </c>
      <c r="AB77" s="58">
        <f t="shared" si="18"/>
        <v>0</v>
      </c>
      <c r="AC77" s="58">
        <f t="shared" si="18"/>
        <v>0</v>
      </c>
      <c r="AD77" s="58">
        <f t="shared" si="18"/>
        <v>0</v>
      </c>
      <c r="AE77" s="58">
        <f t="shared" si="18"/>
        <v>0</v>
      </c>
      <c r="AF77" s="58">
        <f t="shared" si="18"/>
        <v>0</v>
      </c>
      <c r="AG77" s="67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9">IF(D61&lt;0,D61*-1,0)</f>
        <v>0</v>
      </c>
      <c r="E78" s="58">
        <f t="shared" si="19"/>
        <v>0</v>
      </c>
      <c r="F78" s="58">
        <f t="shared" si="19"/>
        <v>0</v>
      </c>
      <c r="G78" s="58">
        <f t="shared" si="19"/>
        <v>0</v>
      </c>
      <c r="H78" s="58">
        <f t="shared" si="19"/>
        <v>0</v>
      </c>
      <c r="I78" s="58">
        <f t="shared" si="19"/>
        <v>0</v>
      </c>
      <c r="J78" s="58">
        <f t="shared" si="19"/>
        <v>0</v>
      </c>
      <c r="K78" s="58">
        <f t="shared" si="19"/>
        <v>0</v>
      </c>
      <c r="L78" s="58">
        <f t="shared" si="19"/>
        <v>0</v>
      </c>
      <c r="M78" s="58">
        <f t="shared" si="19"/>
        <v>0</v>
      </c>
      <c r="N78" s="58">
        <f t="shared" si="19"/>
        <v>0</v>
      </c>
      <c r="O78" s="58">
        <f t="shared" si="19"/>
        <v>0</v>
      </c>
      <c r="P78" s="58">
        <f t="shared" si="19"/>
        <v>0</v>
      </c>
      <c r="Q78" s="58">
        <f t="shared" si="19"/>
        <v>0</v>
      </c>
      <c r="R78" s="58">
        <f t="shared" si="19"/>
        <v>0</v>
      </c>
      <c r="S78" s="58">
        <f t="shared" si="19"/>
        <v>0</v>
      </c>
      <c r="T78" s="58">
        <f t="shared" si="19"/>
        <v>0</v>
      </c>
      <c r="U78" s="58">
        <f t="shared" si="19"/>
        <v>0</v>
      </c>
      <c r="V78" s="58">
        <f t="shared" si="19"/>
        <v>0</v>
      </c>
      <c r="W78" s="58">
        <f t="shared" si="19"/>
        <v>0</v>
      </c>
      <c r="X78" s="58">
        <f t="shared" si="19"/>
        <v>0</v>
      </c>
      <c r="Y78" s="58">
        <v>0</v>
      </c>
      <c r="Z78" s="58">
        <f t="shared" si="19"/>
        <v>0</v>
      </c>
      <c r="AA78" s="58">
        <f t="shared" si="19"/>
        <v>0</v>
      </c>
      <c r="AB78" s="58">
        <f t="shared" si="19"/>
        <v>0</v>
      </c>
      <c r="AC78" s="58">
        <f t="shared" si="19"/>
        <v>0</v>
      </c>
      <c r="AD78" s="58">
        <f t="shared" si="19"/>
        <v>0</v>
      </c>
      <c r="AE78" s="58">
        <f t="shared" si="19"/>
        <v>0</v>
      </c>
      <c r="AF78" s="58">
        <f t="shared" si="19"/>
        <v>0</v>
      </c>
      <c r="AG78" s="92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20">IF(D59&lt;0,D59*-1,0)</f>
        <v>0</v>
      </c>
      <c r="E79" s="58">
        <f t="shared" si="20"/>
        <v>0</v>
      </c>
      <c r="F79" s="58">
        <f t="shared" si="20"/>
        <v>0</v>
      </c>
      <c r="G79" s="58">
        <f t="shared" si="20"/>
        <v>0</v>
      </c>
      <c r="H79" s="58">
        <f t="shared" si="20"/>
        <v>0</v>
      </c>
      <c r="I79" s="58">
        <f t="shared" si="20"/>
        <v>0</v>
      </c>
      <c r="J79" s="58">
        <f t="shared" si="20"/>
        <v>0</v>
      </c>
      <c r="K79" s="58">
        <f t="shared" si="20"/>
        <v>0</v>
      </c>
      <c r="L79" s="58">
        <f t="shared" si="20"/>
        <v>0</v>
      </c>
      <c r="M79" s="58">
        <f t="shared" si="20"/>
        <v>0</v>
      </c>
      <c r="N79" s="58">
        <f t="shared" si="20"/>
        <v>0</v>
      </c>
      <c r="O79" s="58">
        <f t="shared" si="20"/>
        <v>0</v>
      </c>
      <c r="P79" s="58">
        <f t="shared" si="20"/>
        <v>0</v>
      </c>
      <c r="Q79" s="58">
        <f t="shared" si="20"/>
        <v>0</v>
      </c>
      <c r="R79" s="58">
        <f t="shared" si="20"/>
        <v>0</v>
      </c>
      <c r="S79" s="58">
        <f t="shared" si="20"/>
        <v>0</v>
      </c>
      <c r="T79" s="58">
        <f t="shared" si="20"/>
        <v>0</v>
      </c>
      <c r="U79" s="58">
        <f t="shared" si="20"/>
        <v>0</v>
      </c>
      <c r="V79" s="58">
        <f t="shared" si="20"/>
        <v>0</v>
      </c>
      <c r="W79" s="58">
        <f t="shared" si="20"/>
        <v>0</v>
      </c>
      <c r="X79" s="58">
        <f t="shared" si="20"/>
        <v>0</v>
      </c>
      <c r="Y79" s="58">
        <v>0</v>
      </c>
      <c r="Z79" s="58">
        <f t="shared" si="20"/>
        <v>0</v>
      </c>
      <c r="AA79" s="58">
        <f t="shared" si="20"/>
        <v>0</v>
      </c>
      <c r="AB79" s="58">
        <f t="shared" si="20"/>
        <v>0</v>
      </c>
      <c r="AC79" s="58">
        <f t="shared" si="20"/>
        <v>0</v>
      </c>
      <c r="AD79" s="58">
        <f t="shared" si="20"/>
        <v>0</v>
      </c>
      <c r="AE79" s="58">
        <f t="shared" si="20"/>
        <v>0</v>
      </c>
      <c r="AF79" s="58">
        <f t="shared" si="20"/>
        <v>0</v>
      </c>
      <c r="AG79" s="92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1">IF(D57&lt;0,D57*-1,0)</f>
        <v>0</v>
      </c>
      <c r="E80" s="58">
        <f t="shared" si="21"/>
        <v>0</v>
      </c>
      <c r="F80" s="58">
        <f t="shared" si="21"/>
        <v>0</v>
      </c>
      <c r="G80" s="58">
        <f t="shared" si="21"/>
        <v>0</v>
      </c>
      <c r="H80" s="58">
        <f t="shared" si="21"/>
        <v>0</v>
      </c>
      <c r="I80" s="58">
        <f t="shared" si="21"/>
        <v>0</v>
      </c>
      <c r="J80" s="58">
        <f t="shared" si="21"/>
        <v>0</v>
      </c>
      <c r="K80" s="58">
        <f t="shared" si="21"/>
        <v>0</v>
      </c>
      <c r="L80" s="58">
        <f t="shared" si="21"/>
        <v>0</v>
      </c>
      <c r="M80" s="58">
        <f t="shared" si="21"/>
        <v>0</v>
      </c>
      <c r="N80" s="58">
        <f t="shared" si="21"/>
        <v>0</v>
      </c>
      <c r="O80" s="58">
        <f t="shared" si="21"/>
        <v>0</v>
      </c>
      <c r="P80" s="58">
        <f t="shared" si="21"/>
        <v>0</v>
      </c>
      <c r="Q80" s="58">
        <f t="shared" si="21"/>
        <v>0</v>
      </c>
      <c r="R80" s="58">
        <f t="shared" si="21"/>
        <v>0</v>
      </c>
      <c r="S80" s="58">
        <f t="shared" si="21"/>
        <v>0</v>
      </c>
      <c r="T80" s="58">
        <f t="shared" si="21"/>
        <v>0</v>
      </c>
      <c r="U80" s="58">
        <f t="shared" si="21"/>
        <v>0</v>
      </c>
      <c r="V80" s="58">
        <f t="shared" si="21"/>
        <v>0</v>
      </c>
      <c r="W80" s="58">
        <f t="shared" si="21"/>
        <v>0</v>
      </c>
      <c r="X80" s="58">
        <f t="shared" si="21"/>
        <v>0</v>
      </c>
      <c r="Y80" s="58">
        <v>0</v>
      </c>
      <c r="Z80" s="58">
        <f t="shared" si="21"/>
        <v>0</v>
      </c>
      <c r="AA80" s="58">
        <f t="shared" si="21"/>
        <v>0</v>
      </c>
      <c r="AB80" s="58">
        <f t="shared" si="21"/>
        <v>0</v>
      </c>
      <c r="AC80" s="58">
        <f t="shared" si="21"/>
        <v>0</v>
      </c>
      <c r="AD80" s="58">
        <f t="shared" si="21"/>
        <v>0</v>
      </c>
      <c r="AE80" s="58">
        <f t="shared" si="21"/>
        <v>0</v>
      </c>
      <c r="AF80" s="58">
        <f t="shared" si="21"/>
        <v>0</v>
      </c>
      <c r="AG80" s="92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2">SUM(C76:C81)</f>
        <v>0</v>
      </c>
      <c r="D82" s="72">
        <f t="shared" si="22"/>
        <v>0</v>
      </c>
      <c r="E82" s="72">
        <f t="shared" si="22"/>
        <v>0</v>
      </c>
      <c r="F82" s="72">
        <f t="shared" si="22"/>
        <v>0</v>
      </c>
      <c r="G82" s="72">
        <f t="shared" si="22"/>
        <v>0</v>
      </c>
      <c r="H82" s="72">
        <f t="shared" si="22"/>
        <v>0</v>
      </c>
      <c r="I82" s="72">
        <f t="shared" si="22"/>
        <v>0</v>
      </c>
      <c r="J82" s="72">
        <f t="shared" si="22"/>
        <v>0</v>
      </c>
      <c r="K82" s="72">
        <f t="shared" si="22"/>
        <v>0</v>
      </c>
      <c r="L82" s="72">
        <f t="shared" si="22"/>
        <v>0</v>
      </c>
      <c r="M82" s="72">
        <f t="shared" si="22"/>
        <v>0</v>
      </c>
      <c r="N82" s="72">
        <f t="shared" si="22"/>
        <v>0</v>
      </c>
      <c r="O82" s="72">
        <f t="shared" si="22"/>
        <v>0</v>
      </c>
      <c r="P82" s="72">
        <f t="shared" si="22"/>
        <v>0</v>
      </c>
      <c r="Q82" s="72">
        <f t="shared" si="22"/>
        <v>0</v>
      </c>
      <c r="R82" s="72">
        <f t="shared" si="22"/>
        <v>0</v>
      </c>
      <c r="S82" s="72">
        <f t="shared" si="22"/>
        <v>0</v>
      </c>
      <c r="T82" s="72">
        <f t="shared" si="22"/>
        <v>0</v>
      </c>
      <c r="U82" s="72">
        <f t="shared" si="22"/>
        <v>0</v>
      </c>
      <c r="V82" s="72">
        <f t="shared" si="22"/>
        <v>0</v>
      </c>
      <c r="W82" s="72">
        <f t="shared" si="22"/>
        <v>0</v>
      </c>
      <c r="X82" s="72">
        <f t="shared" si="22"/>
        <v>0</v>
      </c>
      <c r="Y82" s="72">
        <v>0</v>
      </c>
      <c r="Z82" s="72">
        <f t="shared" si="22"/>
        <v>0</v>
      </c>
      <c r="AA82" s="72">
        <f t="shared" si="22"/>
        <v>0</v>
      </c>
      <c r="AB82" s="72">
        <f t="shared" si="22"/>
        <v>0</v>
      </c>
      <c r="AC82" s="72">
        <f t="shared" si="22"/>
        <v>0</v>
      </c>
      <c r="AD82" s="72">
        <f t="shared" si="22"/>
        <v>0</v>
      </c>
      <c r="AE82" s="72">
        <f t="shared" si="22"/>
        <v>0</v>
      </c>
      <c r="AF82" s="72">
        <f t="shared" si="22"/>
        <v>0</v>
      </c>
      <c r="AG82" s="78">
        <f t="shared" si="22"/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1823.68</v>
      </c>
      <c r="C83" s="72">
        <f t="shared" ref="C83:AG83" si="23">SUM(C70:C82)</f>
        <v>1826.28</v>
      </c>
      <c r="D83" s="72">
        <f t="shared" si="23"/>
        <v>1816.28</v>
      </c>
      <c r="E83" s="72">
        <f t="shared" si="23"/>
        <v>1749.8799999999999</v>
      </c>
      <c r="F83" s="72">
        <f t="shared" si="23"/>
        <v>1801.08</v>
      </c>
      <c r="G83" s="72">
        <f t="shared" si="23"/>
        <v>1872.6799999999998</v>
      </c>
      <c r="H83" s="72">
        <f t="shared" si="23"/>
        <v>2017.8799999999999</v>
      </c>
      <c r="I83" s="72">
        <f t="shared" si="23"/>
        <v>2114.2799999999997</v>
      </c>
      <c r="J83" s="72">
        <f t="shared" si="23"/>
        <v>2320.08</v>
      </c>
      <c r="K83" s="72">
        <f t="shared" si="23"/>
        <v>2561.88</v>
      </c>
      <c r="L83" s="72">
        <f t="shared" si="23"/>
        <v>2689.8799999999997</v>
      </c>
      <c r="M83" s="72">
        <f t="shared" si="23"/>
        <v>2831.88</v>
      </c>
      <c r="N83" s="72">
        <f t="shared" si="23"/>
        <v>2788.88</v>
      </c>
      <c r="O83" s="72">
        <f t="shared" si="23"/>
        <v>2646.48</v>
      </c>
      <c r="P83" s="72">
        <f t="shared" si="23"/>
        <v>2546.08</v>
      </c>
      <c r="Q83" s="72">
        <f t="shared" si="23"/>
        <v>2363.88</v>
      </c>
      <c r="R83" s="72">
        <f t="shared" si="23"/>
        <v>2224.6799999999998</v>
      </c>
      <c r="S83" s="72">
        <f t="shared" si="23"/>
        <v>2167.6800000000003</v>
      </c>
      <c r="T83" s="72">
        <f t="shared" si="23"/>
        <v>2228.88</v>
      </c>
      <c r="U83" s="72">
        <f t="shared" si="23"/>
        <v>2283.48</v>
      </c>
      <c r="V83" s="72">
        <f t="shared" si="23"/>
        <v>2265.08</v>
      </c>
      <c r="W83" s="72">
        <f t="shared" si="23"/>
        <v>2531.2799999999997</v>
      </c>
      <c r="X83" s="72">
        <f t="shared" si="23"/>
        <v>2947.9</v>
      </c>
      <c r="Y83" s="72">
        <v>270.97000000000003</v>
      </c>
      <c r="Z83" s="72">
        <f t="shared" si="23"/>
        <v>2768.68</v>
      </c>
      <c r="AA83" s="72">
        <f t="shared" si="23"/>
        <v>2762.88</v>
      </c>
      <c r="AB83" s="72">
        <f t="shared" si="23"/>
        <v>2613.2799999999997</v>
      </c>
      <c r="AC83" s="72">
        <f t="shared" si="23"/>
        <v>2544.8999999999996</v>
      </c>
      <c r="AD83" s="72">
        <f t="shared" si="23"/>
        <v>2343.6799999999998</v>
      </c>
      <c r="AE83" s="72">
        <f t="shared" si="23"/>
        <v>2019.08</v>
      </c>
      <c r="AF83" s="72">
        <f t="shared" si="23"/>
        <v>1818.6799999999998</v>
      </c>
      <c r="AG83" s="78">
        <f t="shared" si="23"/>
        <v>4360.08</v>
      </c>
      <c r="AH83" s="54">
        <f t="shared" si="16"/>
        <v>2947.9</v>
      </c>
      <c r="AI83" s="55">
        <f t="shared" si="17"/>
        <v>270.97000000000003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50.01</v>
      </c>
      <c r="C84" s="171">
        <v>49.99</v>
      </c>
      <c r="D84" s="171">
        <v>50</v>
      </c>
      <c r="E84" s="171">
        <v>50.036999999999999</v>
      </c>
      <c r="F84" s="95">
        <v>50.088000000000001</v>
      </c>
      <c r="G84" s="95">
        <v>50.054000000000002</v>
      </c>
      <c r="H84" s="95">
        <v>50.043999999999997</v>
      </c>
      <c r="I84" s="95">
        <v>50.026000000000003</v>
      </c>
      <c r="J84" s="95">
        <v>50.1</v>
      </c>
      <c r="K84" s="95">
        <v>50.088000000000001</v>
      </c>
      <c r="L84" s="95">
        <v>49.85</v>
      </c>
      <c r="M84" s="95">
        <v>50.072000000000003</v>
      </c>
      <c r="N84" s="95">
        <v>50.021999999999998</v>
      </c>
      <c r="O84" s="95">
        <v>50.006</v>
      </c>
      <c r="P84" s="95">
        <v>50.13</v>
      </c>
      <c r="Q84" s="95">
        <v>49.95</v>
      </c>
      <c r="R84" s="95">
        <v>49.923000000000002</v>
      </c>
      <c r="S84" s="95">
        <v>50.101999999999997</v>
      </c>
      <c r="T84" s="95">
        <v>50.01</v>
      </c>
      <c r="U84" s="95">
        <v>50.055</v>
      </c>
      <c r="V84" s="95">
        <v>49.994</v>
      </c>
      <c r="W84" s="95">
        <v>50.033999999999999</v>
      </c>
      <c r="X84" s="95">
        <v>50.033999999999999</v>
      </c>
      <c r="Y84" s="95">
        <v>50.048000000000002</v>
      </c>
      <c r="Z84" s="95">
        <v>50.033000000000001</v>
      </c>
      <c r="AA84" s="95">
        <v>50.015000000000001</v>
      </c>
      <c r="AB84" s="95">
        <v>50.094000000000001</v>
      </c>
      <c r="AC84" s="95">
        <v>50.094000000000001</v>
      </c>
      <c r="AD84" s="95">
        <v>50.027000000000001</v>
      </c>
      <c r="AE84" s="95">
        <v>50.045999999999999</v>
      </c>
      <c r="AF84" s="95">
        <v>50.003</v>
      </c>
      <c r="AG84" s="96"/>
      <c r="AH84" s="54">
        <f t="shared" si="16"/>
        <v>50.13</v>
      </c>
      <c r="AI84" s="55">
        <f t="shared" si="17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127.7</v>
      </c>
      <c r="C85" s="172">
        <v>127.7</v>
      </c>
      <c r="D85" s="172">
        <v>127.7</v>
      </c>
      <c r="E85" s="172">
        <v>127.7</v>
      </c>
      <c r="F85" s="73">
        <v>128</v>
      </c>
      <c r="G85" s="73">
        <v>127</v>
      </c>
      <c r="H85" s="73">
        <v>126.2</v>
      </c>
      <c r="I85" s="73">
        <v>126.5</v>
      </c>
      <c r="J85" s="73">
        <v>124</v>
      </c>
      <c r="K85" s="73">
        <v>124</v>
      </c>
      <c r="L85" s="73">
        <v>124</v>
      </c>
      <c r="M85" s="73">
        <v>120.5</v>
      </c>
      <c r="N85" s="73">
        <v>123.8</v>
      </c>
      <c r="O85" s="73">
        <v>123.6</v>
      </c>
      <c r="P85" s="73">
        <v>122.5</v>
      </c>
      <c r="Q85" s="73">
        <v>125</v>
      </c>
      <c r="R85" s="73">
        <v>124</v>
      </c>
      <c r="S85" s="73">
        <v>125.1</v>
      </c>
      <c r="T85" s="73">
        <v>125.4</v>
      </c>
      <c r="U85" s="98">
        <v>124.5</v>
      </c>
      <c r="V85" s="98">
        <v>126.1</v>
      </c>
      <c r="W85" s="98">
        <v>126.6</v>
      </c>
      <c r="X85" s="98">
        <v>125.7</v>
      </c>
      <c r="Y85" s="98">
        <v>125.6</v>
      </c>
      <c r="Z85" s="98">
        <v>124.4</v>
      </c>
      <c r="AA85" s="98">
        <v>123.1</v>
      </c>
      <c r="AB85" s="73">
        <v>125.1</v>
      </c>
      <c r="AC85" s="73">
        <v>125.1</v>
      </c>
      <c r="AD85" s="73">
        <v>127.1</v>
      </c>
      <c r="AE85" s="73">
        <v>127.7</v>
      </c>
      <c r="AF85" s="73">
        <v>128.1</v>
      </c>
      <c r="AG85" s="99"/>
      <c r="AH85" s="54">
        <f t="shared" si="16"/>
        <v>128.1</v>
      </c>
      <c r="AI85" s="55">
        <f t="shared" si="17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131.69999999999999</v>
      </c>
      <c r="C86" s="172">
        <v>131.69999999999999</v>
      </c>
      <c r="D86" s="172">
        <v>131.69999999999999</v>
      </c>
      <c r="E86" s="172">
        <v>131.69999999999999</v>
      </c>
      <c r="F86" s="73">
        <v>132</v>
      </c>
      <c r="G86" s="73">
        <v>131</v>
      </c>
      <c r="H86" s="73">
        <v>130.19999999999999</v>
      </c>
      <c r="I86" s="73">
        <v>130</v>
      </c>
      <c r="J86" s="73">
        <v>128</v>
      </c>
      <c r="K86" s="73">
        <v>127.6</v>
      </c>
      <c r="L86" s="73">
        <v>127.4</v>
      </c>
      <c r="M86" s="73">
        <v>123.7</v>
      </c>
      <c r="N86" s="73">
        <v>126.4</v>
      </c>
      <c r="O86" s="73">
        <v>126.1</v>
      </c>
      <c r="P86" s="73">
        <v>125.4</v>
      </c>
      <c r="Q86" s="73">
        <v>128</v>
      </c>
      <c r="R86" s="73">
        <v>127.1</v>
      </c>
      <c r="S86" s="73">
        <v>128</v>
      </c>
      <c r="T86" s="73">
        <v>128.30000000000001</v>
      </c>
      <c r="U86" s="98">
        <v>127.8</v>
      </c>
      <c r="V86" s="98">
        <v>128.5</v>
      </c>
      <c r="W86" s="98">
        <v>128.5</v>
      </c>
      <c r="X86" s="98">
        <v>127.1</v>
      </c>
      <c r="Y86" s="98">
        <v>126.5</v>
      </c>
      <c r="Z86" s="98">
        <v>125.4</v>
      </c>
      <c r="AA86" s="98">
        <v>125</v>
      </c>
      <c r="AB86" s="73">
        <v>126.3</v>
      </c>
      <c r="AC86" s="73">
        <v>126.3</v>
      </c>
      <c r="AD86" s="73">
        <v>129.4</v>
      </c>
      <c r="AE86" s="73">
        <v>130.9</v>
      </c>
      <c r="AF86" s="73">
        <v>131.30000000000001</v>
      </c>
      <c r="AG86" s="99"/>
      <c r="AH86" s="54">
        <f t="shared" si="16"/>
        <v>132</v>
      </c>
      <c r="AI86" s="55">
        <f t="shared" si="17"/>
        <v>123.7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128.69999999999999</v>
      </c>
      <c r="C87" s="172">
        <v>128.69999999999999</v>
      </c>
      <c r="D87" s="172">
        <v>128.69999999999999</v>
      </c>
      <c r="E87" s="172">
        <v>128.69999999999999</v>
      </c>
      <c r="F87" s="73">
        <v>128</v>
      </c>
      <c r="G87" s="73">
        <v>127</v>
      </c>
      <c r="H87" s="73">
        <v>128.6</v>
      </c>
      <c r="I87" s="73">
        <v>127.8</v>
      </c>
      <c r="J87" s="73">
        <v>127</v>
      </c>
      <c r="K87" s="73">
        <v>127</v>
      </c>
      <c r="L87" s="73">
        <v>128.5</v>
      </c>
      <c r="M87" s="73">
        <v>129.69999999999999</v>
      </c>
      <c r="N87" s="73">
        <v>130.4</v>
      </c>
      <c r="O87" s="73">
        <v>125.8</v>
      </c>
      <c r="P87" s="73">
        <v>130.19999999999999</v>
      </c>
      <c r="Q87" s="73">
        <v>130</v>
      </c>
      <c r="R87" s="73">
        <v>129.80000000000001</v>
      </c>
      <c r="S87" s="73">
        <v>129.80000000000001</v>
      </c>
      <c r="T87" s="73">
        <v>128.30000000000001</v>
      </c>
      <c r="U87" s="73">
        <v>127.1</v>
      </c>
      <c r="V87" s="73">
        <v>128.19999999999999</v>
      </c>
      <c r="W87" s="73">
        <v>126.8</v>
      </c>
      <c r="X87" s="98">
        <v>127.1</v>
      </c>
      <c r="Y87" s="98">
        <v>130.30000000000001</v>
      </c>
      <c r="Z87" s="98">
        <v>130</v>
      </c>
      <c r="AA87" s="98">
        <v>130.5</v>
      </c>
      <c r="AB87" s="73">
        <v>130.6</v>
      </c>
      <c r="AC87" s="73">
        <v>130.6</v>
      </c>
      <c r="AD87" s="73">
        <v>130.6</v>
      </c>
      <c r="AE87" s="73">
        <v>130.6</v>
      </c>
      <c r="AF87" s="73">
        <v>131.1</v>
      </c>
      <c r="AG87" s="99"/>
      <c r="AH87" s="54">
        <f t="shared" si="16"/>
        <v>131.1</v>
      </c>
      <c r="AI87" s="55">
        <f t="shared" si="17"/>
        <v>125.8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131.9</v>
      </c>
      <c r="C88" s="172">
        <v>131.9</v>
      </c>
      <c r="D88" s="172">
        <v>131.9</v>
      </c>
      <c r="E88" s="172">
        <v>131.9</v>
      </c>
      <c r="F88" s="73">
        <v>131</v>
      </c>
      <c r="G88" s="73">
        <v>130</v>
      </c>
      <c r="H88" s="73">
        <v>130.30000000000001</v>
      </c>
      <c r="I88" s="73">
        <v>129.80000000000001</v>
      </c>
      <c r="J88" s="73">
        <v>128</v>
      </c>
      <c r="K88" s="73">
        <v>129</v>
      </c>
      <c r="L88" s="73">
        <v>130</v>
      </c>
      <c r="M88" s="73">
        <v>133.30000000000001</v>
      </c>
      <c r="N88" s="73">
        <v>134.30000000000001</v>
      </c>
      <c r="O88" s="73">
        <v>131.9</v>
      </c>
      <c r="P88" s="73">
        <v>134.5</v>
      </c>
      <c r="Q88" s="73">
        <v>133.9</v>
      </c>
      <c r="R88" s="73">
        <v>133.80000000000001</v>
      </c>
      <c r="S88" s="73">
        <v>134</v>
      </c>
      <c r="T88" s="73">
        <v>132.4</v>
      </c>
      <c r="U88" s="73">
        <v>130.9</v>
      </c>
      <c r="V88" s="73">
        <v>131.80000000000001</v>
      </c>
      <c r="W88" s="73">
        <v>130.19999999999999</v>
      </c>
      <c r="X88" s="98">
        <v>132.1</v>
      </c>
      <c r="Y88" s="98">
        <v>135.69999999999999</v>
      </c>
      <c r="Z88" s="98">
        <v>134</v>
      </c>
      <c r="AA88" s="98">
        <v>134.6</v>
      </c>
      <c r="AB88" s="73">
        <v>133.6</v>
      </c>
      <c r="AC88" s="73">
        <v>133.6</v>
      </c>
      <c r="AD88" s="73">
        <v>132.9</v>
      </c>
      <c r="AE88" s="73">
        <v>133.5</v>
      </c>
      <c r="AF88" s="73">
        <v>133.69999999999999</v>
      </c>
      <c r="AG88" s="99"/>
      <c r="AH88" s="54">
        <f t="shared" si="16"/>
        <v>135.69999999999999</v>
      </c>
      <c r="AI88" s="55">
        <f t="shared" si="17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134.1</v>
      </c>
      <c r="C89" s="173">
        <v>134.1</v>
      </c>
      <c r="D89" s="173">
        <v>134.1</v>
      </c>
      <c r="E89" s="173">
        <v>134.1</v>
      </c>
      <c r="F89" s="101">
        <v>130</v>
      </c>
      <c r="G89" s="101">
        <v>132</v>
      </c>
      <c r="H89" s="101">
        <v>129.80000000000001</v>
      </c>
      <c r="I89" s="101">
        <v>133.80000000000001</v>
      </c>
      <c r="J89" s="101">
        <v>131.80000000000001</v>
      </c>
      <c r="K89" s="101">
        <v>131.5</v>
      </c>
      <c r="L89" s="101">
        <v>133.5</v>
      </c>
      <c r="M89" s="101">
        <v>133.1</v>
      </c>
      <c r="N89" s="101">
        <v>133.6</v>
      </c>
      <c r="O89" s="101">
        <v>132.30000000000001</v>
      </c>
      <c r="P89" s="101">
        <v>131.5</v>
      </c>
      <c r="Q89" s="101">
        <v>132</v>
      </c>
      <c r="R89" s="101">
        <v>132.80000000000001</v>
      </c>
      <c r="S89" s="101">
        <v>130.69999999999999</v>
      </c>
      <c r="T89" s="101">
        <v>133.30000000000001</v>
      </c>
      <c r="U89" s="101">
        <v>131.69999999999999</v>
      </c>
      <c r="V89" s="101">
        <v>134.5</v>
      </c>
      <c r="W89" s="101">
        <v>131.80000000000001</v>
      </c>
      <c r="X89" s="98">
        <v>130.4</v>
      </c>
      <c r="Y89" s="98">
        <v>131.30000000000001</v>
      </c>
      <c r="Z89" s="98">
        <v>131.19999999999999</v>
      </c>
      <c r="AA89" s="98">
        <v>132.19999999999999</v>
      </c>
      <c r="AB89" s="101">
        <v>130</v>
      </c>
      <c r="AC89" s="101">
        <v>130</v>
      </c>
      <c r="AD89" s="101">
        <v>129.80000000000001</v>
      </c>
      <c r="AE89" s="101">
        <v>129.6</v>
      </c>
      <c r="AF89" s="101">
        <v>129.5</v>
      </c>
      <c r="AG89" s="102"/>
      <c r="AH89" s="54">
        <f t="shared" si="16"/>
        <v>134.5</v>
      </c>
      <c r="AI89" s="55">
        <f t="shared" si="17"/>
        <v>129.5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136.30000000000001</v>
      </c>
      <c r="C90" s="172">
        <v>136.30000000000001</v>
      </c>
      <c r="D90" s="172">
        <v>136.30000000000001</v>
      </c>
      <c r="E90" s="172">
        <v>136.30000000000001</v>
      </c>
      <c r="F90" s="73">
        <v>138</v>
      </c>
      <c r="G90" s="73">
        <v>136.69999999999999</v>
      </c>
      <c r="H90" s="73">
        <v>136.30000000000001</v>
      </c>
      <c r="I90" s="73">
        <v>133.69999999999999</v>
      </c>
      <c r="J90" s="73">
        <v>132.5</v>
      </c>
      <c r="K90" s="73">
        <v>131</v>
      </c>
      <c r="L90" s="73">
        <v>131.69999999999999</v>
      </c>
      <c r="M90" s="73">
        <v>131.5</v>
      </c>
      <c r="N90" s="73">
        <v>129.6</v>
      </c>
      <c r="O90" s="73">
        <v>138.19999999999999</v>
      </c>
      <c r="P90" s="73">
        <v>136.69999999999999</v>
      </c>
      <c r="Q90" s="73">
        <v>133</v>
      </c>
      <c r="R90" s="73">
        <v>135.4</v>
      </c>
      <c r="S90" s="73">
        <v>130</v>
      </c>
      <c r="T90" s="73">
        <v>128.80000000000001</v>
      </c>
      <c r="U90" s="73">
        <v>130.19999999999999</v>
      </c>
      <c r="V90" s="73">
        <v>132.30000000000001</v>
      </c>
      <c r="W90" s="73">
        <v>132.19999999999999</v>
      </c>
      <c r="X90" s="98">
        <v>128.1</v>
      </c>
      <c r="Y90" s="98">
        <v>134.4</v>
      </c>
      <c r="Z90" s="98">
        <v>135</v>
      </c>
      <c r="AA90" s="98">
        <v>132.5</v>
      </c>
      <c r="AB90" s="73">
        <v>135.4</v>
      </c>
      <c r="AC90" s="73">
        <v>135.4</v>
      </c>
      <c r="AD90" s="73">
        <v>135.4</v>
      </c>
      <c r="AE90" s="73">
        <v>135.5</v>
      </c>
      <c r="AF90" s="73">
        <v>137.1</v>
      </c>
      <c r="AG90" s="99"/>
      <c r="AH90" s="54">
        <f t="shared" si="16"/>
        <v>138.19999999999999</v>
      </c>
      <c r="AI90" s="55">
        <f t="shared" si="17"/>
        <v>128.1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66.7</v>
      </c>
      <c r="C91" s="174">
        <v>66.7</v>
      </c>
      <c r="D91" s="174">
        <v>66.7</v>
      </c>
      <c r="E91" s="174">
        <v>66.7</v>
      </c>
      <c r="F91" s="103">
        <v>67</v>
      </c>
      <c r="G91" s="103">
        <v>66.599999999999994</v>
      </c>
      <c r="H91" s="103">
        <v>66.099999999999994</v>
      </c>
      <c r="I91" s="103">
        <v>65.900000000000006</v>
      </c>
      <c r="J91" s="103">
        <v>64.8</v>
      </c>
      <c r="K91" s="103">
        <v>65</v>
      </c>
      <c r="L91" s="103">
        <v>64.900000000000006</v>
      </c>
      <c r="M91" s="103">
        <v>62.8</v>
      </c>
      <c r="N91" s="103">
        <v>64.3</v>
      </c>
      <c r="O91" s="103">
        <v>64</v>
      </c>
      <c r="P91" s="103">
        <v>63.6</v>
      </c>
      <c r="Q91" s="103">
        <v>64.599999999999994</v>
      </c>
      <c r="R91" s="103">
        <v>64.400000000000006</v>
      </c>
      <c r="S91" s="103">
        <v>64.8</v>
      </c>
      <c r="T91" s="103">
        <v>65.099999999999994</v>
      </c>
      <c r="U91" s="103">
        <v>64.599999999999994</v>
      </c>
      <c r="V91" s="103">
        <v>65.099999999999994</v>
      </c>
      <c r="W91" s="103">
        <v>65.2</v>
      </c>
      <c r="X91" s="103">
        <v>64.5</v>
      </c>
      <c r="Y91" s="103">
        <v>63.9</v>
      </c>
      <c r="Z91" s="103">
        <v>63.3</v>
      </c>
      <c r="AA91" s="103">
        <v>63.2</v>
      </c>
      <c r="AB91" s="103">
        <v>64.099999999999994</v>
      </c>
      <c r="AC91" s="103">
        <v>64.099999999999994</v>
      </c>
      <c r="AD91" s="103">
        <v>65.2</v>
      </c>
      <c r="AE91" s="103">
        <v>66.3</v>
      </c>
      <c r="AF91" s="103">
        <v>66.8</v>
      </c>
      <c r="AG91" s="104"/>
      <c r="AH91" s="54">
        <f t="shared" si="16"/>
        <v>67</v>
      </c>
      <c r="AI91" s="55">
        <f t="shared" si="17"/>
        <v>62.8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315.04000000000002</v>
      </c>
      <c r="C93" s="110">
        <f>SUM(C15,C18,C21:C22,C42,C44:C45,C47,C49,C94:C97,C102,C108,C114,C123,C125,C137,C144,C147:C148,C155,C157,C159,C163:C165,C167:C169,C174,C180:C181,C183:C185,C193,C198)</f>
        <v>189.64</v>
      </c>
      <c r="D93" s="110">
        <f t="shared" ref="D93:AF93" si="24">SUM(D15,D18,D21:D22,D42,D44:D45,D47,D49,D94:D97,D102,D108,D114,D123,D125,D137,D144,D147:D148,D155,D157,D159,D163:D165,D167:D169,D174,D180:D181,D183:D185,D193,D198)</f>
        <v>184.53999999999996</v>
      </c>
      <c r="E93" s="110">
        <f t="shared" si="24"/>
        <v>177.83999999999997</v>
      </c>
      <c r="F93" s="110">
        <f t="shared" si="24"/>
        <v>186.83999999999997</v>
      </c>
      <c r="G93" s="109">
        <f t="shared" si="24"/>
        <v>209.23999999999998</v>
      </c>
      <c r="H93" s="109">
        <f t="shared" si="24"/>
        <v>228.94</v>
      </c>
      <c r="I93" s="109">
        <f t="shared" si="24"/>
        <v>257.94000000000005</v>
      </c>
      <c r="J93" s="109">
        <f t="shared" si="24"/>
        <v>293.24</v>
      </c>
      <c r="K93" s="109">
        <f t="shared" si="24"/>
        <v>343.54</v>
      </c>
      <c r="L93" s="109">
        <f t="shared" si="24"/>
        <v>390.14000000000004</v>
      </c>
      <c r="M93" s="109">
        <f t="shared" si="24"/>
        <v>408.54</v>
      </c>
      <c r="N93" s="109">
        <f t="shared" si="24"/>
        <v>418.54</v>
      </c>
      <c r="O93" s="109">
        <f t="shared" si="24"/>
        <v>389.94000000000005</v>
      </c>
      <c r="P93" s="109">
        <f t="shared" si="24"/>
        <v>371.84000000000003</v>
      </c>
      <c r="Q93" s="109">
        <f t="shared" si="24"/>
        <v>336.84000000000003</v>
      </c>
      <c r="R93" s="109">
        <f t="shared" si="24"/>
        <v>335.94000000000005</v>
      </c>
      <c r="S93" s="109">
        <f t="shared" si="24"/>
        <v>303.34000000000003</v>
      </c>
      <c r="T93" s="109">
        <f t="shared" si="24"/>
        <v>333.34000000000003</v>
      </c>
      <c r="U93" s="109">
        <f t="shared" si="24"/>
        <v>331.44</v>
      </c>
      <c r="V93" s="109">
        <f t="shared" si="24"/>
        <v>364.54</v>
      </c>
      <c r="W93" s="109">
        <f t="shared" si="24"/>
        <v>408.74</v>
      </c>
      <c r="X93" s="109">
        <f t="shared" si="24"/>
        <v>450.04000000000008</v>
      </c>
      <c r="Y93" s="109">
        <v>473.69708333333335</v>
      </c>
      <c r="Z93" s="109">
        <f t="shared" si="24"/>
        <v>445.04000000000008</v>
      </c>
      <c r="AA93" s="109">
        <f t="shared" si="24"/>
        <v>443.14000000000004</v>
      </c>
      <c r="AB93" s="109">
        <f t="shared" si="24"/>
        <v>422.34000000000003</v>
      </c>
      <c r="AC93" s="109">
        <f t="shared" si="24"/>
        <v>405.84000000000003</v>
      </c>
      <c r="AD93" s="109">
        <f t="shared" si="24"/>
        <v>363.24</v>
      </c>
      <c r="AE93" s="109">
        <f t="shared" si="24"/>
        <v>280.93999999999994</v>
      </c>
      <c r="AF93" s="109">
        <f t="shared" si="24"/>
        <v>213.43999999999997</v>
      </c>
      <c r="AG93" s="111"/>
      <c r="AH93" s="54">
        <f>MAX(C93:AF93)</f>
        <v>473.69708333333335</v>
      </c>
      <c r="AI93" s="55">
        <f>MIN(C93:AF93)</f>
        <v>177.83999999999997</v>
      </c>
    </row>
    <row r="94" spans="1:88" x14ac:dyDescent="0.25">
      <c r="A94" s="112" t="s">
        <v>98</v>
      </c>
      <c r="B94" s="175">
        <v>32</v>
      </c>
      <c r="C94" s="58">
        <v>20</v>
      </c>
      <c r="D94" s="58">
        <v>17</v>
      </c>
      <c r="E94" s="58">
        <v>15.4</v>
      </c>
      <c r="F94" s="58">
        <v>17.399999999999999</v>
      </c>
      <c r="G94" s="114">
        <v>14</v>
      </c>
      <c r="H94" s="114">
        <v>8.8000000000000007</v>
      </c>
      <c r="I94" s="114">
        <v>25.6</v>
      </c>
      <c r="J94" s="114">
        <v>33.4</v>
      </c>
      <c r="K94" s="114">
        <v>51.5</v>
      </c>
      <c r="L94" s="114">
        <v>65.5</v>
      </c>
      <c r="M94" s="113">
        <v>69</v>
      </c>
      <c r="N94" s="114">
        <v>71</v>
      </c>
      <c r="O94" s="114">
        <v>68.3</v>
      </c>
      <c r="P94" s="114">
        <v>59.8</v>
      </c>
      <c r="Q94" s="114">
        <v>31.8</v>
      </c>
      <c r="R94" s="114">
        <v>28</v>
      </c>
      <c r="S94" s="114">
        <v>22.8</v>
      </c>
      <c r="T94" s="114">
        <v>42.2</v>
      </c>
      <c r="U94" s="113">
        <v>38.700000000000003</v>
      </c>
      <c r="V94" s="113">
        <v>87.7</v>
      </c>
      <c r="W94" s="113">
        <v>85</v>
      </c>
      <c r="X94" s="114">
        <v>74.599999999999994</v>
      </c>
      <c r="Y94" s="114">
        <v>82.4</v>
      </c>
      <c r="Z94" s="114">
        <v>72.099999999999994</v>
      </c>
      <c r="AA94" s="114">
        <v>77.2</v>
      </c>
      <c r="AB94" s="113">
        <v>99.1</v>
      </c>
      <c r="AC94" s="113">
        <v>88.8</v>
      </c>
      <c r="AD94" s="113">
        <v>63</v>
      </c>
      <c r="AE94" s="113">
        <v>38.200000000000003</v>
      </c>
      <c r="AF94" s="113">
        <v>33.5</v>
      </c>
      <c r="AG94" s="115">
        <v>75</v>
      </c>
      <c r="AH94" s="54">
        <f t="shared" ref="AH94:AH99" si="25">IF(ABS(MAX(C94:AF94))&gt;ABS(MIN(C94:AF94)),MAX(C94:AF94),MIN(C94:AF94))</f>
        <v>99.1</v>
      </c>
      <c r="AI94" s="116">
        <f t="shared" ref="AI94:AI99" si="26">INDEX($C$9:$AF$9,1,MATCH(AH94,C94:AF94,0))</f>
        <v>0.83333333333333337</v>
      </c>
    </row>
    <row r="95" spans="1:88" x14ac:dyDescent="0.25">
      <c r="A95" s="117" t="s">
        <v>99</v>
      </c>
      <c r="B95" s="176">
        <f>26.4+29.5</f>
        <v>55.9</v>
      </c>
      <c r="C95" s="60">
        <v>-58</v>
      </c>
      <c r="D95" s="60">
        <v>-60</v>
      </c>
      <c r="E95" s="60">
        <v>-66</v>
      </c>
      <c r="F95" s="60">
        <v>-60.4</v>
      </c>
      <c r="G95" s="60">
        <v>-47.7</v>
      </c>
      <c r="H95" s="60">
        <v>-43.9</v>
      </c>
      <c r="I95" s="60">
        <v>-32.4</v>
      </c>
      <c r="J95" s="60">
        <v>-24.9</v>
      </c>
      <c r="K95" s="60">
        <v>-13.8</v>
      </c>
      <c r="L95" s="60">
        <v>6.8</v>
      </c>
      <c r="M95" s="60">
        <v>12</v>
      </c>
      <c r="N95" s="60">
        <v>8</v>
      </c>
      <c r="O95" s="60">
        <v>6</v>
      </c>
      <c r="P95" s="60">
        <f>6.4+6.3</f>
        <v>12.7</v>
      </c>
      <c r="Q95" s="60">
        <v>0</v>
      </c>
      <c r="R95" s="60">
        <v>3</v>
      </c>
      <c r="S95" s="60">
        <v>7</v>
      </c>
      <c r="T95" s="60">
        <v>3</v>
      </c>
      <c r="U95" s="60">
        <v>0.5</v>
      </c>
      <c r="V95" s="60">
        <v>11</v>
      </c>
      <c r="W95" s="60">
        <f>16+13</f>
        <v>29</v>
      </c>
      <c r="X95" s="60">
        <f>24+22</f>
        <v>46</v>
      </c>
      <c r="Y95" s="60">
        <f>28+27</f>
        <v>55</v>
      </c>
      <c r="Z95" s="60">
        <v>61</v>
      </c>
      <c r="AA95" s="60">
        <v>46</v>
      </c>
      <c r="AB95" s="73">
        <v>25.5</v>
      </c>
      <c r="AC95" s="73">
        <v>12.7</v>
      </c>
      <c r="AD95" s="73">
        <v>8</v>
      </c>
      <c r="AE95" s="73">
        <v>-22.3</v>
      </c>
      <c r="AF95" s="73">
        <v>-48.4</v>
      </c>
      <c r="AG95" s="115">
        <v>240</v>
      </c>
      <c r="AH95" s="54">
        <f t="shared" si="25"/>
        <v>-66</v>
      </c>
      <c r="AI95" s="116">
        <f t="shared" si="26"/>
        <v>0.125</v>
      </c>
    </row>
    <row r="96" spans="1:88" x14ac:dyDescent="0.25">
      <c r="A96" s="117" t="s">
        <v>100</v>
      </c>
      <c r="B96" s="176">
        <v>-5.6</v>
      </c>
      <c r="C96" s="60">
        <v>-6.1</v>
      </c>
      <c r="D96" s="60">
        <v>-6.2</v>
      </c>
      <c r="E96" s="60">
        <v>-6.9</v>
      </c>
      <c r="F96" s="60">
        <v>-5.5</v>
      </c>
      <c r="G96" s="60">
        <v>-2.1</v>
      </c>
      <c r="H96" s="60">
        <v>-1.7</v>
      </c>
      <c r="I96" s="60">
        <v>3.3</v>
      </c>
      <c r="J96" s="60">
        <v>3.5</v>
      </c>
      <c r="K96" s="60">
        <v>5.3</v>
      </c>
      <c r="L96" s="60">
        <v>14.4</v>
      </c>
      <c r="M96" s="60">
        <v>18</v>
      </c>
      <c r="N96" s="60">
        <v>27</v>
      </c>
      <c r="O96" s="60">
        <v>18.899999999999999</v>
      </c>
      <c r="P96" s="60">
        <v>12.1</v>
      </c>
      <c r="Q96" s="60">
        <v>12.5</v>
      </c>
      <c r="R96" s="60">
        <v>13.4</v>
      </c>
      <c r="S96" s="60">
        <v>14.9</v>
      </c>
      <c r="T96" s="60">
        <v>10.6</v>
      </c>
      <c r="U96" s="60">
        <v>8.6</v>
      </c>
      <c r="V96" s="60">
        <v>20.5</v>
      </c>
      <c r="W96" s="60">
        <v>41.3</v>
      </c>
      <c r="X96" s="60">
        <v>55.7</v>
      </c>
      <c r="Y96" s="60">
        <v>38.1</v>
      </c>
      <c r="Z96" s="60">
        <v>34</v>
      </c>
      <c r="AA96" s="60">
        <v>45.3</v>
      </c>
      <c r="AB96" s="73">
        <v>34.299999999999997</v>
      </c>
      <c r="AC96" s="73">
        <v>44.6</v>
      </c>
      <c r="AD96" s="73">
        <v>23.9</v>
      </c>
      <c r="AE96" s="73">
        <v>11.7</v>
      </c>
      <c r="AF96" s="73">
        <v>0</v>
      </c>
      <c r="AG96" s="115">
        <v>60</v>
      </c>
      <c r="AH96" s="54">
        <f t="shared" si="25"/>
        <v>55.7</v>
      </c>
      <c r="AI96" s="116">
        <f t="shared" si="26"/>
        <v>0.75</v>
      </c>
    </row>
    <row r="97" spans="1:37" x14ac:dyDescent="0.25">
      <c r="A97" s="118" t="s">
        <v>101</v>
      </c>
      <c r="B97" s="177">
        <v>36.700000000000003</v>
      </c>
      <c r="C97" s="63">
        <v>38</v>
      </c>
      <c r="D97" s="63">
        <v>38</v>
      </c>
      <c r="E97" s="63">
        <v>39.6</v>
      </c>
      <c r="F97" s="63">
        <v>39.799999999999997</v>
      </c>
      <c r="G97" s="63">
        <v>49.3</v>
      </c>
      <c r="H97" s="63">
        <v>70</v>
      </c>
      <c r="I97" s="63">
        <v>65.900000000000006</v>
      </c>
      <c r="J97" s="63">
        <v>85.7</v>
      </c>
      <c r="K97" s="63">
        <v>105</v>
      </c>
      <c r="L97" s="63">
        <v>107.9</v>
      </c>
      <c r="M97" s="63">
        <v>114</v>
      </c>
      <c r="N97" s="63">
        <v>117</v>
      </c>
      <c r="O97" s="63">
        <v>108.2</v>
      </c>
      <c r="P97" s="63">
        <v>98.7</v>
      </c>
      <c r="Q97" s="63">
        <v>104</v>
      </c>
      <c r="R97" s="63">
        <v>103</v>
      </c>
      <c r="S97" s="63">
        <v>105.5</v>
      </c>
      <c r="T97" s="63">
        <v>89.7</v>
      </c>
      <c r="U97" s="63">
        <v>95.8</v>
      </c>
      <c r="V97" s="63">
        <v>56.8</v>
      </c>
      <c r="W97" s="63">
        <v>65.599999999999994</v>
      </c>
      <c r="X97" s="63">
        <v>85.9</v>
      </c>
      <c r="Y97" s="63">
        <v>87.6</v>
      </c>
      <c r="Z97" s="63">
        <v>84.1</v>
      </c>
      <c r="AA97" s="63">
        <v>80.8</v>
      </c>
      <c r="AB97" s="119">
        <v>72.5</v>
      </c>
      <c r="AC97" s="119">
        <v>69.400000000000006</v>
      </c>
      <c r="AD97" s="119">
        <v>78.8</v>
      </c>
      <c r="AE97" s="119">
        <v>63.8</v>
      </c>
      <c r="AF97" s="119">
        <v>38.5</v>
      </c>
      <c r="AG97" s="120">
        <v>120</v>
      </c>
      <c r="AH97" s="54">
        <f t="shared" si="25"/>
        <v>117</v>
      </c>
      <c r="AI97" s="116">
        <f t="shared" si="26"/>
        <v>0.375</v>
      </c>
    </row>
    <row r="98" spans="1:37" x14ac:dyDescent="0.25">
      <c r="A98" s="118" t="s">
        <v>102</v>
      </c>
      <c r="B98" s="177">
        <v>50.5</v>
      </c>
      <c r="C98" s="63">
        <v>49</v>
      </c>
      <c r="D98" s="63">
        <v>48</v>
      </c>
      <c r="E98" s="63">
        <v>47.9</v>
      </c>
      <c r="F98" s="63">
        <v>50.2</v>
      </c>
      <c r="G98" s="63">
        <v>56.8</v>
      </c>
      <c r="H98" s="63">
        <v>75.8</v>
      </c>
      <c r="I98" s="63">
        <v>66.400000000000006</v>
      </c>
      <c r="J98" s="63">
        <v>80.7</v>
      </c>
      <c r="K98" s="63">
        <v>83.8</v>
      </c>
      <c r="L98" s="63">
        <v>82.2</v>
      </c>
      <c r="M98" s="63">
        <v>96</v>
      </c>
      <c r="N98" s="63">
        <v>76</v>
      </c>
      <c r="O98" s="63">
        <v>70.5</v>
      </c>
      <c r="P98" s="63">
        <v>83.9</v>
      </c>
      <c r="Q98" s="63">
        <v>97</v>
      </c>
      <c r="R98" s="63">
        <v>92</v>
      </c>
      <c r="S98" s="63">
        <v>98.4</v>
      </c>
      <c r="T98" s="63">
        <v>86.6</v>
      </c>
      <c r="U98" s="63">
        <v>91.2</v>
      </c>
      <c r="V98" s="63">
        <v>32.799999999999997</v>
      </c>
      <c r="W98" s="63">
        <v>33.1</v>
      </c>
      <c r="X98" s="63">
        <v>54.5</v>
      </c>
      <c r="Y98" s="63">
        <v>56.9</v>
      </c>
      <c r="Z98" s="63">
        <v>75.3</v>
      </c>
      <c r="AA98" s="63">
        <v>102</v>
      </c>
      <c r="AB98" s="119">
        <v>66.099999999999994</v>
      </c>
      <c r="AC98" s="119">
        <v>56.2</v>
      </c>
      <c r="AD98" s="119">
        <v>66</v>
      </c>
      <c r="AE98" s="119">
        <v>64.5</v>
      </c>
      <c r="AF98" s="119">
        <v>47.7</v>
      </c>
      <c r="AG98" s="120"/>
      <c r="AH98" s="54">
        <f t="shared" si="25"/>
        <v>102</v>
      </c>
      <c r="AI98" s="116">
        <f t="shared" si="26"/>
        <v>0.8125</v>
      </c>
    </row>
    <row r="99" spans="1:37" ht="15.75" thickBot="1" x14ac:dyDescent="0.3">
      <c r="A99" s="118" t="s">
        <v>217</v>
      </c>
      <c r="B99" s="177">
        <v>41.1</v>
      </c>
      <c r="C99" s="63">
        <v>40</v>
      </c>
      <c r="D99" s="63">
        <v>39</v>
      </c>
      <c r="E99" s="63">
        <v>54.4</v>
      </c>
      <c r="F99" s="63">
        <v>51.6</v>
      </c>
      <c r="G99" s="63">
        <v>39.6</v>
      </c>
      <c r="H99" s="63">
        <v>44.3</v>
      </c>
      <c r="I99" s="63">
        <v>30</v>
      </c>
      <c r="J99" s="63">
        <v>31.4</v>
      </c>
      <c r="K99" s="63">
        <v>38.9</v>
      </c>
      <c r="L99" s="63">
        <v>21.9</v>
      </c>
      <c r="M99" s="63">
        <v>11</v>
      </c>
      <c r="N99" s="63">
        <v>14</v>
      </c>
      <c r="O99" s="63">
        <v>11</v>
      </c>
      <c r="P99" s="63">
        <v>10.8</v>
      </c>
      <c r="Q99" s="63">
        <v>26</v>
      </c>
      <c r="R99" s="63">
        <v>15</v>
      </c>
      <c r="S99" s="63">
        <v>27.6</v>
      </c>
      <c r="T99" s="63">
        <v>2.9</v>
      </c>
      <c r="U99" s="63">
        <v>12.2</v>
      </c>
      <c r="V99" s="63">
        <v>-6.8</v>
      </c>
      <c r="W99" s="63">
        <v>0</v>
      </c>
      <c r="X99" s="63">
        <v>6.5</v>
      </c>
      <c r="Y99" s="63">
        <v>1.6</v>
      </c>
      <c r="Z99" s="63">
        <v>30</v>
      </c>
      <c r="AA99" s="63">
        <v>23</v>
      </c>
      <c r="AB99" s="119">
        <v>-8.9</v>
      </c>
      <c r="AC99" s="119">
        <v>8.6</v>
      </c>
      <c r="AD99" s="119">
        <v>33.200000000000003</v>
      </c>
      <c r="AE99" s="119">
        <v>37.200000000000003</v>
      </c>
      <c r="AF99" s="119">
        <v>41.7</v>
      </c>
      <c r="AG99" s="121"/>
      <c r="AH99" s="54">
        <f t="shared" si="25"/>
        <v>54.4</v>
      </c>
      <c r="AI99" s="116">
        <f t="shared" si="26"/>
        <v>0.125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>
        <v>435</v>
      </c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7">AF101</f>
        <v>9.9</v>
      </c>
      <c r="C101" s="53">
        <v>9.9</v>
      </c>
      <c r="D101" s="127">
        <f t="shared" ref="D101:S106" si="28">C101</f>
        <v>9.9</v>
      </c>
      <c r="E101" s="127">
        <f t="shared" si="28"/>
        <v>9.9</v>
      </c>
      <c r="F101" s="127">
        <f t="shared" si="28"/>
        <v>9.9</v>
      </c>
      <c r="G101" s="127">
        <f t="shared" si="28"/>
        <v>9.9</v>
      </c>
      <c r="H101" s="127">
        <f t="shared" si="28"/>
        <v>9.9</v>
      </c>
      <c r="I101" s="127">
        <f t="shared" si="28"/>
        <v>9.9</v>
      </c>
      <c r="J101" s="127">
        <f t="shared" si="28"/>
        <v>9.9</v>
      </c>
      <c r="K101" s="127">
        <f t="shared" si="28"/>
        <v>9.9</v>
      </c>
      <c r="L101" s="127">
        <f t="shared" si="28"/>
        <v>9.9</v>
      </c>
      <c r="M101" s="127">
        <f t="shared" si="28"/>
        <v>9.9</v>
      </c>
      <c r="N101" s="127">
        <f t="shared" si="28"/>
        <v>9.9</v>
      </c>
      <c r="O101" s="127">
        <f t="shared" si="28"/>
        <v>9.9</v>
      </c>
      <c r="P101" s="127">
        <f t="shared" si="28"/>
        <v>9.9</v>
      </c>
      <c r="Q101" s="127">
        <f t="shared" si="28"/>
        <v>9.9</v>
      </c>
      <c r="R101" s="127">
        <f t="shared" si="28"/>
        <v>9.9</v>
      </c>
      <c r="S101" s="127">
        <f t="shared" si="28"/>
        <v>9.9</v>
      </c>
      <c r="T101" s="127">
        <f t="shared" ref="T101:AF106" si="29">S101</f>
        <v>9.9</v>
      </c>
      <c r="U101" s="127">
        <f t="shared" si="29"/>
        <v>9.9</v>
      </c>
      <c r="V101" s="127">
        <f t="shared" si="29"/>
        <v>9.9</v>
      </c>
      <c r="W101" s="127">
        <f t="shared" si="29"/>
        <v>9.9</v>
      </c>
      <c r="X101" s="127">
        <f t="shared" si="29"/>
        <v>9.9</v>
      </c>
      <c r="Y101" s="127">
        <f t="shared" si="29"/>
        <v>9.9</v>
      </c>
      <c r="Z101" s="127">
        <f t="shared" si="29"/>
        <v>9.9</v>
      </c>
      <c r="AA101" s="127">
        <f t="shared" si="29"/>
        <v>9.9</v>
      </c>
      <c r="AB101" s="127">
        <f t="shared" si="29"/>
        <v>9.9</v>
      </c>
      <c r="AC101" s="127">
        <f t="shared" si="29"/>
        <v>9.9</v>
      </c>
      <c r="AD101" s="127">
        <f t="shared" si="29"/>
        <v>9.9</v>
      </c>
      <c r="AE101" s="127">
        <f t="shared" si="29"/>
        <v>9.9</v>
      </c>
      <c r="AF101" s="127">
        <f t="shared" si="29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7"/>
        <v>9.6</v>
      </c>
      <c r="C102" s="130">
        <v>9.6</v>
      </c>
      <c r="D102" s="129">
        <f t="shared" si="28"/>
        <v>9.6</v>
      </c>
      <c r="E102" s="129">
        <f t="shared" si="28"/>
        <v>9.6</v>
      </c>
      <c r="F102" s="129">
        <f t="shared" si="28"/>
        <v>9.6</v>
      </c>
      <c r="G102" s="129">
        <f t="shared" si="28"/>
        <v>9.6</v>
      </c>
      <c r="H102" s="129">
        <f t="shared" si="28"/>
        <v>9.6</v>
      </c>
      <c r="I102" s="129">
        <f t="shared" si="28"/>
        <v>9.6</v>
      </c>
      <c r="J102" s="129">
        <f t="shared" si="28"/>
        <v>9.6</v>
      </c>
      <c r="K102" s="129">
        <f t="shared" si="28"/>
        <v>9.6</v>
      </c>
      <c r="L102" s="129">
        <f t="shared" si="28"/>
        <v>9.6</v>
      </c>
      <c r="M102" s="129">
        <f t="shared" si="28"/>
        <v>9.6</v>
      </c>
      <c r="N102" s="129">
        <f t="shared" si="28"/>
        <v>9.6</v>
      </c>
      <c r="O102" s="129">
        <f t="shared" si="28"/>
        <v>9.6</v>
      </c>
      <c r="P102" s="129">
        <f t="shared" si="28"/>
        <v>9.6</v>
      </c>
      <c r="Q102" s="129">
        <f t="shared" si="28"/>
        <v>9.6</v>
      </c>
      <c r="R102" s="129">
        <f t="shared" si="28"/>
        <v>9.6</v>
      </c>
      <c r="S102" s="129">
        <f t="shared" si="28"/>
        <v>9.6</v>
      </c>
      <c r="T102" s="129">
        <f t="shared" si="29"/>
        <v>9.6</v>
      </c>
      <c r="U102" s="129">
        <f t="shared" si="29"/>
        <v>9.6</v>
      </c>
      <c r="V102" s="129">
        <f t="shared" si="29"/>
        <v>9.6</v>
      </c>
      <c r="W102" s="129">
        <f t="shared" si="29"/>
        <v>9.6</v>
      </c>
      <c r="X102" s="129">
        <f t="shared" si="29"/>
        <v>9.6</v>
      </c>
      <c r="Y102" s="129">
        <f t="shared" si="29"/>
        <v>9.6</v>
      </c>
      <c r="Z102" s="129">
        <f t="shared" si="29"/>
        <v>9.6</v>
      </c>
      <c r="AA102" s="129">
        <f t="shared" si="29"/>
        <v>9.6</v>
      </c>
      <c r="AB102" s="129">
        <f t="shared" si="29"/>
        <v>9.6</v>
      </c>
      <c r="AC102" s="129">
        <f t="shared" si="29"/>
        <v>9.6</v>
      </c>
      <c r="AD102" s="129">
        <f t="shared" si="29"/>
        <v>9.6</v>
      </c>
      <c r="AE102" s="129">
        <f t="shared" si="29"/>
        <v>9.6</v>
      </c>
      <c r="AF102" s="129">
        <f t="shared" si="29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7"/>
        <v>9.98</v>
      </c>
      <c r="C103" s="130">
        <v>9.98</v>
      </c>
      <c r="D103" s="129">
        <f t="shared" si="28"/>
        <v>9.98</v>
      </c>
      <c r="E103" s="129">
        <f t="shared" si="28"/>
        <v>9.98</v>
      </c>
      <c r="F103" s="129">
        <f t="shared" si="28"/>
        <v>9.98</v>
      </c>
      <c r="G103" s="129">
        <f t="shared" si="28"/>
        <v>9.98</v>
      </c>
      <c r="H103" s="129">
        <f t="shared" si="28"/>
        <v>9.98</v>
      </c>
      <c r="I103" s="129">
        <f t="shared" si="28"/>
        <v>9.98</v>
      </c>
      <c r="J103" s="129">
        <f t="shared" si="28"/>
        <v>9.98</v>
      </c>
      <c r="K103" s="129">
        <f t="shared" si="28"/>
        <v>9.98</v>
      </c>
      <c r="L103" s="129">
        <f t="shared" si="28"/>
        <v>9.98</v>
      </c>
      <c r="M103" s="129">
        <f t="shared" si="28"/>
        <v>9.98</v>
      </c>
      <c r="N103" s="129">
        <f t="shared" si="28"/>
        <v>9.98</v>
      </c>
      <c r="O103" s="129">
        <f t="shared" si="28"/>
        <v>9.98</v>
      </c>
      <c r="P103" s="129">
        <f t="shared" si="28"/>
        <v>9.98</v>
      </c>
      <c r="Q103" s="129">
        <f t="shared" si="28"/>
        <v>9.98</v>
      </c>
      <c r="R103" s="129">
        <f t="shared" si="28"/>
        <v>9.98</v>
      </c>
      <c r="S103" s="129">
        <f t="shared" si="28"/>
        <v>9.98</v>
      </c>
      <c r="T103" s="129">
        <f t="shared" si="29"/>
        <v>9.98</v>
      </c>
      <c r="U103" s="129">
        <f t="shared" si="29"/>
        <v>9.98</v>
      </c>
      <c r="V103" s="129">
        <f t="shared" si="29"/>
        <v>9.98</v>
      </c>
      <c r="W103" s="129">
        <f t="shared" si="29"/>
        <v>9.98</v>
      </c>
      <c r="X103" s="129">
        <f t="shared" si="29"/>
        <v>9.98</v>
      </c>
      <c r="Y103" s="129">
        <f t="shared" si="29"/>
        <v>9.98</v>
      </c>
      <c r="Z103" s="129">
        <f t="shared" si="29"/>
        <v>9.98</v>
      </c>
      <c r="AA103" s="129">
        <f t="shared" si="29"/>
        <v>9.98</v>
      </c>
      <c r="AB103" s="129">
        <f t="shared" si="29"/>
        <v>9.98</v>
      </c>
      <c r="AC103" s="129">
        <f t="shared" si="29"/>
        <v>9.98</v>
      </c>
      <c r="AD103" s="129">
        <f t="shared" si="29"/>
        <v>9.98</v>
      </c>
      <c r="AE103" s="129">
        <f t="shared" si="29"/>
        <v>9.98</v>
      </c>
      <c r="AF103" s="129">
        <f t="shared" si="29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7"/>
        <v>9.1</v>
      </c>
      <c r="C104" s="130">
        <v>9.1</v>
      </c>
      <c r="D104" s="129">
        <f t="shared" si="28"/>
        <v>9.1</v>
      </c>
      <c r="E104" s="129">
        <f t="shared" si="28"/>
        <v>9.1</v>
      </c>
      <c r="F104" s="129">
        <f t="shared" si="28"/>
        <v>9.1</v>
      </c>
      <c r="G104" s="129">
        <f t="shared" si="28"/>
        <v>9.1</v>
      </c>
      <c r="H104" s="129">
        <f t="shared" si="28"/>
        <v>9.1</v>
      </c>
      <c r="I104" s="129">
        <f t="shared" si="28"/>
        <v>9.1</v>
      </c>
      <c r="J104" s="129">
        <f t="shared" si="28"/>
        <v>9.1</v>
      </c>
      <c r="K104" s="129">
        <f t="shared" si="28"/>
        <v>9.1</v>
      </c>
      <c r="L104" s="129">
        <f t="shared" si="28"/>
        <v>9.1</v>
      </c>
      <c r="M104" s="129">
        <f t="shared" si="28"/>
        <v>9.1</v>
      </c>
      <c r="N104" s="129">
        <f t="shared" si="28"/>
        <v>9.1</v>
      </c>
      <c r="O104" s="129">
        <f t="shared" si="28"/>
        <v>9.1</v>
      </c>
      <c r="P104" s="129">
        <f t="shared" si="28"/>
        <v>9.1</v>
      </c>
      <c r="Q104" s="129">
        <f t="shared" si="28"/>
        <v>9.1</v>
      </c>
      <c r="R104" s="129">
        <f t="shared" si="28"/>
        <v>9.1</v>
      </c>
      <c r="S104" s="129">
        <f t="shared" si="28"/>
        <v>9.1</v>
      </c>
      <c r="T104" s="129">
        <f t="shared" si="29"/>
        <v>9.1</v>
      </c>
      <c r="U104" s="129">
        <f t="shared" si="29"/>
        <v>9.1</v>
      </c>
      <c r="V104" s="129">
        <f t="shared" si="29"/>
        <v>9.1</v>
      </c>
      <c r="W104" s="129">
        <f t="shared" si="29"/>
        <v>9.1</v>
      </c>
      <c r="X104" s="129">
        <f t="shared" si="29"/>
        <v>9.1</v>
      </c>
      <c r="Y104" s="129">
        <f t="shared" si="29"/>
        <v>9.1</v>
      </c>
      <c r="Z104" s="129">
        <f t="shared" si="29"/>
        <v>9.1</v>
      </c>
      <c r="AA104" s="129">
        <f t="shared" si="29"/>
        <v>9.1</v>
      </c>
      <c r="AB104" s="129">
        <f t="shared" si="29"/>
        <v>9.1</v>
      </c>
      <c r="AC104" s="129">
        <f t="shared" si="29"/>
        <v>9.1</v>
      </c>
      <c r="AD104" s="129">
        <f t="shared" si="29"/>
        <v>9.1</v>
      </c>
      <c r="AE104" s="129">
        <f t="shared" si="29"/>
        <v>9.1</v>
      </c>
      <c r="AF104" s="129">
        <f t="shared" si="29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7"/>
        <v>9.18</v>
      </c>
      <c r="C105" s="130">
        <v>9.18</v>
      </c>
      <c r="D105" s="129">
        <f t="shared" si="28"/>
        <v>9.18</v>
      </c>
      <c r="E105" s="129">
        <f t="shared" si="28"/>
        <v>9.18</v>
      </c>
      <c r="F105" s="129">
        <f t="shared" si="28"/>
        <v>9.18</v>
      </c>
      <c r="G105" s="129">
        <f t="shared" si="28"/>
        <v>9.18</v>
      </c>
      <c r="H105" s="129">
        <f t="shared" si="28"/>
        <v>9.18</v>
      </c>
      <c r="I105" s="129">
        <f t="shared" si="28"/>
        <v>9.18</v>
      </c>
      <c r="J105" s="129">
        <f t="shared" si="28"/>
        <v>9.18</v>
      </c>
      <c r="K105" s="129">
        <f t="shared" si="28"/>
        <v>9.18</v>
      </c>
      <c r="L105" s="129">
        <f t="shared" si="28"/>
        <v>9.18</v>
      </c>
      <c r="M105" s="129">
        <f t="shared" si="28"/>
        <v>9.18</v>
      </c>
      <c r="N105" s="129">
        <f t="shared" si="28"/>
        <v>9.18</v>
      </c>
      <c r="O105" s="129">
        <f t="shared" si="28"/>
        <v>9.18</v>
      </c>
      <c r="P105" s="129">
        <f t="shared" si="28"/>
        <v>9.18</v>
      </c>
      <c r="Q105" s="129">
        <f t="shared" si="28"/>
        <v>9.18</v>
      </c>
      <c r="R105" s="129">
        <f t="shared" si="28"/>
        <v>9.18</v>
      </c>
      <c r="S105" s="129">
        <f t="shared" si="28"/>
        <v>9.18</v>
      </c>
      <c r="T105" s="129">
        <f t="shared" si="29"/>
        <v>9.18</v>
      </c>
      <c r="U105" s="129">
        <f t="shared" si="29"/>
        <v>9.18</v>
      </c>
      <c r="V105" s="129">
        <f t="shared" si="29"/>
        <v>9.18</v>
      </c>
      <c r="W105" s="129">
        <f t="shared" si="29"/>
        <v>9.18</v>
      </c>
      <c r="X105" s="129">
        <f t="shared" si="29"/>
        <v>9.18</v>
      </c>
      <c r="Y105" s="129">
        <f t="shared" si="29"/>
        <v>9.18</v>
      </c>
      <c r="Z105" s="129">
        <f t="shared" si="29"/>
        <v>9.18</v>
      </c>
      <c r="AA105" s="129">
        <f t="shared" si="29"/>
        <v>9.18</v>
      </c>
      <c r="AB105" s="129">
        <f t="shared" si="29"/>
        <v>9.18</v>
      </c>
      <c r="AC105" s="129">
        <f t="shared" si="29"/>
        <v>9.18</v>
      </c>
      <c r="AD105" s="129">
        <f t="shared" si="29"/>
        <v>9.18</v>
      </c>
      <c r="AE105" s="129">
        <f t="shared" si="29"/>
        <v>9.18</v>
      </c>
      <c r="AF105" s="129">
        <f t="shared" si="29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7"/>
        <v>7</v>
      </c>
      <c r="C106" s="130">
        <v>7</v>
      </c>
      <c r="D106" s="129">
        <f t="shared" si="28"/>
        <v>7</v>
      </c>
      <c r="E106" s="129">
        <f t="shared" si="28"/>
        <v>7</v>
      </c>
      <c r="F106" s="129">
        <f t="shared" si="28"/>
        <v>7</v>
      </c>
      <c r="G106" s="129">
        <f t="shared" si="28"/>
        <v>7</v>
      </c>
      <c r="H106" s="129">
        <f t="shared" si="28"/>
        <v>7</v>
      </c>
      <c r="I106" s="129">
        <f t="shared" si="28"/>
        <v>7</v>
      </c>
      <c r="J106" s="129">
        <f t="shared" si="28"/>
        <v>7</v>
      </c>
      <c r="K106" s="129">
        <f t="shared" si="28"/>
        <v>7</v>
      </c>
      <c r="L106" s="129">
        <f t="shared" si="28"/>
        <v>7</v>
      </c>
      <c r="M106" s="129">
        <f t="shared" si="28"/>
        <v>7</v>
      </c>
      <c r="N106" s="129">
        <f t="shared" si="28"/>
        <v>7</v>
      </c>
      <c r="O106" s="129">
        <f t="shared" si="28"/>
        <v>7</v>
      </c>
      <c r="P106" s="129">
        <f t="shared" si="28"/>
        <v>7</v>
      </c>
      <c r="Q106" s="129">
        <f t="shared" si="28"/>
        <v>7</v>
      </c>
      <c r="R106" s="129">
        <f t="shared" si="28"/>
        <v>7</v>
      </c>
      <c r="S106" s="129">
        <f t="shared" si="28"/>
        <v>7</v>
      </c>
      <c r="T106" s="129">
        <f t="shared" si="29"/>
        <v>7</v>
      </c>
      <c r="U106" s="129">
        <f t="shared" si="29"/>
        <v>7</v>
      </c>
      <c r="V106" s="129">
        <f t="shared" si="29"/>
        <v>7</v>
      </c>
      <c r="W106" s="129">
        <f t="shared" si="29"/>
        <v>7</v>
      </c>
      <c r="X106" s="129">
        <f t="shared" si="29"/>
        <v>7</v>
      </c>
      <c r="Y106" s="129">
        <f t="shared" si="29"/>
        <v>7</v>
      </c>
      <c r="Z106" s="129">
        <f t="shared" si="29"/>
        <v>7</v>
      </c>
      <c r="AA106" s="129">
        <f t="shared" si="29"/>
        <v>7</v>
      </c>
      <c r="AB106" s="129">
        <f t="shared" si="29"/>
        <v>7</v>
      </c>
      <c r="AC106" s="129">
        <f t="shared" si="29"/>
        <v>7</v>
      </c>
      <c r="AD106" s="129">
        <f t="shared" si="29"/>
        <v>7</v>
      </c>
      <c r="AE106" s="129">
        <f t="shared" si="29"/>
        <v>7</v>
      </c>
      <c r="AF106" s="129">
        <f t="shared" si="29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30">C108</f>
        <v>2.25</v>
      </c>
      <c r="E108" s="129">
        <f t="shared" si="30"/>
        <v>2.25</v>
      </c>
      <c r="F108" s="129">
        <f t="shared" si="30"/>
        <v>2.25</v>
      </c>
      <c r="G108" s="129">
        <f t="shared" si="30"/>
        <v>2.25</v>
      </c>
      <c r="H108" s="129">
        <f t="shared" si="30"/>
        <v>2.25</v>
      </c>
      <c r="I108" s="129">
        <f t="shared" si="30"/>
        <v>2.25</v>
      </c>
      <c r="J108" s="129">
        <f t="shared" si="30"/>
        <v>2.25</v>
      </c>
      <c r="K108" s="129">
        <f t="shared" si="30"/>
        <v>2.25</v>
      </c>
      <c r="L108" s="129">
        <f t="shared" si="30"/>
        <v>2.25</v>
      </c>
      <c r="M108" s="129">
        <f t="shared" si="30"/>
        <v>2.25</v>
      </c>
      <c r="N108" s="129">
        <f t="shared" si="30"/>
        <v>2.25</v>
      </c>
      <c r="O108" s="129">
        <f t="shared" si="30"/>
        <v>2.25</v>
      </c>
      <c r="P108" s="129">
        <f t="shared" si="30"/>
        <v>2.25</v>
      </c>
      <c r="Q108" s="129">
        <f t="shared" si="30"/>
        <v>2.25</v>
      </c>
      <c r="R108" s="129">
        <f t="shared" si="30"/>
        <v>2.25</v>
      </c>
      <c r="S108" s="129">
        <f t="shared" si="30"/>
        <v>2.25</v>
      </c>
      <c r="T108" s="129">
        <f t="shared" ref="T108:AF109" si="31">S108</f>
        <v>2.25</v>
      </c>
      <c r="U108" s="129">
        <f t="shared" si="31"/>
        <v>2.25</v>
      </c>
      <c r="V108" s="129">
        <f t="shared" si="31"/>
        <v>2.25</v>
      </c>
      <c r="W108" s="129">
        <f t="shared" si="31"/>
        <v>2.25</v>
      </c>
      <c r="X108" s="129">
        <f t="shared" si="31"/>
        <v>2.25</v>
      </c>
      <c r="Y108" s="129">
        <f t="shared" si="31"/>
        <v>2.25</v>
      </c>
      <c r="Z108" s="129">
        <f t="shared" si="31"/>
        <v>2.25</v>
      </c>
      <c r="AA108" s="129">
        <f t="shared" si="31"/>
        <v>2.25</v>
      </c>
      <c r="AB108" s="129">
        <f t="shared" si="31"/>
        <v>2.25</v>
      </c>
      <c r="AC108" s="129">
        <f t="shared" si="31"/>
        <v>2.25</v>
      </c>
      <c r="AD108" s="129">
        <f t="shared" si="31"/>
        <v>2.25</v>
      </c>
      <c r="AE108" s="129">
        <f t="shared" si="31"/>
        <v>2.25</v>
      </c>
      <c r="AF108" s="129">
        <f t="shared" si="31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30"/>
        <v>1.64</v>
      </c>
      <c r="E109" s="129">
        <f t="shared" si="30"/>
        <v>1.64</v>
      </c>
      <c r="F109" s="129">
        <f t="shared" si="30"/>
        <v>1.64</v>
      </c>
      <c r="G109" s="129">
        <f t="shared" si="30"/>
        <v>1.64</v>
      </c>
      <c r="H109" s="129">
        <f t="shared" si="30"/>
        <v>1.64</v>
      </c>
      <c r="I109" s="129">
        <f t="shared" si="30"/>
        <v>1.64</v>
      </c>
      <c r="J109" s="129">
        <f t="shared" si="30"/>
        <v>1.64</v>
      </c>
      <c r="K109" s="129">
        <f t="shared" si="30"/>
        <v>1.64</v>
      </c>
      <c r="L109" s="129">
        <f t="shared" si="30"/>
        <v>1.64</v>
      </c>
      <c r="M109" s="129">
        <f t="shared" si="30"/>
        <v>1.64</v>
      </c>
      <c r="N109" s="129">
        <f t="shared" si="30"/>
        <v>1.64</v>
      </c>
      <c r="O109" s="129">
        <f t="shared" si="30"/>
        <v>1.64</v>
      </c>
      <c r="P109" s="129">
        <f t="shared" si="30"/>
        <v>1.64</v>
      </c>
      <c r="Q109" s="129">
        <f t="shared" si="30"/>
        <v>1.64</v>
      </c>
      <c r="R109" s="129">
        <f t="shared" si="30"/>
        <v>1.64</v>
      </c>
      <c r="S109" s="129">
        <f t="shared" si="30"/>
        <v>1.64</v>
      </c>
      <c r="T109" s="129">
        <f t="shared" si="31"/>
        <v>1.64</v>
      </c>
      <c r="U109" s="129">
        <f t="shared" si="31"/>
        <v>1.64</v>
      </c>
      <c r="V109" s="129">
        <f t="shared" si="31"/>
        <v>1.64</v>
      </c>
      <c r="W109" s="129">
        <f t="shared" si="31"/>
        <v>1.64</v>
      </c>
      <c r="X109" s="129">
        <f t="shared" si="31"/>
        <v>1.64</v>
      </c>
      <c r="Y109" s="129">
        <f t="shared" si="31"/>
        <v>1.64</v>
      </c>
      <c r="Z109" s="129">
        <f t="shared" si="31"/>
        <v>1.64</v>
      </c>
      <c r="AA109" s="129">
        <f t="shared" si="31"/>
        <v>1.64</v>
      </c>
      <c r="AB109" s="129">
        <f t="shared" si="31"/>
        <v>1.64</v>
      </c>
      <c r="AC109" s="129">
        <f t="shared" si="31"/>
        <v>1.64</v>
      </c>
      <c r="AD109" s="129">
        <f t="shared" si="31"/>
        <v>1.64</v>
      </c>
      <c r="AE109" s="129">
        <f t="shared" si="31"/>
        <v>1.64</v>
      </c>
      <c r="AF109" s="129">
        <f t="shared" si="31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2">AF111</f>
        <v>1.62</v>
      </c>
      <c r="C111" s="130">
        <v>1.62</v>
      </c>
      <c r="D111" s="129">
        <f t="shared" ref="D111:S118" si="33">C111</f>
        <v>1.62</v>
      </c>
      <c r="E111" s="129">
        <f t="shared" si="33"/>
        <v>1.62</v>
      </c>
      <c r="F111" s="129">
        <f t="shared" si="33"/>
        <v>1.62</v>
      </c>
      <c r="G111" s="129">
        <f t="shared" si="33"/>
        <v>1.62</v>
      </c>
      <c r="H111" s="129">
        <f t="shared" si="33"/>
        <v>1.62</v>
      </c>
      <c r="I111" s="129">
        <f t="shared" si="33"/>
        <v>1.62</v>
      </c>
      <c r="J111" s="129">
        <f t="shared" si="33"/>
        <v>1.62</v>
      </c>
      <c r="K111" s="129">
        <f t="shared" si="33"/>
        <v>1.62</v>
      </c>
      <c r="L111" s="129">
        <f t="shared" si="33"/>
        <v>1.62</v>
      </c>
      <c r="M111" s="129">
        <f t="shared" si="33"/>
        <v>1.62</v>
      </c>
      <c r="N111" s="129">
        <f t="shared" si="33"/>
        <v>1.62</v>
      </c>
      <c r="O111" s="129">
        <f t="shared" si="33"/>
        <v>1.62</v>
      </c>
      <c r="P111" s="129">
        <f t="shared" si="33"/>
        <v>1.62</v>
      </c>
      <c r="Q111" s="129">
        <f t="shared" si="33"/>
        <v>1.62</v>
      </c>
      <c r="R111" s="129">
        <f t="shared" si="33"/>
        <v>1.62</v>
      </c>
      <c r="S111" s="129">
        <f t="shared" si="33"/>
        <v>1.62</v>
      </c>
      <c r="T111" s="129">
        <f t="shared" ref="T111:AF126" si="34">S111</f>
        <v>1.62</v>
      </c>
      <c r="U111" s="129">
        <f t="shared" si="34"/>
        <v>1.62</v>
      </c>
      <c r="V111" s="129">
        <f t="shared" si="34"/>
        <v>1.62</v>
      </c>
      <c r="W111" s="129">
        <f t="shared" si="34"/>
        <v>1.62</v>
      </c>
      <c r="X111" s="129">
        <f t="shared" si="34"/>
        <v>1.62</v>
      </c>
      <c r="Y111" s="129">
        <f t="shared" si="34"/>
        <v>1.62</v>
      </c>
      <c r="Z111" s="129">
        <f t="shared" si="34"/>
        <v>1.62</v>
      </c>
      <c r="AA111" s="129">
        <f t="shared" si="34"/>
        <v>1.62</v>
      </c>
      <c r="AB111" s="129">
        <f t="shared" si="34"/>
        <v>1.62</v>
      </c>
      <c r="AC111" s="129">
        <f t="shared" si="34"/>
        <v>1.62</v>
      </c>
      <c r="AD111" s="129">
        <f t="shared" si="34"/>
        <v>1.62</v>
      </c>
      <c r="AE111" s="129">
        <f t="shared" si="34"/>
        <v>1.62</v>
      </c>
      <c r="AF111" s="129">
        <f t="shared" si="34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2"/>
        <v>8.36</v>
      </c>
      <c r="C112" s="130">
        <v>8.36</v>
      </c>
      <c r="D112" s="129">
        <f t="shared" si="33"/>
        <v>8.36</v>
      </c>
      <c r="E112" s="129">
        <f t="shared" si="33"/>
        <v>8.36</v>
      </c>
      <c r="F112" s="129">
        <f t="shared" si="33"/>
        <v>8.36</v>
      </c>
      <c r="G112" s="129">
        <f t="shared" si="33"/>
        <v>8.36</v>
      </c>
      <c r="H112" s="129">
        <f t="shared" si="33"/>
        <v>8.36</v>
      </c>
      <c r="I112" s="129">
        <f t="shared" si="33"/>
        <v>8.36</v>
      </c>
      <c r="J112" s="129">
        <f t="shared" si="33"/>
        <v>8.36</v>
      </c>
      <c r="K112" s="129">
        <f t="shared" si="33"/>
        <v>8.36</v>
      </c>
      <c r="L112" s="129">
        <f t="shared" si="33"/>
        <v>8.36</v>
      </c>
      <c r="M112" s="129">
        <f t="shared" si="33"/>
        <v>8.36</v>
      </c>
      <c r="N112" s="129">
        <f t="shared" si="33"/>
        <v>8.36</v>
      </c>
      <c r="O112" s="129">
        <f t="shared" si="33"/>
        <v>8.36</v>
      </c>
      <c r="P112" s="129">
        <f t="shared" si="33"/>
        <v>8.36</v>
      </c>
      <c r="Q112" s="129">
        <f t="shared" si="33"/>
        <v>8.36</v>
      </c>
      <c r="R112" s="129">
        <f t="shared" si="33"/>
        <v>8.36</v>
      </c>
      <c r="S112" s="129">
        <f t="shared" si="33"/>
        <v>8.36</v>
      </c>
      <c r="T112" s="129">
        <f t="shared" si="34"/>
        <v>8.36</v>
      </c>
      <c r="U112" s="129">
        <f t="shared" si="34"/>
        <v>8.36</v>
      </c>
      <c r="V112" s="129">
        <f t="shared" si="34"/>
        <v>8.36</v>
      </c>
      <c r="W112" s="129">
        <f t="shared" si="34"/>
        <v>8.36</v>
      </c>
      <c r="X112" s="129">
        <f t="shared" si="34"/>
        <v>8.36</v>
      </c>
      <c r="Y112" s="129">
        <f t="shared" si="34"/>
        <v>8.36</v>
      </c>
      <c r="Z112" s="129">
        <f t="shared" si="34"/>
        <v>8.36</v>
      </c>
      <c r="AA112" s="129">
        <f t="shared" si="34"/>
        <v>8.36</v>
      </c>
      <c r="AB112" s="129">
        <f t="shared" si="34"/>
        <v>8.36</v>
      </c>
      <c r="AC112" s="129">
        <f t="shared" si="34"/>
        <v>8.36</v>
      </c>
      <c r="AD112" s="129">
        <f t="shared" si="34"/>
        <v>8.36</v>
      </c>
      <c r="AE112" s="129">
        <f t="shared" si="34"/>
        <v>8.36</v>
      </c>
      <c r="AF112" s="129">
        <f t="shared" si="34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2"/>
        <v>5.4</v>
      </c>
      <c r="C113" s="130">
        <v>8</v>
      </c>
      <c r="D113" s="129">
        <f t="shared" si="33"/>
        <v>8</v>
      </c>
      <c r="E113" s="129">
        <f t="shared" si="33"/>
        <v>8</v>
      </c>
      <c r="F113" s="129">
        <f t="shared" si="33"/>
        <v>8</v>
      </c>
      <c r="G113" s="129">
        <f t="shared" si="33"/>
        <v>8</v>
      </c>
      <c r="H113" s="129">
        <f t="shared" si="33"/>
        <v>8</v>
      </c>
      <c r="I113" s="129">
        <f t="shared" si="33"/>
        <v>8</v>
      </c>
      <c r="J113" s="129">
        <v>5.4</v>
      </c>
      <c r="K113" s="129">
        <f t="shared" si="33"/>
        <v>5.4</v>
      </c>
      <c r="L113" s="129">
        <f t="shared" si="33"/>
        <v>5.4</v>
      </c>
      <c r="M113" s="129">
        <f t="shared" si="33"/>
        <v>5.4</v>
      </c>
      <c r="N113" s="129">
        <f t="shared" si="33"/>
        <v>5.4</v>
      </c>
      <c r="O113" s="129">
        <f t="shared" si="33"/>
        <v>5.4</v>
      </c>
      <c r="P113" s="129">
        <f t="shared" si="33"/>
        <v>5.4</v>
      </c>
      <c r="Q113" s="129">
        <f t="shared" si="33"/>
        <v>5.4</v>
      </c>
      <c r="R113" s="129">
        <f t="shared" si="33"/>
        <v>5.4</v>
      </c>
      <c r="S113" s="129">
        <f t="shared" si="33"/>
        <v>5.4</v>
      </c>
      <c r="T113" s="129">
        <f t="shared" si="34"/>
        <v>5.4</v>
      </c>
      <c r="U113" s="129">
        <f t="shared" si="34"/>
        <v>5.4</v>
      </c>
      <c r="V113" s="129">
        <f t="shared" si="34"/>
        <v>5.4</v>
      </c>
      <c r="W113" s="129">
        <f t="shared" si="34"/>
        <v>5.4</v>
      </c>
      <c r="X113" s="129">
        <f t="shared" si="34"/>
        <v>5.4</v>
      </c>
      <c r="Y113" s="129">
        <f t="shared" si="34"/>
        <v>5.4</v>
      </c>
      <c r="Z113" s="129">
        <f t="shared" si="34"/>
        <v>5.4</v>
      </c>
      <c r="AA113" s="129">
        <f t="shared" si="34"/>
        <v>5.4</v>
      </c>
      <c r="AB113" s="129">
        <f t="shared" si="34"/>
        <v>5.4</v>
      </c>
      <c r="AC113" s="129">
        <f t="shared" si="34"/>
        <v>5.4</v>
      </c>
      <c r="AD113" s="129">
        <f t="shared" si="34"/>
        <v>5.4</v>
      </c>
      <c r="AE113" s="129">
        <f t="shared" si="34"/>
        <v>5.4</v>
      </c>
      <c r="AF113" s="129">
        <f t="shared" si="34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2"/>
        <v>6.57</v>
      </c>
      <c r="C114" s="130">
        <v>6.57</v>
      </c>
      <c r="D114" s="129">
        <f t="shared" si="33"/>
        <v>6.57</v>
      </c>
      <c r="E114" s="129">
        <f t="shared" si="33"/>
        <v>6.57</v>
      </c>
      <c r="F114" s="129">
        <f t="shared" si="33"/>
        <v>6.57</v>
      </c>
      <c r="G114" s="129">
        <f t="shared" si="33"/>
        <v>6.57</v>
      </c>
      <c r="H114" s="129">
        <f t="shared" si="33"/>
        <v>6.57</v>
      </c>
      <c r="I114" s="129">
        <f t="shared" si="33"/>
        <v>6.57</v>
      </c>
      <c r="J114" s="129">
        <f t="shared" si="33"/>
        <v>6.57</v>
      </c>
      <c r="K114" s="129">
        <f t="shared" si="33"/>
        <v>6.57</v>
      </c>
      <c r="L114" s="129">
        <f t="shared" si="33"/>
        <v>6.57</v>
      </c>
      <c r="M114" s="129">
        <f t="shared" si="33"/>
        <v>6.57</v>
      </c>
      <c r="N114" s="129">
        <f t="shared" si="33"/>
        <v>6.57</v>
      </c>
      <c r="O114" s="129">
        <f t="shared" si="33"/>
        <v>6.57</v>
      </c>
      <c r="P114" s="129">
        <f t="shared" si="33"/>
        <v>6.57</v>
      </c>
      <c r="Q114" s="129">
        <f t="shared" si="33"/>
        <v>6.57</v>
      </c>
      <c r="R114" s="129">
        <f t="shared" si="33"/>
        <v>6.57</v>
      </c>
      <c r="S114" s="129">
        <f t="shared" si="33"/>
        <v>6.57</v>
      </c>
      <c r="T114" s="129">
        <f t="shared" si="34"/>
        <v>6.57</v>
      </c>
      <c r="U114" s="129">
        <f t="shared" si="34"/>
        <v>6.57</v>
      </c>
      <c r="V114" s="129">
        <f t="shared" si="34"/>
        <v>6.57</v>
      </c>
      <c r="W114" s="129">
        <f t="shared" si="34"/>
        <v>6.57</v>
      </c>
      <c r="X114" s="129">
        <f t="shared" si="34"/>
        <v>6.57</v>
      </c>
      <c r="Y114" s="129">
        <f t="shared" si="34"/>
        <v>6.57</v>
      </c>
      <c r="Z114" s="129">
        <f t="shared" si="34"/>
        <v>6.57</v>
      </c>
      <c r="AA114" s="129">
        <f t="shared" si="34"/>
        <v>6.57</v>
      </c>
      <c r="AB114" s="129">
        <f t="shared" si="34"/>
        <v>6.57</v>
      </c>
      <c r="AC114" s="129">
        <f t="shared" si="34"/>
        <v>6.57</v>
      </c>
      <c r="AD114" s="129">
        <f t="shared" si="34"/>
        <v>6.57</v>
      </c>
      <c r="AE114" s="129">
        <f t="shared" si="34"/>
        <v>6.57</v>
      </c>
      <c r="AF114" s="129">
        <f t="shared" si="34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2"/>
        <v>3.43</v>
      </c>
      <c r="C115" s="130">
        <v>3.43</v>
      </c>
      <c r="D115" s="129">
        <f t="shared" si="33"/>
        <v>3.43</v>
      </c>
      <c r="E115" s="129">
        <f t="shared" si="33"/>
        <v>3.43</v>
      </c>
      <c r="F115" s="129">
        <f t="shared" si="33"/>
        <v>3.43</v>
      </c>
      <c r="G115" s="129">
        <f t="shared" si="33"/>
        <v>3.43</v>
      </c>
      <c r="H115" s="129">
        <f t="shared" si="33"/>
        <v>3.43</v>
      </c>
      <c r="I115" s="129">
        <f t="shared" si="33"/>
        <v>3.43</v>
      </c>
      <c r="J115" s="129">
        <f t="shared" si="33"/>
        <v>3.43</v>
      </c>
      <c r="K115" s="129">
        <f t="shared" si="33"/>
        <v>3.43</v>
      </c>
      <c r="L115" s="129">
        <f t="shared" si="33"/>
        <v>3.43</v>
      </c>
      <c r="M115" s="129">
        <f t="shared" si="33"/>
        <v>3.43</v>
      </c>
      <c r="N115" s="129">
        <f t="shared" si="33"/>
        <v>3.43</v>
      </c>
      <c r="O115" s="129">
        <f t="shared" si="33"/>
        <v>3.43</v>
      </c>
      <c r="P115" s="129">
        <f t="shared" si="33"/>
        <v>3.43</v>
      </c>
      <c r="Q115" s="129">
        <f t="shared" si="33"/>
        <v>3.43</v>
      </c>
      <c r="R115" s="129">
        <f t="shared" si="33"/>
        <v>3.43</v>
      </c>
      <c r="S115" s="129">
        <f t="shared" si="33"/>
        <v>3.43</v>
      </c>
      <c r="T115" s="129">
        <f t="shared" si="34"/>
        <v>3.43</v>
      </c>
      <c r="U115" s="129">
        <f t="shared" si="34"/>
        <v>3.43</v>
      </c>
      <c r="V115" s="129">
        <f t="shared" si="34"/>
        <v>3.43</v>
      </c>
      <c r="W115" s="129">
        <f t="shared" si="34"/>
        <v>3.43</v>
      </c>
      <c r="X115" s="129">
        <f t="shared" si="34"/>
        <v>3.43</v>
      </c>
      <c r="Y115" s="129">
        <f t="shared" si="34"/>
        <v>3.43</v>
      </c>
      <c r="Z115" s="129">
        <f t="shared" si="34"/>
        <v>3.43</v>
      </c>
      <c r="AA115" s="129">
        <f t="shared" si="34"/>
        <v>3.43</v>
      </c>
      <c r="AB115" s="129">
        <f t="shared" si="34"/>
        <v>3.43</v>
      </c>
      <c r="AC115" s="129">
        <f t="shared" si="34"/>
        <v>3.43</v>
      </c>
      <c r="AD115" s="129">
        <f t="shared" si="34"/>
        <v>3.43</v>
      </c>
      <c r="AE115" s="129">
        <f t="shared" si="34"/>
        <v>3.43</v>
      </c>
      <c r="AF115" s="129">
        <f t="shared" si="34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2"/>
        <v>2.96</v>
      </c>
      <c r="C116" s="130">
        <v>2.96</v>
      </c>
      <c r="D116" s="129">
        <f t="shared" si="33"/>
        <v>2.96</v>
      </c>
      <c r="E116" s="129">
        <f t="shared" si="33"/>
        <v>2.96</v>
      </c>
      <c r="F116" s="129">
        <f t="shared" si="33"/>
        <v>2.96</v>
      </c>
      <c r="G116" s="129">
        <f t="shared" si="33"/>
        <v>2.96</v>
      </c>
      <c r="H116" s="129">
        <f t="shared" si="33"/>
        <v>2.96</v>
      </c>
      <c r="I116" s="129">
        <f t="shared" si="33"/>
        <v>2.96</v>
      </c>
      <c r="J116" s="129">
        <f t="shared" si="33"/>
        <v>2.96</v>
      </c>
      <c r="K116" s="129">
        <f t="shared" si="33"/>
        <v>2.96</v>
      </c>
      <c r="L116" s="129">
        <f t="shared" si="33"/>
        <v>2.96</v>
      </c>
      <c r="M116" s="129">
        <f t="shared" si="33"/>
        <v>2.96</v>
      </c>
      <c r="N116" s="129">
        <f t="shared" si="33"/>
        <v>2.96</v>
      </c>
      <c r="O116" s="129">
        <f t="shared" si="33"/>
        <v>2.96</v>
      </c>
      <c r="P116" s="129">
        <f t="shared" si="33"/>
        <v>2.96</v>
      </c>
      <c r="Q116" s="129">
        <f t="shared" si="33"/>
        <v>2.96</v>
      </c>
      <c r="R116" s="129">
        <f t="shared" si="33"/>
        <v>2.96</v>
      </c>
      <c r="S116" s="129">
        <f t="shared" si="33"/>
        <v>2.96</v>
      </c>
      <c r="T116" s="129">
        <f t="shared" si="34"/>
        <v>2.96</v>
      </c>
      <c r="U116" s="129">
        <f t="shared" si="34"/>
        <v>2.96</v>
      </c>
      <c r="V116" s="129">
        <f t="shared" si="34"/>
        <v>2.96</v>
      </c>
      <c r="W116" s="129">
        <f t="shared" si="34"/>
        <v>2.96</v>
      </c>
      <c r="X116" s="129">
        <f t="shared" si="34"/>
        <v>2.96</v>
      </c>
      <c r="Y116" s="129">
        <f t="shared" si="34"/>
        <v>2.96</v>
      </c>
      <c r="Z116" s="129">
        <f t="shared" si="34"/>
        <v>2.96</v>
      </c>
      <c r="AA116" s="129">
        <f t="shared" si="34"/>
        <v>2.96</v>
      </c>
      <c r="AB116" s="129">
        <f t="shared" si="34"/>
        <v>2.96</v>
      </c>
      <c r="AC116" s="129">
        <f t="shared" si="34"/>
        <v>2.96</v>
      </c>
      <c r="AD116" s="129">
        <f t="shared" si="34"/>
        <v>2.96</v>
      </c>
      <c r="AE116" s="129">
        <f t="shared" si="34"/>
        <v>2.96</v>
      </c>
      <c r="AF116" s="129">
        <f t="shared" si="34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2"/>
        <v>8</v>
      </c>
      <c r="C117" s="130">
        <v>8</v>
      </c>
      <c r="D117" s="129">
        <f t="shared" si="33"/>
        <v>8</v>
      </c>
      <c r="E117" s="129">
        <f t="shared" si="33"/>
        <v>8</v>
      </c>
      <c r="F117" s="129">
        <f t="shared" si="33"/>
        <v>8</v>
      </c>
      <c r="G117" s="129">
        <f t="shared" si="33"/>
        <v>8</v>
      </c>
      <c r="H117" s="129">
        <f t="shared" si="33"/>
        <v>8</v>
      </c>
      <c r="I117" s="129">
        <f t="shared" si="33"/>
        <v>8</v>
      </c>
      <c r="J117" s="129">
        <f t="shared" si="33"/>
        <v>8</v>
      </c>
      <c r="K117" s="129">
        <f t="shared" si="33"/>
        <v>8</v>
      </c>
      <c r="L117" s="129">
        <f t="shared" si="33"/>
        <v>8</v>
      </c>
      <c r="M117" s="129">
        <f t="shared" si="33"/>
        <v>8</v>
      </c>
      <c r="N117" s="129">
        <f t="shared" si="33"/>
        <v>8</v>
      </c>
      <c r="O117" s="129">
        <f t="shared" si="33"/>
        <v>8</v>
      </c>
      <c r="P117" s="129">
        <f t="shared" si="33"/>
        <v>8</v>
      </c>
      <c r="Q117" s="129">
        <f t="shared" si="33"/>
        <v>8</v>
      </c>
      <c r="R117" s="129">
        <f t="shared" si="33"/>
        <v>8</v>
      </c>
      <c r="S117" s="129">
        <f t="shared" si="33"/>
        <v>8</v>
      </c>
      <c r="T117" s="129">
        <f t="shared" si="34"/>
        <v>8</v>
      </c>
      <c r="U117" s="129">
        <f t="shared" si="34"/>
        <v>8</v>
      </c>
      <c r="V117" s="129">
        <f t="shared" si="34"/>
        <v>8</v>
      </c>
      <c r="W117" s="129">
        <f t="shared" si="34"/>
        <v>8</v>
      </c>
      <c r="X117" s="129">
        <f t="shared" si="34"/>
        <v>8</v>
      </c>
      <c r="Y117" s="129">
        <f t="shared" si="34"/>
        <v>8</v>
      </c>
      <c r="Z117" s="129">
        <f t="shared" si="34"/>
        <v>8</v>
      </c>
      <c r="AA117" s="129">
        <f t="shared" si="34"/>
        <v>8</v>
      </c>
      <c r="AB117" s="129">
        <f t="shared" si="34"/>
        <v>8</v>
      </c>
      <c r="AC117" s="129">
        <f t="shared" si="34"/>
        <v>8</v>
      </c>
      <c r="AD117" s="129">
        <f t="shared" si="34"/>
        <v>8</v>
      </c>
      <c r="AE117" s="129">
        <f t="shared" si="34"/>
        <v>8</v>
      </c>
      <c r="AF117" s="129">
        <f t="shared" si="34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2"/>
        <v>7</v>
      </c>
      <c r="C118" s="130">
        <v>7</v>
      </c>
      <c r="D118" s="129">
        <f>C118</f>
        <v>7</v>
      </c>
      <c r="E118" s="129">
        <f t="shared" si="33"/>
        <v>7</v>
      </c>
      <c r="F118" s="129">
        <f t="shared" si="33"/>
        <v>7</v>
      </c>
      <c r="G118" s="129">
        <f t="shared" si="33"/>
        <v>7</v>
      </c>
      <c r="H118" s="129">
        <f t="shared" si="33"/>
        <v>7</v>
      </c>
      <c r="I118" s="129">
        <f t="shared" si="33"/>
        <v>7</v>
      </c>
      <c r="J118" s="129">
        <f t="shared" si="33"/>
        <v>7</v>
      </c>
      <c r="K118" s="129">
        <f t="shared" si="33"/>
        <v>7</v>
      </c>
      <c r="L118" s="129">
        <f t="shared" si="33"/>
        <v>7</v>
      </c>
      <c r="M118" s="129">
        <f t="shared" si="33"/>
        <v>7</v>
      </c>
      <c r="N118" s="129">
        <f t="shared" si="33"/>
        <v>7</v>
      </c>
      <c r="O118" s="129">
        <f t="shared" si="33"/>
        <v>7</v>
      </c>
      <c r="P118" s="129">
        <f t="shared" si="33"/>
        <v>7</v>
      </c>
      <c r="Q118" s="129">
        <f t="shared" si="33"/>
        <v>7</v>
      </c>
      <c r="R118" s="129">
        <f t="shared" si="33"/>
        <v>7</v>
      </c>
      <c r="S118" s="129">
        <f t="shared" si="33"/>
        <v>7</v>
      </c>
      <c r="T118" s="129">
        <f t="shared" si="34"/>
        <v>7</v>
      </c>
      <c r="U118" s="129">
        <f t="shared" si="34"/>
        <v>7</v>
      </c>
      <c r="V118" s="129">
        <f t="shared" si="34"/>
        <v>7</v>
      </c>
      <c r="W118" s="129">
        <f t="shared" si="34"/>
        <v>7</v>
      </c>
      <c r="X118" s="129">
        <f t="shared" si="34"/>
        <v>7</v>
      </c>
      <c r="Y118" s="129">
        <f t="shared" si="34"/>
        <v>7</v>
      </c>
      <c r="Z118" s="129">
        <f t="shared" si="34"/>
        <v>7</v>
      </c>
      <c r="AA118" s="129">
        <f t="shared" si="34"/>
        <v>7</v>
      </c>
      <c r="AB118" s="129">
        <f t="shared" si="34"/>
        <v>7</v>
      </c>
      <c r="AC118" s="129">
        <f t="shared" si="34"/>
        <v>7</v>
      </c>
      <c r="AD118" s="129">
        <f t="shared" si="34"/>
        <v>7</v>
      </c>
      <c r="AE118" s="129">
        <f t="shared" si="34"/>
        <v>7</v>
      </c>
      <c r="AF118" s="129">
        <f t="shared" si="34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2"/>
        <v>3.47</v>
      </c>
      <c r="C119" s="130">
        <v>3.47</v>
      </c>
      <c r="D119" s="129">
        <f t="shared" ref="D119:S128" si="35">C119</f>
        <v>3.47</v>
      </c>
      <c r="E119" s="129">
        <f t="shared" si="35"/>
        <v>3.47</v>
      </c>
      <c r="F119" s="129">
        <f t="shared" si="35"/>
        <v>3.47</v>
      </c>
      <c r="G119" s="129">
        <f t="shared" si="35"/>
        <v>3.47</v>
      </c>
      <c r="H119" s="129">
        <f t="shared" si="35"/>
        <v>3.47</v>
      </c>
      <c r="I119" s="129">
        <f t="shared" si="35"/>
        <v>3.47</v>
      </c>
      <c r="J119" s="129">
        <f t="shared" si="35"/>
        <v>3.47</v>
      </c>
      <c r="K119" s="129">
        <f t="shared" si="35"/>
        <v>3.47</v>
      </c>
      <c r="L119" s="129">
        <f t="shared" si="35"/>
        <v>3.47</v>
      </c>
      <c r="M119" s="129">
        <f t="shared" si="35"/>
        <v>3.47</v>
      </c>
      <c r="N119" s="129">
        <f t="shared" si="35"/>
        <v>3.47</v>
      </c>
      <c r="O119" s="129">
        <f t="shared" si="35"/>
        <v>3.47</v>
      </c>
      <c r="P119" s="129">
        <f t="shared" si="35"/>
        <v>3.47</v>
      </c>
      <c r="Q119" s="129">
        <f t="shared" si="35"/>
        <v>3.47</v>
      </c>
      <c r="R119" s="129">
        <f t="shared" si="35"/>
        <v>3.47</v>
      </c>
      <c r="S119" s="129">
        <f t="shared" si="35"/>
        <v>3.47</v>
      </c>
      <c r="T119" s="129">
        <f t="shared" si="34"/>
        <v>3.47</v>
      </c>
      <c r="U119" s="129">
        <f t="shared" si="34"/>
        <v>3.47</v>
      </c>
      <c r="V119" s="129">
        <f t="shared" si="34"/>
        <v>3.47</v>
      </c>
      <c r="W119" s="129">
        <f t="shared" si="34"/>
        <v>3.47</v>
      </c>
      <c r="X119" s="129">
        <f t="shared" si="34"/>
        <v>3.47</v>
      </c>
      <c r="Y119" s="129">
        <f t="shared" si="34"/>
        <v>3.47</v>
      </c>
      <c r="Z119" s="129">
        <f t="shared" si="34"/>
        <v>3.47</v>
      </c>
      <c r="AA119" s="129">
        <f t="shared" si="34"/>
        <v>3.47</v>
      </c>
      <c r="AB119" s="129">
        <f t="shared" si="34"/>
        <v>3.47</v>
      </c>
      <c r="AC119" s="129">
        <f t="shared" si="34"/>
        <v>3.47</v>
      </c>
      <c r="AD119" s="129">
        <f t="shared" si="34"/>
        <v>3.47</v>
      </c>
      <c r="AE119" s="129">
        <f t="shared" si="34"/>
        <v>3.47</v>
      </c>
      <c r="AF119" s="129">
        <f t="shared" si="34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2"/>
        <v>2.1</v>
      </c>
      <c r="C120" s="130">
        <v>2.1</v>
      </c>
      <c r="D120" s="129">
        <f t="shared" si="35"/>
        <v>2.1</v>
      </c>
      <c r="E120" s="129">
        <f t="shared" si="35"/>
        <v>2.1</v>
      </c>
      <c r="F120" s="129">
        <f t="shared" si="35"/>
        <v>2.1</v>
      </c>
      <c r="G120" s="129">
        <f t="shared" si="35"/>
        <v>2.1</v>
      </c>
      <c r="H120" s="129">
        <f t="shared" si="35"/>
        <v>2.1</v>
      </c>
      <c r="I120" s="129">
        <f t="shared" si="35"/>
        <v>2.1</v>
      </c>
      <c r="J120" s="129">
        <f t="shared" si="35"/>
        <v>2.1</v>
      </c>
      <c r="K120" s="129">
        <f t="shared" si="35"/>
        <v>2.1</v>
      </c>
      <c r="L120" s="129">
        <f t="shared" si="35"/>
        <v>2.1</v>
      </c>
      <c r="M120" s="129">
        <f t="shared" si="35"/>
        <v>2.1</v>
      </c>
      <c r="N120" s="129">
        <f t="shared" si="35"/>
        <v>2.1</v>
      </c>
      <c r="O120" s="129">
        <f t="shared" si="35"/>
        <v>2.1</v>
      </c>
      <c r="P120" s="129">
        <f t="shared" si="35"/>
        <v>2.1</v>
      </c>
      <c r="Q120" s="129">
        <f t="shared" si="35"/>
        <v>2.1</v>
      </c>
      <c r="R120" s="129">
        <f t="shared" si="35"/>
        <v>2.1</v>
      </c>
      <c r="S120" s="129">
        <f t="shared" si="35"/>
        <v>2.1</v>
      </c>
      <c r="T120" s="129">
        <f t="shared" si="34"/>
        <v>2.1</v>
      </c>
      <c r="U120" s="129">
        <f t="shared" si="34"/>
        <v>2.1</v>
      </c>
      <c r="V120" s="129">
        <f t="shared" si="34"/>
        <v>2.1</v>
      </c>
      <c r="W120" s="129">
        <f t="shared" si="34"/>
        <v>2.1</v>
      </c>
      <c r="X120" s="129">
        <f t="shared" si="34"/>
        <v>2.1</v>
      </c>
      <c r="Y120" s="129">
        <f t="shared" si="34"/>
        <v>2.1</v>
      </c>
      <c r="Z120" s="129">
        <f t="shared" si="34"/>
        <v>2.1</v>
      </c>
      <c r="AA120" s="129">
        <f t="shared" si="34"/>
        <v>2.1</v>
      </c>
      <c r="AB120" s="129">
        <f t="shared" si="34"/>
        <v>2.1</v>
      </c>
      <c r="AC120" s="129">
        <f t="shared" si="34"/>
        <v>2.1</v>
      </c>
      <c r="AD120" s="129">
        <f t="shared" si="34"/>
        <v>2.1</v>
      </c>
      <c r="AE120" s="129">
        <f t="shared" si="34"/>
        <v>2.1</v>
      </c>
      <c r="AF120" s="129">
        <f t="shared" si="34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2"/>
        <v>9.3000000000000007</v>
      </c>
      <c r="C121" s="130">
        <v>9.3000000000000007</v>
      </c>
      <c r="D121" s="129">
        <f t="shared" si="35"/>
        <v>9.3000000000000007</v>
      </c>
      <c r="E121" s="129">
        <f t="shared" si="35"/>
        <v>9.3000000000000007</v>
      </c>
      <c r="F121" s="129">
        <f t="shared" si="35"/>
        <v>9.3000000000000007</v>
      </c>
      <c r="G121" s="129">
        <f t="shared" si="35"/>
        <v>9.3000000000000007</v>
      </c>
      <c r="H121" s="129">
        <f t="shared" si="35"/>
        <v>9.3000000000000007</v>
      </c>
      <c r="I121" s="129">
        <f t="shared" si="35"/>
        <v>9.3000000000000007</v>
      </c>
      <c r="J121" s="129">
        <f t="shared" si="35"/>
        <v>9.3000000000000007</v>
      </c>
      <c r="K121" s="129">
        <f t="shared" si="35"/>
        <v>9.3000000000000007</v>
      </c>
      <c r="L121" s="129">
        <f t="shared" si="35"/>
        <v>9.3000000000000007</v>
      </c>
      <c r="M121" s="129">
        <f t="shared" si="35"/>
        <v>9.3000000000000007</v>
      </c>
      <c r="N121" s="129">
        <f t="shared" si="35"/>
        <v>9.3000000000000007</v>
      </c>
      <c r="O121" s="129">
        <f t="shared" si="35"/>
        <v>9.3000000000000007</v>
      </c>
      <c r="P121" s="129">
        <f t="shared" si="35"/>
        <v>9.3000000000000007</v>
      </c>
      <c r="Q121" s="129">
        <f t="shared" si="35"/>
        <v>9.3000000000000007</v>
      </c>
      <c r="R121" s="129">
        <f t="shared" si="35"/>
        <v>9.3000000000000007</v>
      </c>
      <c r="S121" s="129">
        <f t="shared" si="35"/>
        <v>9.3000000000000007</v>
      </c>
      <c r="T121" s="129">
        <f t="shared" si="34"/>
        <v>9.3000000000000007</v>
      </c>
      <c r="U121" s="129">
        <f t="shared" si="34"/>
        <v>9.3000000000000007</v>
      </c>
      <c r="V121" s="129">
        <f t="shared" si="34"/>
        <v>9.3000000000000007</v>
      </c>
      <c r="W121" s="129">
        <f t="shared" si="34"/>
        <v>9.3000000000000007</v>
      </c>
      <c r="X121" s="129">
        <f t="shared" si="34"/>
        <v>9.3000000000000007</v>
      </c>
      <c r="Y121" s="129">
        <f t="shared" si="34"/>
        <v>9.3000000000000007</v>
      </c>
      <c r="Z121" s="129">
        <f t="shared" si="34"/>
        <v>9.3000000000000007</v>
      </c>
      <c r="AA121" s="129">
        <f t="shared" si="34"/>
        <v>9.3000000000000007</v>
      </c>
      <c r="AB121" s="129">
        <f t="shared" si="34"/>
        <v>9.3000000000000007</v>
      </c>
      <c r="AC121" s="129">
        <f t="shared" si="34"/>
        <v>9.3000000000000007</v>
      </c>
      <c r="AD121" s="129">
        <f t="shared" si="34"/>
        <v>9.3000000000000007</v>
      </c>
      <c r="AE121" s="129">
        <f t="shared" si="34"/>
        <v>9.3000000000000007</v>
      </c>
      <c r="AF121" s="129">
        <f t="shared" si="34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2"/>
        <v>0</v>
      </c>
      <c r="C122" s="130">
        <v>0</v>
      </c>
      <c r="D122" s="129">
        <f t="shared" si="35"/>
        <v>0</v>
      </c>
      <c r="E122" s="129">
        <f t="shared" si="35"/>
        <v>0</v>
      </c>
      <c r="F122" s="129">
        <f t="shared" si="35"/>
        <v>0</v>
      </c>
      <c r="G122" s="129">
        <f t="shared" si="35"/>
        <v>0</v>
      </c>
      <c r="H122" s="129">
        <f t="shared" si="35"/>
        <v>0</v>
      </c>
      <c r="I122" s="129">
        <f t="shared" si="35"/>
        <v>0</v>
      </c>
      <c r="J122" s="129">
        <f t="shared" si="35"/>
        <v>0</v>
      </c>
      <c r="K122" s="129">
        <f t="shared" si="35"/>
        <v>0</v>
      </c>
      <c r="L122" s="129">
        <f t="shared" si="35"/>
        <v>0</v>
      </c>
      <c r="M122" s="129">
        <f t="shared" si="35"/>
        <v>0</v>
      </c>
      <c r="N122" s="129">
        <f t="shared" si="35"/>
        <v>0</v>
      </c>
      <c r="O122" s="129">
        <f t="shared" si="35"/>
        <v>0</v>
      </c>
      <c r="P122" s="129">
        <f t="shared" si="35"/>
        <v>0</v>
      </c>
      <c r="Q122" s="129">
        <f t="shared" si="35"/>
        <v>0</v>
      </c>
      <c r="R122" s="129">
        <f t="shared" si="35"/>
        <v>0</v>
      </c>
      <c r="S122" s="129">
        <f t="shared" si="35"/>
        <v>0</v>
      </c>
      <c r="T122" s="129">
        <f t="shared" si="34"/>
        <v>0</v>
      </c>
      <c r="U122" s="129">
        <f t="shared" si="34"/>
        <v>0</v>
      </c>
      <c r="V122" s="129">
        <f t="shared" si="34"/>
        <v>0</v>
      </c>
      <c r="W122" s="129">
        <f t="shared" si="34"/>
        <v>0</v>
      </c>
      <c r="X122" s="129">
        <f t="shared" si="34"/>
        <v>0</v>
      </c>
      <c r="Y122" s="129">
        <f t="shared" si="34"/>
        <v>0</v>
      </c>
      <c r="Z122" s="129">
        <f t="shared" si="34"/>
        <v>0</v>
      </c>
      <c r="AA122" s="129">
        <f t="shared" si="34"/>
        <v>0</v>
      </c>
      <c r="AB122" s="129">
        <f t="shared" si="34"/>
        <v>0</v>
      </c>
      <c r="AC122" s="129">
        <f t="shared" si="34"/>
        <v>0</v>
      </c>
      <c r="AD122" s="129">
        <f t="shared" si="34"/>
        <v>0</v>
      </c>
      <c r="AE122" s="129">
        <f t="shared" si="34"/>
        <v>0</v>
      </c>
      <c r="AF122" s="129">
        <f t="shared" si="34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2"/>
        <v>0</v>
      </c>
      <c r="C123" s="130">
        <v>0</v>
      </c>
      <c r="D123" s="129">
        <f t="shared" si="35"/>
        <v>0</v>
      </c>
      <c r="E123" s="129">
        <f t="shared" si="35"/>
        <v>0</v>
      </c>
      <c r="F123" s="129">
        <f t="shared" si="35"/>
        <v>0</v>
      </c>
      <c r="G123" s="129">
        <f t="shared" si="35"/>
        <v>0</v>
      </c>
      <c r="H123" s="129">
        <f t="shared" si="35"/>
        <v>0</v>
      </c>
      <c r="I123" s="129">
        <f t="shared" si="35"/>
        <v>0</v>
      </c>
      <c r="J123" s="129">
        <f t="shared" si="35"/>
        <v>0</v>
      </c>
      <c r="K123" s="129">
        <f t="shared" si="35"/>
        <v>0</v>
      </c>
      <c r="L123" s="129">
        <f t="shared" si="35"/>
        <v>0</v>
      </c>
      <c r="M123" s="129">
        <f t="shared" si="35"/>
        <v>0</v>
      </c>
      <c r="N123" s="129">
        <f t="shared" si="35"/>
        <v>0</v>
      </c>
      <c r="O123" s="129">
        <f t="shared" si="35"/>
        <v>0</v>
      </c>
      <c r="P123" s="129">
        <f t="shared" si="35"/>
        <v>0</v>
      </c>
      <c r="Q123" s="129">
        <f t="shared" si="35"/>
        <v>0</v>
      </c>
      <c r="R123" s="129">
        <f t="shared" si="35"/>
        <v>0</v>
      </c>
      <c r="S123" s="129">
        <f t="shared" si="35"/>
        <v>0</v>
      </c>
      <c r="T123" s="129">
        <f t="shared" si="34"/>
        <v>0</v>
      </c>
      <c r="U123" s="129">
        <f t="shared" si="34"/>
        <v>0</v>
      </c>
      <c r="V123" s="129">
        <f t="shared" si="34"/>
        <v>0</v>
      </c>
      <c r="W123" s="129">
        <f t="shared" si="34"/>
        <v>0</v>
      </c>
      <c r="X123" s="129">
        <f t="shared" si="34"/>
        <v>0</v>
      </c>
      <c r="Y123" s="129">
        <f t="shared" si="34"/>
        <v>0</v>
      </c>
      <c r="Z123" s="129">
        <f t="shared" si="34"/>
        <v>0</v>
      </c>
      <c r="AA123" s="129">
        <f t="shared" si="34"/>
        <v>0</v>
      </c>
      <c r="AB123" s="129">
        <f t="shared" si="34"/>
        <v>0</v>
      </c>
      <c r="AC123" s="129">
        <f t="shared" si="34"/>
        <v>0</v>
      </c>
      <c r="AD123" s="129">
        <f t="shared" si="34"/>
        <v>0</v>
      </c>
      <c r="AE123" s="129">
        <f t="shared" si="34"/>
        <v>0</v>
      </c>
      <c r="AF123" s="129">
        <f t="shared" si="34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2"/>
        <v>5</v>
      </c>
      <c r="C124" s="130">
        <v>5</v>
      </c>
      <c r="D124" s="129">
        <f t="shared" si="35"/>
        <v>5</v>
      </c>
      <c r="E124" s="129">
        <f t="shared" si="35"/>
        <v>5</v>
      </c>
      <c r="F124" s="129">
        <f t="shared" si="35"/>
        <v>5</v>
      </c>
      <c r="G124" s="129">
        <f t="shared" si="35"/>
        <v>5</v>
      </c>
      <c r="H124" s="129">
        <f t="shared" si="35"/>
        <v>5</v>
      </c>
      <c r="I124" s="129">
        <f t="shared" si="35"/>
        <v>5</v>
      </c>
      <c r="J124" s="129">
        <f t="shared" si="35"/>
        <v>5</v>
      </c>
      <c r="K124" s="129">
        <f t="shared" si="35"/>
        <v>5</v>
      </c>
      <c r="L124" s="129">
        <f t="shared" si="35"/>
        <v>5</v>
      </c>
      <c r="M124" s="129">
        <f t="shared" si="35"/>
        <v>5</v>
      </c>
      <c r="N124" s="129">
        <f t="shared" si="35"/>
        <v>5</v>
      </c>
      <c r="O124" s="129">
        <f t="shared" si="35"/>
        <v>5</v>
      </c>
      <c r="P124" s="129">
        <f t="shared" si="35"/>
        <v>5</v>
      </c>
      <c r="Q124" s="129">
        <f t="shared" si="35"/>
        <v>5</v>
      </c>
      <c r="R124" s="129">
        <f t="shared" si="35"/>
        <v>5</v>
      </c>
      <c r="S124" s="129">
        <f t="shared" si="35"/>
        <v>5</v>
      </c>
      <c r="T124" s="129">
        <f t="shared" si="34"/>
        <v>5</v>
      </c>
      <c r="U124" s="129">
        <f t="shared" si="34"/>
        <v>5</v>
      </c>
      <c r="V124" s="129">
        <f t="shared" si="34"/>
        <v>5</v>
      </c>
      <c r="W124" s="129">
        <f t="shared" si="34"/>
        <v>5</v>
      </c>
      <c r="X124" s="129">
        <f t="shared" si="34"/>
        <v>5</v>
      </c>
      <c r="Y124" s="129">
        <f t="shared" si="34"/>
        <v>5</v>
      </c>
      <c r="Z124" s="129">
        <f t="shared" si="34"/>
        <v>5</v>
      </c>
      <c r="AA124" s="129">
        <f t="shared" si="34"/>
        <v>5</v>
      </c>
      <c r="AB124" s="129">
        <f t="shared" si="34"/>
        <v>5</v>
      </c>
      <c r="AC124" s="129">
        <f t="shared" si="34"/>
        <v>5</v>
      </c>
      <c r="AD124" s="129">
        <f t="shared" si="34"/>
        <v>5</v>
      </c>
      <c r="AE124" s="129">
        <f t="shared" si="34"/>
        <v>5</v>
      </c>
      <c r="AF124" s="129">
        <f t="shared" si="34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2"/>
        <v>1</v>
      </c>
      <c r="C125" s="130">
        <v>1</v>
      </c>
      <c r="D125" s="129">
        <f t="shared" si="35"/>
        <v>1</v>
      </c>
      <c r="E125" s="129">
        <f t="shared" si="35"/>
        <v>1</v>
      </c>
      <c r="F125" s="129">
        <f t="shared" si="35"/>
        <v>1</v>
      </c>
      <c r="G125" s="129">
        <f t="shared" si="35"/>
        <v>1</v>
      </c>
      <c r="H125" s="129">
        <f t="shared" si="35"/>
        <v>1</v>
      </c>
      <c r="I125" s="129">
        <f t="shared" si="35"/>
        <v>1</v>
      </c>
      <c r="J125" s="129">
        <f t="shared" si="35"/>
        <v>1</v>
      </c>
      <c r="K125" s="129">
        <f t="shared" si="35"/>
        <v>1</v>
      </c>
      <c r="L125" s="129">
        <f t="shared" si="35"/>
        <v>1</v>
      </c>
      <c r="M125" s="129">
        <f t="shared" si="35"/>
        <v>1</v>
      </c>
      <c r="N125" s="129">
        <f t="shared" si="35"/>
        <v>1</v>
      </c>
      <c r="O125" s="129">
        <f t="shared" si="35"/>
        <v>1</v>
      </c>
      <c r="P125" s="129">
        <f t="shared" si="35"/>
        <v>1</v>
      </c>
      <c r="Q125" s="129">
        <f t="shared" si="35"/>
        <v>1</v>
      </c>
      <c r="R125" s="129">
        <f t="shared" si="35"/>
        <v>1</v>
      </c>
      <c r="S125" s="129">
        <f t="shared" si="35"/>
        <v>1</v>
      </c>
      <c r="T125" s="129">
        <f t="shared" si="34"/>
        <v>1</v>
      </c>
      <c r="U125" s="129">
        <f t="shared" si="34"/>
        <v>1</v>
      </c>
      <c r="V125" s="129">
        <f t="shared" si="34"/>
        <v>1</v>
      </c>
      <c r="W125" s="129">
        <f t="shared" si="34"/>
        <v>1</v>
      </c>
      <c r="X125" s="129">
        <f t="shared" si="34"/>
        <v>1</v>
      </c>
      <c r="Y125" s="129">
        <f t="shared" si="34"/>
        <v>1</v>
      </c>
      <c r="Z125" s="129">
        <f t="shared" si="34"/>
        <v>1</v>
      </c>
      <c r="AA125" s="129">
        <f t="shared" si="34"/>
        <v>1</v>
      </c>
      <c r="AB125" s="129">
        <f t="shared" si="34"/>
        <v>1</v>
      </c>
      <c r="AC125" s="129">
        <f t="shared" si="34"/>
        <v>1</v>
      </c>
      <c r="AD125" s="129">
        <f t="shared" si="34"/>
        <v>1</v>
      </c>
      <c r="AE125" s="129">
        <f t="shared" si="34"/>
        <v>1</v>
      </c>
      <c r="AF125" s="129">
        <f t="shared" si="34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2"/>
        <v>1.58</v>
      </c>
      <c r="C126" s="130">
        <v>1.58</v>
      </c>
      <c r="D126" s="129">
        <f t="shared" si="35"/>
        <v>1.58</v>
      </c>
      <c r="E126" s="129">
        <f t="shared" si="35"/>
        <v>1.58</v>
      </c>
      <c r="F126" s="129">
        <f t="shared" si="35"/>
        <v>1.58</v>
      </c>
      <c r="G126" s="129">
        <f t="shared" si="35"/>
        <v>1.58</v>
      </c>
      <c r="H126" s="129">
        <f t="shared" si="35"/>
        <v>1.58</v>
      </c>
      <c r="I126" s="129">
        <f t="shared" si="35"/>
        <v>1.58</v>
      </c>
      <c r="J126" s="129">
        <f t="shared" si="35"/>
        <v>1.58</v>
      </c>
      <c r="K126" s="129">
        <f t="shared" si="35"/>
        <v>1.58</v>
      </c>
      <c r="L126" s="129">
        <f t="shared" si="35"/>
        <v>1.58</v>
      </c>
      <c r="M126" s="129">
        <f t="shared" si="35"/>
        <v>1.58</v>
      </c>
      <c r="N126" s="129">
        <f t="shared" si="35"/>
        <v>1.58</v>
      </c>
      <c r="O126" s="129">
        <f t="shared" si="35"/>
        <v>1.58</v>
      </c>
      <c r="P126" s="129">
        <f t="shared" si="35"/>
        <v>1.58</v>
      </c>
      <c r="Q126" s="129">
        <f t="shared" si="35"/>
        <v>1.58</v>
      </c>
      <c r="R126" s="129">
        <f t="shared" si="35"/>
        <v>1.58</v>
      </c>
      <c r="S126" s="129">
        <f t="shared" si="35"/>
        <v>1.58</v>
      </c>
      <c r="T126" s="129">
        <f t="shared" si="34"/>
        <v>1.58</v>
      </c>
      <c r="U126" s="129">
        <f t="shared" si="34"/>
        <v>1.58</v>
      </c>
      <c r="V126" s="129">
        <f t="shared" si="34"/>
        <v>1.58</v>
      </c>
      <c r="W126" s="129">
        <f t="shared" si="34"/>
        <v>1.58</v>
      </c>
      <c r="X126" s="129">
        <f t="shared" si="34"/>
        <v>1.58</v>
      </c>
      <c r="Y126" s="129">
        <f t="shared" si="34"/>
        <v>1.58</v>
      </c>
      <c r="Z126" s="129">
        <f t="shared" si="34"/>
        <v>1.58</v>
      </c>
      <c r="AA126" s="129">
        <f t="shared" si="34"/>
        <v>1.58</v>
      </c>
      <c r="AB126" s="129">
        <f t="shared" si="34"/>
        <v>1.58</v>
      </c>
      <c r="AC126" s="129">
        <f t="shared" si="34"/>
        <v>1.58</v>
      </c>
      <c r="AD126" s="129">
        <f t="shared" si="34"/>
        <v>1.58</v>
      </c>
      <c r="AE126" s="129">
        <f t="shared" si="34"/>
        <v>1.58</v>
      </c>
      <c r="AF126" s="129">
        <f t="shared" si="34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2"/>
        <v>1.46</v>
      </c>
      <c r="C127" s="130">
        <v>1.46</v>
      </c>
      <c r="D127" s="129">
        <f t="shared" si="35"/>
        <v>1.46</v>
      </c>
      <c r="E127" s="129">
        <f t="shared" si="35"/>
        <v>1.46</v>
      </c>
      <c r="F127" s="129">
        <f t="shared" si="35"/>
        <v>1.46</v>
      </c>
      <c r="G127" s="129">
        <f t="shared" si="35"/>
        <v>1.46</v>
      </c>
      <c r="H127" s="129">
        <f t="shared" si="35"/>
        <v>1.46</v>
      </c>
      <c r="I127" s="129">
        <f t="shared" si="35"/>
        <v>1.46</v>
      </c>
      <c r="J127" s="129">
        <f t="shared" si="35"/>
        <v>1.46</v>
      </c>
      <c r="K127" s="129">
        <f t="shared" si="35"/>
        <v>1.46</v>
      </c>
      <c r="L127" s="129">
        <f t="shared" si="35"/>
        <v>1.46</v>
      </c>
      <c r="M127" s="129">
        <f t="shared" si="35"/>
        <v>1.46</v>
      </c>
      <c r="N127" s="129">
        <f t="shared" si="35"/>
        <v>1.46</v>
      </c>
      <c r="O127" s="129">
        <f t="shared" si="35"/>
        <v>1.46</v>
      </c>
      <c r="P127" s="129">
        <f t="shared" si="35"/>
        <v>1.46</v>
      </c>
      <c r="Q127" s="129">
        <f t="shared" si="35"/>
        <v>1.46</v>
      </c>
      <c r="R127" s="129">
        <f t="shared" si="35"/>
        <v>1.46</v>
      </c>
      <c r="S127" s="129">
        <f t="shared" si="35"/>
        <v>1.46</v>
      </c>
      <c r="T127" s="129">
        <f t="shared" ref="T127:AF128" si="36">S127</f>
        <v>1.46</v>
      </c>
      <c r="U127" s="129">
        <f t="shared" si="36"/>
        <v>1.46</v>
      </c>
      <c r="V127" s="129">
        <f t="shared" si="36"/>
        <v>1.46</v>
      </c>
      <c r="W127" s="129">
        <f t="shared" si="36"/>
        <v>1.46</v>
      </c>
      <c r="X127" s="129">
        <f t="shared" si="36"/>
        <v>1.46</v>
      </c>
      <c r="Y127" s="129">
        <f t="shared" si="36"/>
        <v>1.46</v>
      </c>
      <c r="Z127" s="129">
        <f t="shared" si="36"/>
        <v>1.46</v>
      </c>
      <c r="AA127" s="129">
        <f t="shared" si="36"/>
        <v>1.46</v>
      </c>
      <c r="AB127" s="129">
        <f t="shared" si="36"/>
        <v>1.46</v>
      </c>
      <c r="AC127" s="129">
        <f t="shared" si="36"/>
        <v>1.46</v>
      </c>
      <c r="AD127" s="129">
        <f t="shared" si="36"/>
        <v>1.46</v>
      </c>
      <c r="AE127" s="129">
        <f t="shared" si="36"/>
        <v>1.46</v>
      </c>
      <c r="AF127" s="129">
        <f t="shared" si="36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2"/>
        <v>1.48</v>
      </c>
      <c r="C128" s="130">
        <v>1.48</v>
      </c>
      <c r="D128" s="129">
        <f t="shared" si="35"/>
        <v>1.48</v>
      </c>
      <c r="E128" s="129">
        <f t="shared" si="35"/>
        <v>1.48</v>
      </c>
      <c r="F128" s="129">
        <f t="shared" si="35"/>
        <v>1.48</v>
      </c>
      <c r="G128" s="129">
        <f t="shared" si="35"/>
        <v>1.48</v>
      </c>
      <c r="H128" s="129">
        <f t="shared" si="35"/>
        <v>1.48</v>
      </c>
      <c r="I128" s="129">
        <f t="shared" si="35"/>
        <v>1.48</v>
      </c>
      <c r="J128" s="129">
        <f t="shared" si="35"/>
        <v>1.48</v>
      </c>
      <c r="K128" s="129">
        <f t="shared" si="35"/>
        <v>1.48</v>
      </c>
      <c r="L128" s="129">
        <f t="shared" si="35"/>
        <v>1.48</v>
      </c>
      <c r="M128" s="129">
        <f t="shared" si="35"/>
        <v>1.48</v>
      </c>
      <c r="N128" s="129">
        <f t="shared" si="35"/>
        <v>1.48</v>
      </c>
      <c r="O128" s="129">
        <f t="shared" si="35"/>
        <v>1.48</v>
      </c>
      <c r="P128" s="129">
        <f t="shared" si="35"/>
        <v>1.48</v>
      </c>
      <c r="Q128" s="129">
        <f t="shared" si="35"/>
        <v>1.48</v>
      </c>
      <c r="R128" s="129">
        <f t="shared" si="35"/>
        <v>1.48</v>
      </c>
      <c r="S128" s="129">
        <f t="shared" si="35"/>
        <v>1.48</v>
      </c>
      <c r="T128" s="129">
        <f t="shared" si="36"/>
        <v>1.48</v>
      </c>
      <c r="U128" s="129">
        <f t="shared" si="36"/>
        <v>1.48</v>
      </c>
      <c r="V128" s="129">
        <f t="shared" si="36"/>
        <v>1.48</v>
      </c>
      <c r="W128" s="129">
        <f t="shared" si="36"/>
        <v>1.48</v>
      </c>
      <c r="X128" s="129">
        <f t="shared" si="36"/>
        <v>1.48</v>
      </c>
      <c r="Y128" s="129">
        <f t="shared" si="36"/>
        <v>1.48</v>
      </c>
      <c r="Z128" s="129">
        <f t="shared" si="36"/>
        <v>1.48</v>
      </c>
      <c r="AA128" s="129">
        <f t="shared" si="36"/>
        <v>1.48</v>
      </c>
      <c r="AB128" s="129">
        <f t="shared" si="36"/>
        <v>1.48</v>
      </c>
      <c r="AC128" s="129">
        <f t="shared" si="36"/>
        <v>1.48</v>
      </c>
      <c r="AD128" s="129">
        <f t="shared" si="36"/>
        <v>1.48</v>
      </c>
      <c r="AE128" s="129">
        <f t="shared" si="36"/>
        <v>1.48</v>
      </c>
      <c r="AF128" s="129">
        <f t="shared" si="36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7">AF130</f>
        <v>2.2000000000000002</v>
      </c>
      <c r="C130" s="130">
        <v>2.2000000000000002</v>
      </c>
      <c r="D130" s="129">
        <f t="shared" ref="D130:S137" si="38">C130</f>
        <v>2.2000000000000002</v>
      </c>
      <c r="E130" s="129">
        <f t="shared" si="38"/>
        <v>2.2000000000000002</v>
      </c>
      <c r="F130" s="129">
        <f t="shared" si="38"/>
        <v>2.2000000000000002</v>
      </c>
      <c r="G130" s="129">
        <f t="shared" si="38"/>
        <v>2.2000000000000002</v>
      </c>
      <c r="H130" s="129">
        <f t="shared" si="38"/>
        <v>2.2000000000000002</v>
      </c>
      <c r="I130" s="129">
        <f t="shared" si="38"/>
        <v>2.2000000000000002</v>
      </c>
      <c r="J130" s="129">
        <f t="shared" si="38"/>
        <v>2.2000000000000002</v>
      </c>
      <c r="K130" s="129">
        <f t="shared" si="38"/>
        <v>2.2000000000000002</v>
      </c>
      <c r="L130" s="129">
        <f t="shared" si="38"/>
        <v>2.2000000000000002</v>
      </c>
      <c r="M130" s="129">
        <f t="shared" si="38"/>
        <v>2.2000000000000002</v>
      </c>
      <c r="N130" s="129">
        <f t="shared" si="38"/>
        <v>2.2000000000000002</v>
      </c>
      <c r="O130" s="129">
        <f t="shared" si="38"/>
        <v>2.2000000000000002</v>
      </c>
      <c r="P130" s="129">
        <f t="shared" si="38"/>
        <v>2.2000000000000002</v>
      </c>
      <c r="Q130" s="129">
        <f t="shared" si="38"/>
        <v>2.2000000000000002</v>
      </c>
      <c r="R130" s="129">
        <f t="shared" si="38"/>
        <v>2.2000000000000002</v>
      </c>
      <c r="S130" s="129">
        <f t="shared" si="38"/>
        <v>2.2000000000000002</v>
      </c>
      <c r="T130" s="129">
        <f t="shared" ref="T130:AF137" si="39">S130</f>
        <v>2.2000000000000002</v>
      </c>
      <c r="U130" s="129">
        <f t="shared" si="39"/>
        <v>2.2000000000000002</v>
      </c>
      <c r="V130" s="129">
        <f t="shared" si="39"/>
        <v>2.2000000000000002</v>
      </c>
      <c r="W130" s="129">
        <f t="shared" si="39"/>
        <v>2.2000000000000002</v>
      </c>
      <c r="X130" s="129">
        <f t="shared" si="39"/>
        <v>2.2000000000000002</v>
      </c>
      <c r="Y130" s="129">
        <f t="shared" si="39"/>
        <v>2.2000000000000002</v>
      </c>
      <c r="Z130" s="129">
        <f t="shared" si="39"/>
        <v>2.2000000000000002</v>
      </c>
      <c r="AA130" s="129">
        <f t="shared" si="39"/>
        <v>2.2000000000000002</v>
      </c>
      <c r="AB130" s="129">
        <f t="shared" si="39"/>
        <v>2.2000000000000002</v>
      </c>
      <c r="AC130" s="129">
        <f t="shared" si="39"/>
        <v>2.2000000000000002</v>
      </c>
      <c r="AD130" s="129">
        <f t="shared" si="39"/>
        <v>2.2000000000000002</v>
      </c>
      <c r="AE130" s="129">
        <f t="shared" si="39"/>
        <v>2.2000000000000002</v>
      </c>
      <c r="AF130" s="129">
        <f t="shared" si="39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7"/>
        <v>2</v>
      </c>
      <c r="C131" s="130">
        <v>2</v>
      </c>
      <c r="D131" s="129">
        <f t="shared" si="38"/>
        <v>2</v>
      </c>
      <c r="E131" s="129">
        <f t="shared" si="38"/>
        <v>2</v>
      </c>
      <c r="F131" s="129">
        <f t="shared" si="38"/>
        <v>2</v>
      </c>
      <c r="G131" s="129">
        <f t="shared" si="38"/>
        <v>2</v>
      </c>
      <c r="H131" s="129">
        <f t="shared" si="38"/>
        <v>2</v>
      </c>
      <c r="I131" s="129">
        <f t="shared" si="38"/>
        <v>2</v>
      </c>
      <c r="J131" s="129">
        <f t="shared" si="38"/>
        <v>2</v>
      </c>
      <c r="K131" s="129">
        <f t="shared" si="38"/>
        <v>2</v>
      </c>
      <c r="L131" s="129">
        <f t="shared" si="38"/>
        <v>2</v>
      </c>
      <c r="M131" s="129">
        <f t="shared" si="38"/>
        <v>2</v>
      </c>
      <c r="N131" s="129">
        <f t="shared" si="38"/>
        <v>2</v>
      </c>
      <c r="O131" s="129">
        <f t="shared" si="38"/>
        <v>2</v>
      </c>
      <c r="P131" s="129">
        <f t="shared" si="38"/>
        <v>2</v>
      </c>
      <c r="Q131" s="129">
        <f t="shared" si="38"/>
        <v>2</v>
      </c>
      <c r="R131" s="129">
        <f t="shared" si="38"/>
        <v>2</v>
      </c>
      <c r="S131" s="129">
        <f t="shared" si="38"/>
        <v>2</v>
      </c>
      <c r="T131" s="129">
        <f t="shared" si="39"/>
        <v>2</v>
      </c>
      <c r="U131" s="129">
        <f t="shared" si="39"/>
        <v>2</v>
      </c>
      <c r="V131" s="129">
        <f t="shared" si="39"/>
        <v>2</v>
      </c>
      <c r="W131" s="129">
        <f t="shared" si="39"/>
        <v>2</v>
      </c>
      <c r="X131" s="129">
        <f t="shared" si="39"/>
        <v>2</v>
      </c>
      <c r="Y131" s="129">
        <f t="shared" si="39"/>
        <v>2</v>
      </c>
      <c r="Z131" s="129">
        <f t="shared" si="39"/>
        <v>2</v>
      </c>
      <c r="AA131" s="129">
        <f t="shared" si="39"/>
        <v>2</v>
      </c>
      <c r="AB131" s="129">
        <f t="shared" si="39"/>
        <v>2</v>
      </c>
      <c r="AC131" s="129">
        <f t="shared" si="39"/>
        <v>2</v>
      </c>
      <c r="AD131" s="129">
        <f t="shared" si="39"/>
        <v>2</v>
      </c>
      <c r="AE131" s="129">
        <f t="shared" si="39"/>
        <v>2</v>
      </c>
      <c r="AF131" s="129">
        <f t="shared" si="39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7"/>
        <v>1.25</v>
      </c>
      <c r="C132" s="130">
        <v>1.25</v>
      </c>
      <c r="D132" s="129">
        <f t="shared" si="38"/>
        <v>1.25</v>
      </c>
      <c r="E132" s="129">
        <f t="shared" si="38"/>
        <v>1.25</v>
      </c>
      <c r="F132" s="129">
        <f t="shared" si="38"/>
        <v>1.25</v>
      </c>
      <c r="G132" s="129">
        <f t="shared" si="38"/>
        <v>1.25</v>
      </c>
      <c r="H132" s="129">
        <f t="shared" si="38"/>
        <v>1.25</v>
      </c>
      <c r="I132" s="129">
        <f t="shared" si="38"/>
        <v>1.25</v>
      </c>
      <c r="J132" s="129">
        <f t="shared" si="38"/>
        <v>1.25</v>
      </c>
      <c r="K132" s="129">
        <f t="shared" si="38"/>
        <v>1.25</v>
      </c>
      <c r="L132" s="129">
        <f t="shared" si="38"/>
        <v>1.25</v>
      </c>
      <c r="M132" s="129">
        <f t="shared" si="38"/>
        <v>1.25</v>
      </c>
      <c r="N132" s="129">
        <f t="shared" si="38"/>
        <v>1.25</v>
      </c>
      <c r="O132" s="129">
        <f t="shared" si="38"/>
        <v>1.25</v>
      </c>
      <c r="P132" s="129">
        <f t="shared" si="38"/>
        <v>1.25</v>
      </c>
      <c r="Q132" s="129">
        <f t="shared" si="38"/>
        <v>1.25</v>
      </c>
      <c r="R132" s="129">
        <f t="shared" si="38"/>
        <v>1.25</v>
      </c>
      <c r="S132" s="129">
        <f t="shared" si="38"/>
        <v>1.25</v>
      </c>
      <c r="T132" s="129">
        <f t="shared" si="39"/>
        <v>1.25</v>
      </c>
      <c r="U132" s="129">
        <f t="shared" si="39"/>
        <v>1.25</v>
      </c>
      <c r="V132" s="129">
        <f t="shared" si="39"/>
        <v>1.25</v>
      </c>
      <c r="W132" s="129">
        <f t="shared" si="39"/>
        <v>1.25</v>
      </c>
      <c r="X132" s="129">
        <f t="shared" si="39"/>
        <v>1.25</v>
      </c>
      <c r="Y132" s="129">
        <f t="shared" si="39"/>
        <v>1.25</v>
      </c>
      <c r="Z132" s="129">
        <f t="shared" si="39"/>
        <v>1.25</v>
      </c>
      <c r="AA132" s="129">
        <f t="shared" si="39"/>
        <v>1.25</v>
      </c>
      <c r="AB132" s="129">
        <f t="shared" si="39"/>
        <v>1.25</v>
      </c>
      <c r="AC132" s="129">
        <f t="shared" si="39"/>
        <v>1.25</v>
      </c>
      <c r="AD132" s="129">
        <f t="shared" si="39"/>
        <v>1.25</v>
      </c>
      <c r="AE132" s="129">
        <f t="shared" si="39"/>
        <v>1.25</v>
      </c>
      <c r="AF132" s="129">
        <f t="shared" si="39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7"/>
        <v>1.1499999999999999</v>
      </c>
      <c r="C133" s="130">
        <v>1.1499999999999999</v>
      </c>
      <c r="D133" s="129">
        <f t="shared" si="38"/>
        <v>1.1499999999999999</v>
      </c>
      <c r="E133" s="129">
        <f t="shared" si="38"/>
        <v>1.1499999999999999</v>
      </c>
      <c r="F133" s="129">
        <f t="shared" si="38"/>
        <v>1.1499999999999999</v>
      </c>
      <c r="G133" s="129">
        <f t="shared" si="38"/>
        <v>1.1499999999999999</v>
      </c>
      <c r="H133" s="129">
        <f t="shared" si="38"/>
        <v>1.1499999999999999</v>
      </c>
      <c r="I133" s="129">
        <f t="shared" si="38"/>
        <v>1.1499999999999999</v>
      </c>
      <c r="J133" s="129">
        <f t="shared" si="38"/>
        <v>1.1499999999999999</v>
      </c>
      <c r="K133" s="129">
        <f t="shared" si="38"/>
        <v>1.1499999999999999</v>
      </c>
      <c r="L133" s="129">
        <f t="shared" si="38"/>
        <v>1.1499999999999999</v>
      </c>
      <c r="M133" s="129">
        <f t="shared" si="38"/>
        <v>1.1499999999999999</v>
      </c>
      <c r="N133" s="129">
        <f t="shared" si="38"/>
        <v>1.1499999999999999</v>
      </c>
      <c r="O133" s="129">
        <f t="shared" si="38"/>
        <v>1.1499999999999999</v>
      </c>
      <c r="P133" s="129">
        <f t="shared" si="38"/>
        <v>1.1499999999999999</v>
      </c>
      <c r="Q133" s="129">
        <f t="shared" si="38"/>
        <v>1.1499999999999999</v>
      </c>
      <c r="R133" s="129">
        <f t="shared" si="38"/>
        <v>1.1499999999999999</v>
      </c>
      <c r="S133" s="129">
        <f t="shared" si="38"/>
        <v>1.1499999999999999</v>
      </c>
      <c r="T133" s="129">
        <f t="shared" si="39"/>
        <v>1.1499999999999999</v>
      </c>
      <c r="U133" s="129">
        <f t="shared" si="39"/>
        <v>1.1499999999999999</v>
      </c>
      <c r="V133" s="129">
        <f t="shared" si="39"/>
        <v>1.1499999999999999</v>
      </c>
      <c r="W133" s="129">
        <f t="shared" si="39"/>
        <v>1.1499999999999999</v>
      </c>
      <c r="X133" s="129">
        <f t="shared" si="39"/>
        <v>1.1499999999999999</v>
      </c>
      <c r="Y133" s="129">
        <f t="shared" si="39"/>
        <v>1.1499999999999999</v>
      </c>
      <c r="Z133" s="129">
        <f t="shared" si="39"/>
        <v>1.1499999999999999</v>
      </c>
      <c r="AA133" s="129">
        <f t="shared" si="39"/>
        <v>1.1499999999999999</v>
      </c>
      <c r="AB133" s="129">
        <f t="shared" si="39"/>
        <v>1.1499999999999999</v>
      </c>
      <c r="AC133" s="129">
        <f t="shared" si="39"/>
        <v>1.1499999999999999</v>
      </c>
      <c r="AD133" s="129">
        <f t="shared" si="39"/>
        <v>1.1499999999999999</v>
      </c>
      <c r="AE133" s="129">
        <f t="shared" si="39"/>
        <v>1.1499999999999999</v>
      </c>
      <c r="AF133" s="129">
        <f t="shared" si="39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7"/>
        <v>2.133</v>
      </c>
      <c r="C134" s="130">
        <v>2.133</v>
      </c>
      <c r="D134" s="129">
        <f t="shared" si="38"/>
        <v>2.133</v>
      </c>
      <c r="E134" s="129">
        <f t="shared" si="38"/>
        <v>2.133</v>
      </c>
      <c r="F134" s="129">
        <f t="shared" si="38"/>
        <v>2.133</v>
      </c>
      <c r="G134" s="129">
        <f t="shared" si="38"/>
        <v>2.133</v>
      </c>
      <c r="H134" s="129">
        <f t="shared" si="38"/>
        <v>2.133</v>
      </c>
      <c r="I134" s="129">
        <f t="shared" si="38"/>
        <v>2.133</v>
      </c>
      <c r="J134" s="129">
        <f t="shared" si="38"/>
        <v>2.133</v>
      </c>
      <c r="K134" s="129">
        <f t="shared" si="38"/>
        <v>2.133</v>
      </c>
      <c r="L134" s="129">
        <f t="shared" si="38"/>
        <v>2.133</v>
      </c>
      <c r="M134" s="129">
        <f t="shared" si="38"/>
        <v>2.133</v>
      </c>
      <c r="N134" s="129">
        <f t="shared" si="38"/>
        <v>2.133</v>
      </c>
      <c r="O134" s="129">
        <f t="shared" si="38"/>
        <v>2.133</v>
      </c>
      <c r="P134" s="129">
        <f t="shared" si="38"/>
        <v>2.133</v>
      </c>
      <c r="Q134" s="129">
        <f t="shared" si="38"/>
        <v>2.133</v>
      </c>
      <c r="R134" s="129">
        <f t="shared" si="38"/>
        <v>2.133</v>
      </c>
      <c r="S134" s="129">
        <f t="shared" si="38"/>
        <v>2.133</v>
      </c>
      <c r="T134" s="129">
        <f t="shared" si="39"/>
        <v>2.133</v>
      </c>
      <c r="U134" s="129">
        <f t="shared" si="39"/>
        <v>2.133</v>
      </c>
      <c r="V134" s="129">
        <f t="shared" si="39"/>
        <v>2.133</v>
      </c>
      <c r="W134" s="129">
        <f t="shared" si="39"/>
        <v>2.133</v>
      </c>
      <c r="X134" s="129">
        <f t="shared" si="39"/>
        <v>2.133</v>
      </c>
      <c r="Y134" s="129">
        <f t="shared" si="39"/>
        <v>2.133</v>
      </c>
      <c r="Z134" s="129">
        <f t="shared" si="39"/>
        <v>2.133</v>
      </c>
      <c r="AA134" s="129">
        <f t="shared" si="39"/>
        <v>2.133</v>
      </c>
      <c r="AB134" s="129">
        <f t="shared" si="39"/>
        <v>2.133</v>
      </c>
      <c r="AC134" s="129">
        <f t="shared" si="39"/>
        <v>2.133</v>
      </c>
      <c r="AD134" s="129">
        <f t="shared" si="39"/>
        <v>2.133</v>
      </c>
      <c r="AE134" s="129">
        <f t="shared" si="39"/>
        <v>2.133</v>
      </c>
      <c r="AF134" s="129">
        <f t="shared" si="39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7"/>
        <v>2.09</v>
      </c>
      <c r="C135" s="130">
        <v>2.09</v>
      </c>
      <c r="D135" s="129">
        <f t="shared" si="38"/>
        <v>2.09</v>
      </c>
      <c r="E135" s="129">
        <f t="shared" si="38"/>
        <v>2.09</v>
      </c>
      <c r="F135" s="129">
        <f t="shared" si="38"/>
        <v>2.09</v>
      </c>
      <c r="G135" s="129">
        <f t="shared" si="38"/>
        <v>2.09</v>
      </c>
      <c r="H135" s="129">
        <f t="shared" si="38"/>
        <v>2.09</v>
      </c>
      <c r="I135" s="129">
        <f t="shared" si="38"/>
        <v>2.09</v>
      </c>
      <c r="J135" s="129">
        <f t="shared" si="38"/>
        <v>2.09</v>
      </c>
      <c r="K135" s="129">
        <f t="shared" si="38"/>
        <v>2.09</v>
      </c>
      <c r="L135" s="129">
        <f t="shared" si="38"/>
        <v>2.09</v>
      </c>
      <c r="M135" s="129">
        <f t="shared" si="38"/>
        <v>2.09</v>
      </c>
      <c r="N135" s="129">
        <f t="shared" si="38"/>
        <v>2.09</v>
      </c>
      <c r="O135" s="129">
        <f t="shared" si="38"/>
        <v>2.09</v>
      </c>
      <c r="P135" s="129">
        <f t="shared" si="38"/>
        <v>2.09</v>
      </c>
      <c r="Q135" s="129">
        <f t="shared" si="38"/>
        <v>2.09</v>
      </c>
      <c r="R135" s="129">
        <f t="shared" si="38"/>
        <v>2.09</v>
      </c>
      <c r="S135" s="129">
        <f t="shared" si="38"/>
        <v>2.09</v>
      </c>
      <c r="T135" s="129">
        <f t="shared" si="39"/>
        <v>2.09</v>
      </c>
      <c r="U135" s="129">
        <f t="shared" si="39"/>
        <v>2.09</v>
      </c>
      <c r="V135" s="129">
        <f t="shared" si="39"/>
        <v>2.09</v>
      </c>
      <c r="W135" s="129">
        <f t="shared" si="39"/>
        <v>2.09</v>
      </c>
      <c r="X135" s="129">
        <f t="shared" si="39"/>
        <v>2.09</v>
      </c>
      <c r="Y135" s="129">
        <f t="shared" si="39"/>
        <v>2.09</v>
      </c>
      <c r="Z135" s="129">
        <f t="shared" si="39"/>
        <v>2.09</v>
      </c>
      <c r="AA135" s="129">
        <f t="shared" si="39"/>
        <v>2.09</v>
      </c>
      <c r="AB135" s="129">
        <f t="shared" si="39"/>
        <v>2.09</v>
      </c>
      <c r="AC135" s="129">
        <f t="shared" si="39"/>
        <v>2.09</v>
      </c>
      <c r="AD135" s="129">
        <f t="shared" si="39"/>
        <v>2.09</v>
      </c>
      <c r="AE135" s="129">
        <f t="shared" si="39"/>
        <v>2.09</v>
      </c>
      <c r="AF135" s="129">
        <f t="shared" si="39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7"/>
        <v>1.1399999999999999</v>
      </c>
      <c r="C136" s="130">
        <v>1.1399999999999999</v>
      </c>
      <c r="D136" s="129">
        <f t="shared" si="38"/>
        <v>1.1399999999999999</v>
      </c>
      <c r="E136" s="129">
        <f t="shared" si="38"/>
        <v>1.1399999999999999</v>
      </c>
      <c r="F136" s="129">
        <f t="shared" si="38"/>
        <v>1.1399999999999999</v>
      </c>
      <c r="G136" s="129">
        <f t="shared" si="38"/>
        <v>1.1399999999999999</v>
      </c>
      <c r="H136" s="129">
        <f t="shared" si="38"/>
        <v>1.1399999999999999</v>
      </c>
      <c r="I136" s="129">
        <f t="shared" si="38"/>
        <v>1.1399999999999999</v>
      </c>
      <c r="J136" s="129">
        <f t="shared" si="38"/>
        <v>1.1399999999999999</v>
      </c>
      <c r="K136" s="129">
        <f t="shared" si="38"/>
        <v>1.1399999999999999</v>
      </c>
      <c r="L136" s="129">
        <f t="shared" si="38"/>
        <v>1.1399999999999999</v>
      </c>
      <c r="M136" s="129">
        <f t="shared" si="38"/>
        <v>1.1399999999999999</v>
      </c>
      <c r="N136" s="129">
        <f t="shared" si="38"/>
        <v>1.1399999999999999</v>
      </c>
      <c r="O136" s="129">
        <f t="shared" si="38"/>
        <v>1.1399999999999999</v>
      </c>
      <c r="P136" s="129">
        <f t="shared" si="38"/>
        <v>1.1399999999999999</v>
      </c>
      <c r="Q136" s="129">
        <f t="shared" si="38"/>
        <v>1.1399999999999999</v>
      </c>
      <c r="R136" s="129">
        <f t="shared" si="38"/>
        <v>1.1399999999999999</v>
      </c>
      <c r="S136" s="129">
        <f t="shared" si="38"/>
        <v>1.1399999999999999</v>
      </c>
      <c r="T136" s="129">
        <f t="shared" si="39"/>
        <v>1.1399999999999999</v>
      </c>
      <c r="U136" s="129">
        <f t="shared" si="39"/>
        <v>1.1399999999999999</v>
      </c>
      <c r="V136" s="129">
        <f t="shared" si="39"/>
        <v>1.1399999999999999</v>
      </c>
      <c r="W136" s="129">
        <f t="shared" si="39"/>
        <v>1.1399999999999999</v>
      </c>
      <c r="X136" s="129">
        <f t="shared" si="39"/>
        <v>1.1399999999999999</v>
      </c>
      <c r="Y136" s="129">
        <f t="shared" si="39"/>
        <v>1.1399999999999999</v>
      </c>
      <c r="Z136" s="129">
        <f t="shared" si="39"/>
        <v>1.1399999999999999</v>
      </c>
      <c r="AA136" s="129">
        <f t="shared" si="39"/>
        <v>1.1399999999999999</v>
      </c>
      <c r="AB136" s="129">
        <f t="shared" si="39"/>
        <v>1.1399999999999999</v>
      </c>
      <c r="AC136" s="129">
        <f t="shared" si="39"/>
        <v>1.1399999999999999</v>
      </c>
      <c r="AD136" s="129">
        <f t="shared" si="39"/>
        <v>1.1399999999999999</v>
      </c>
      <c r="AE136" s="129">
        <f t="shared" si="39"/>
        <v>1.1399999999999999</v>
      </c>
      <c r="AF136" s="129">
        <f t="shared" si="39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7"/>
        <v>0.82</v>
      </c>
      <c r="C137" s="130">
        <v>0.82</v>
      </c>
      <c r="D137" s="129">
        <f t="shared" si="38"/>
        <v>0.82</v>
      </c>
      <c r="E137" s="129">
        <f t="shared" si="38"/>
        <v>0.82</v>
      </c>
      <c r="F137" s="129">
        <f t="shared" si="38"/>
        <v>0.82</v>
      </c>
      <c r="G137" s="129">
        <f t="shared" si="38"/>
        <v>0.82</v>
      </c>
      <c r="H137" s="129">
        <f t="shared" si="38"/>
        <v>0.82</v>
      </c>
      <c r="I137" s="129">
        <f t="shared" si="38"/>
        <v>0.82</v>
      </c>
      <c r="J137" s="129">
        <f t="shared" si="38"/>
        <v>0.82</v>
      </c>
      <c r="K137" s="129">
        <f t="shared" si="38"/>
        <v>0.82</v>
      </c>
      <c r="L137" s="129">
        <f t="shared" si="38"/>
        <v>0.82</v>
      </c>
      <c r="M137" s="129">
        <f t="shared" si="38"/>
        <v>0.82</v>
      </c>
      <c r="N137" s="129">
        <f t="shared" si="38"/>
        <v>0.82</v>
      </c>
      <c r="O137" s="129">
        <f t="shared" si="38"/>
        <v>0.82</v>
      </c>
      <c r="P137" s="129">
        <f t="shared" si="38"/>
        <v>0.82</v>
      </c>
      <c r="Q137" s="129">
        <f t="shared" si="38"/>
        <v>0.82</v>
      </c>
      <c r="R137" s="129">
        <f t="shared" si="38"/>
        <v>0.82</v>
      </c>
      <c r="S137" s="129">
        <f t="shared" si="38"/>
        <v>0.82</v>
      </c>
      <c r="T137" s="129">
        <f t="shared" si="39"/>
        <v>0.82</v>
      </c>
      <c r="U137" s="129">
        <f t="shared" si="39"/>
        <v>0.82</v>
      </c>
      <c r="V137" s="129">
        <f t="shared" si="39"/>
        <v>0.82</v>
      </c>
      <c r="W137" s="129">
        <f t="shared" si="39"/>
        <v>0.82</v>
      </c>
      <c r="X137" s="129">
        <f t="shared" si="39"/>
        <v>0.82</v>
      </c>
      <c r="Y137" s="129">
        <f t="shared" si="39"/>
        <v>0.82</v>
      </c>
      <c r="Z137" s="129">
        <f t="shared" si="39"/>
        <v>0.82</v>
      </c>
      <c r="AA137" s="129">
        <f t="shared" si="39"/>
        <v>0.82</v>
      </c>
      <c r="AB137" s="129">
        <f t="shared" si="39"/>
        <v>0.82</v>
      </c>
      <c r="AC137" s="129">
        <f t="shared" si="39"/>
        <v>0.82</v>
      </c>
      <c r="AD137" s="129">
        <f t="shared" si="39"/>
        <v>0.82</v>
      </c>
      <c r="AE137" s="129">
        <f t="shared" si="39"/>
        <v>0.82</v>
      </c>
      <c r="AF137" s="129">
        <f t="shared" si="39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40">AF139</f>
        <v>2</v>
      </c>
      <c r="C139" s="130">
        <v>2</v>
      </c>
      <c r="D139" s="129">
        <f t="shared" ref="D139:S145" si="41">C139</f>
        <v>2</v>
      </c>
      <c r="E139" s="129">
        <f t="shared" si="41"/>
        <v>2</v>
      </c>
      <c r="F139" s="129">
        <f t="shared" si="41"/>
        <v>2</v>
      </c>
      <c r="G139" s="129">
        <f t="shared" si="41"/>
        <v>2</v>
      </c>
      <c r="H139" s="129">
        <f t="shared" si="41"/>
        <v>2</v>
      </c>
      <c r="I139" s="129">
        <f t="shared" si="41"/>
        <v>2</v>
      </c>
      <c r="J139" s="129">
        <f t="shared" si="41"/>
        <v>2</v>
      </c>
      <c r="K139" s="129">
        <f t="shared" si="41"/>
        <v>2</v>
      </c>
      <c r="L139" s="129">
        <f t="shared" si="41"/>
        <v>2</v>
      </c>
      <c r="M139" s="129">
        <f t="shared" si="41"/>
        <v>2</v>
      </c>
      <c r="N139" s="129">
        <f t="shared" si="41"/>
        <v>2</v>
      </c>
      <c r="O139" s="129">
        <f t="shared" si="41"/>
        <v>2</v>
      </c>
      <c r="P139" s="129">
        <f t="shared" si="41"/>
        <v>2</v>
      </c>
      <c r="Q139" s="129">
        <f t="shared" si="41"/>
        <v>2</v>
      </c>
      <c r="R139" s="129">
        <f t="shared" si="41"/>
        <v>2</v>
      </c>
      <c r="S139" s="129">
        <f t="shared" si="41"/>
        <v>2</v>
      </c>
      <c r="T139" s="129">
        <f t="shared" ref="T139:AF145" si="42">S139</f>
        <v>2</v>
      </c>
      <c r="U139" s="129">
        <f t="shared" si="42"/>
        <v>2</v>
      </c>
      <c r="V139" s="129">
        <f t="shared" si="42"/>
        <v>2</v>
      </c>
      <c r="W139" s="129">
        <f t="shared" si="42"/>
        <v>2</v>
      </c>
      <c r="X139" s="129">
        <f t="shared" si="42"/>
        <v>2</v>
      </c>
      <c r="Y139" s="129">
        <f t="shared" si="42"/>
        <v>2</v>
      </c>
      <c r="Z139" s="129">
        <f t="shared" si="42"/>
        <v>2</v>
      </c>
      <c r="AA139" s="129">
        <f t="shared" si="42"/>
        <v>2</v>
      </c>
      <c r="AB139" s="129">
        <f t="shared" si="42"/>
        <v>2</v>
      </c>
      <c r="AC139" s="129">
        <f t="shared" si="42"/>
        <v>2</v>
      </c>
      <c r="AD139" s="129">
        <f t="shared" si="42"/>
        <v>2</v>
      </c>
      <c r="AE139" s="129">
        <f t="shared" si="42"/>
        <v>2</v>
      </c>
      <c r="AF139" s="129">
        <f t="shared" si="42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40"/>
        <v>5.61</v>
      </c>
      <c r="C140" s="130">
        <v>5.61</v>
      </c>
      <c r="D140" s="129">
        <f t="shared" si="41"/>
        <v>5.61</v>
      </c>
      <c r="E140" s="129">
        <f t="shared" si="41"/>
        <v>5.61</v>
      </c>
      <c r="F140" s="129">
        <f t="shared" si="41"/>
        <v>5.61</v>
      </c>
      <c r="G140" s="129">
        <f t="shared" si="41"/>
        <v>5.61</v>
      </c>
      <c r="H140" s="129">
        <f t="shared" si="41"/>
        <v>5.61</v>
      </c>
      <c r="I140" s="129">
        <f t="shared" si="41"/>
        <v>5.61</v>
      </c>
      <c r="J140" s="129">
        <f t="shared" si="41"/>
        <v>5.61</v>
      </c>
      <c r="K140" s="129">
        <f t="shared" si="41"/>
        <v>5.61</v>
      </c>
      <c r="L140" s="129">
        <f t="shared" si="41"/>
        <v>5.61</v>
      </c>
      <c r="M140" s="129">
        <f t="shared" si="41"/>
        <v>5.61</v>
      </c>
      <c r="N140" s="129">
        <f t="shared" si="41"/>
        <v>5.61</v>
      </c>
      <c r="O140" s="129">
        <f t="shared" si="41"/>
        <v>5.61</v>
      </c>
      <c r="P140" s="129">
        <f t="shared" si="41"/>
        <v>5.61</v>
      </c>
      <c r="Q140" s="129">
        <f t="shared" si="41"/>
        <v>5.61</v>
      </c>
      <c r="R140" s="129">
        <f t="shared" si="41"/>
        <v>5.61</v>
      </c>
      <c r="S140" s="129">
        <f t="shared" si="41"/>
        <v>5.61</v>
      </c>
      <c r="T140" s="129">
        <f t="shared" si="42"/>
        <v>5.61</v>
      </c>
      <c r="U140" s="129">
        <f t="shared" si="42"/>
        <v>5.61</v>
      </c>
      <c r="V140" s="129">
        <f t="shared" si="42"/>
        <v>5.61</v>
      </c>
      <c r="W140" s="129">
        <f t="shared" si="42"/>
        <v>5.61</v>
      </c>
      <c r="X140" s="129">
        <f t="shared" si="42"/>
        <v>5.61</v>
      </c>
      <c r="Y140" s="129">
        <f t="shared" si="42"/>
        <v>5.61</v>
      </c>
      <c r="Z140" s="129">
        <f t="shared" si="42"/>
        <v>5.61</v>
      </c>
      <c r="AA140" s="129">
        <f t="shared" si="42"/>
        <v>5.61</v>
      </c>
      <c r="AB140" s="129">
        <f t="shared" si="42"/>
        <v>5.61</v>
      </c>
      <c r="AC140" s="129">
        <f t="shared" si="42"/>
        <v>5.61</v>
      </c>
      <c r="AD140" s="129">
        <f t="shared" si="42"/>
        <v>5.61</v>
      </c>
      <c r="AE140" s="129">
        <f t="shared" si="42"/>
        <v>5.61</v>
      </c>
      <c r="AF140" s="129">
        <f t="shared" si="42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40"/>
        <v>1.25</v>
      </c>
      <c r="C141" s="130">
        <v>1.25</v>
      </c>
      <c r="D141" s="129">
        <f t="shared" si="41"/>
        <v>1.25</v>
      </c>
      <c r="E141" s="129">
        <f t="shared" si="41"/>
        <v>1.25</v>
      </c>
      <c r="F141" s="129">
        <f t="shared" si="41"/>
        <v>1.25</v>
      </c>
      <c r="G141" s="129">
        <f t="shared" si="41"/>
        <v>1.25</v>
      </c>
      <c r="H141" s="129">
        <f t="shared" si="41"/>
        <v>1.25</v>
      </c>
      <c r="I141" s="129">
        <f t="shared" si="41"/>
        <v>1.25</v>
      </c>
      <c r="J141" s="129">
        <f t="shared" si="41"/>
        <v>1.25</v>
      </c>
      <c r="K141" s="129">
        <f t="shared" si="41"/>
        <v>1.25</v>
      </c>
      <c r="L141" s="129">
        <f t="shared" si="41"/>
        <v>1.25</v>
      </c>
      <c r="M141" s="129">
        <f t="shared" si="41"/>
        <v>1.25</v>
      </c>
      <c r="N141" s="129">
        <f t="shared" si="41"/>
        <v>1.25</v>
      </c>
      <c r="O141" s="129">
        <f t="shared" si="41"/>
        <v>1.25</v>
      </c>
      <c r="P141" s="129">
        <f t="shared" si="41"/>
        <v>1.25</v>
      </c>
      <c r="Q141" s="129">
        <f t="shared" si="41"/>
        <v>1.25</v>
      </c>
      <c r="R141" s="129">
        <f t="shared" si="41"/>
        <v>1.25</v>
      </c>
      <c r="S141" s="129">
        <f t="shared" si="41"/>
        <v>1.25</v>
      </c>
      <c r="T141" s="129">
        <f t="shared" si="42"/>
        <v>1.25</v>
      </c>
      <c r="U141" s="129">
        <f t="shared" si="42"/>
        <v>1.25</v>
      </c>
      <c r="V141" s="129">
        <f t="shared" si="42"/>
        <v>1.25</v>
      </c>
      <c r="W141" s="129">
        <f t="shared" si="42"/>
        <v>1.25</v>
      </c>
      <c r="X141" s="129">
        <f t="shared" si="42"/>
        <v>1.25</v>
      </c>
      <c r="Y141" s="129">
        <f t="shared" si="42"/>
        <v>1.25</v>
      </c>
      <c r="Z141" s="129">
        <f t="shared" si="42"/>
        <v>1.25</v>
      </c>
      <c r="AA141" s="129">
        <f t="shared" si="42"/>
        <v>1.25</v>
      </c>
      <c r="AB141" s="129">
        <f t="shared" si="42"/>
        <v>1.25</v>
      </c>
      <c r="AC141" s="129">
        <f t="shared" si="42"/>
        <v>1.25</v>
      </c>
      <c r="AD141" s="129">
        <f t="shared" si="42"/>
        <v>1.25</v>
      </c>
      <c r="AE141" s="129">
        <f t="shared" si="42"/>
        <v>1.25</v>
      </c>
      <c r="AF141" s="129">
        <f t="shared" si="42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40"/>
        <v>1.25</v>
      </c>
      <c r="C142" s="130">
        <v>1.25</v>
      </c>
      <c r="D142" s="129">
        <f t="shared" si="41"/>
        <v>1.25</v>
      </c>
      <c r="E142" s="129">
        <f t="shared" si="41"/>
        <v>1.25</v>
      </c>
      <c r="F142" s="129">
        <f t="shared" si="41"/>
        <v>1.25</v>
      </c>
      <c r="G142" s="129">
        <f t="shared" si="41"/>
        <v>1.25</v>
      </c>
      <c r="H142" s="129">
        <f t="shared" si="41"/>
        <v>1.25</v>
      </c>
      <c r="I142" s="129">
        <f t="shared" si="41"/>
        <v>1.25</v>
      </c>
      <c r="J142" s="129">
        <f t="shared" si="41"/>
        <v>1.25</v>
      </c>
      <c r="K142" s="129">
        <f t="shared" si="41"/>
        <v>1.25</v>
      </c>
      <c r="L142" s="129">
        <f t="shared" si="41"/>
        <v>1.25</v>
      </c>
      <c r="M142" s="129">
        <f t="shared" si="41"/>
        <v>1.25</v>
      </c>
      <c r="N142" s="129">
        <f t="shared" si="41"/>
        <v>1.25</v>
      </c>
      <c r="O142" s="129">
        <f t="shared" si="41"/>
        <v>1.25</v>
      </c>
      <c r="P142" s="129">
        <f t="shared" si="41"/>
        <v>1.25</v>
      </c>
      <c r="Q142" s="129">
        <f t="shared" si="41"/>
        <v>1.25</v>
      </c>
      <c r="R142" s="129">
        <f t="shared" si="41"/>
        <v>1.25</v>
      </c>
      <c r="S142" s="129">
        <f t="shared" si="41"/>
        <v>1.25</v>
      </c>
      <c r="T142" s="129">
        <f t="shared" si="42"/>
        <v>1.25</v>
      </c>
      <c r="U142" s="129">
        <f t="shared" si="42"/>
        <v>1.25</v>
      </c>
      <c r="V142" s="129">
        <f t="shared" si="42"/>
        <v>1.25</v>
      </c>
      <c r="W142" s="129">
        <f t="shared" si="42"/>
        <v>1.25</v>
      </c>
      <c r="X142" s="129">
        <f t="shared" si="42"/>
        <v>1.25</v>
      </c>
      <c r="Y142" s="129">
        <f t="shared" si="42"/>
        <v>1.25</v>
      </c>
      <c r="Z142" s="129">
        <f t="shared" si="42"/>
        <v>1.25</v>
      </c>
      <c r="AA142" s="129">
        <f t="shared" si="42"/>
        <v>1.25</v>
      </c>
      <c r="AB142" s="129">
        <f t="shared" si="42"/>
        <v>1.25</v>
      </c>
      <c r="AC142" s="129">
        <f t="shared" si="42"/>
        <v>1.25</v>
      </c>
      <c r="AD142" s="129">
        <f t="shared" si="42"/>
        <v>1.25</v>
      </c>
      <c r="AE142" s="129">
        <f t="shared" si="42"/>
        <v>1.25</v>
      </c>
      <c r="AF142" s="129">
        <f t="shared" si="42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40"/>
        <v>1.46</v>
      </c>
      <c r="C143" s="130">
        <v>1.46</v>
      </c>
      <c r="D143" s="129">
        <f t="shared" si="41"/>
        <v>1.46</v>
      </c>
      <c r="E143" s="129">
        <f t="shared" si="41"/>
        <v>1.46</v>
      </c>
      <c r="F143" s="129">
        <f t="shared" si="41"/>
        <v>1.46</v>
      </c>
      <c r="G143" s="129">
        <f t="shared" si="41"/>
        <v>1.46</v>
      </c>
      <c r="H143" s="129">
        <f t="shared" si="41"/>
        <v>1.46</v>
      </c>
      <c r="I143" s="129">
        <f t="shared" si="41"/>
        <v>1.46</v>
      </c>
      <c r="J143" s="129">
        <f t="shared" si="41"/>
        <v>1.46</v>
      </c>
      <c r="K143" s="129">
        <f t="shared" si="41"/>
        <v>1.46</v>
      </c>
      <c r="L143" s="129">
        <f t="shared" si="41"/>
        <v>1.46</v>
      </c>
      <c r="M143" s="129">
        <f t="shared" si="41"/>
        <v>1.46</v>
      </c>
      <c r="N143" s="129">
        <f t="shared" si="41"/>
        <v>1.46</v>
      </c>
      <c r="O143" s="129">
        <f t="shared" si="41"/>
        <v>1.46</v>
      </c>
      <c r="P143" s="129">
        <f t="shared" si="41"/>
        <v>1.46</v>
      </c>
      <c r="Q143" s="129">
        <f t="shared" si="41"/>
        <v>1.46</v>
      </c>
      <c r="R143" s="129">
        <f t="shared" si="41"/>
        <v>1.46</v>
      </c>
      <c r="S143" s="129">
        <f t="shared" si="41"/>
        <v>1.46</v>
      </c>
      <c r="T143" s="129">
        <f t="shared" si="42"/>
        <v>1.46</v>
      </c>
      <c r="U143" s="129">
        <f t="shared" si="42"/>
        <v>1.46</v>
      </c>
      <c r="V143" s="129">
        <f t="shared" si="42"/>
        <v>1.46</v>
      </c>
      <c r="W143" s="129">
        <f t="shared" si="42"/>
        <v>1.46</v>
      </c>
      <c r="X143" s="129">
        <f t="shared" si="42"/>
        <v>1.46</v>
      </c>
      <c r="Y143" s="129">
        <f t="shared" si="42"/>
        <v>1.46</v>
      </c>
      <c r="Z143" s="129">
        <f t="shared" si="42"/>
        <v>1.46</v>
      </c>
      <c r="AA143" s="129">
        <f t="shared" si="42"/>
        <v>1.46</v>
      </c>
      <c r="AB143" s="129">
        <f t="shared" si="42"/>
        <v>1.46</v>
      </c>
      <c r="AC143" s="129">
        <f t="shared" si="42"/>
        <v>1.46</v>
      </c>
      <c r="AD143" s="129">
        <f t="shared" si="42"/>
        <v>1.46</v>
      </c>
      <c r="AE143" s="129">
        <f t="shared" si="42"/>
        <v>1.46</v>
      </c>
      <c r="AF143" s="129">
        <f t="shared" si="42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40"/>
        <v>3</v>
      </c>
      <c r="C144" s="130">
        <v>3</v>
      </c>
      <c r="D144" s="129">
        <f t="shared" si="41"/>
        <v>3</v>
      </c>
      <c r="E144" s="129">
        <f t="shared" si="41"/>
        <v>3</v>
      </c>
      <c r="F144" s="129">
        <f t="shared" si="41"/>
        <v>3</v>
      </c>
      <c r="G144" s="129">
        <f t="shared" si="41"/>
        <v>3</v>
      </c>
      <c r="H144" s="129">
        <f t="shared" si="41"/>
        <v>3</v>
      </c>
      <c r="I144" s="129">
        <f t="shared" si="41"/>
        <v>3</v>
      </c>
      <c r="J144" s="129">
        <f t="shared" si="41"/>
        <v>3</v>
      </c>
      <c r="K144" s="129">
        <f t="shared" si="41"/>
        <v>3</v>
      </c>
      <c r="L144" s="129">
        <f t="shared" si="41"/>
        <v>3</v>
      </c>
      <c r="M144" s="129">
        <f t="shared" si="41"/>
        <v>3</v>
      </c>
      <c r="N144" s="129">
        <f t="shared" si="41"/>
        <v>3</v>
      </c>
      <c r="O144" s="129">
        <f t="shared" si="41"/>
        <v>3</v>
      </c>
      <c r="P144" s="129">
        <f t="shared" si="41"/>
        <v>3</v>
      </c>
      <c r="Q144" s="129">
        <f t="shared" si="41"/>
        <v>3</v>
      </c>
      <c r="R144" s="129">
        <f t="shared" si="41"/>
        <v>3</v>
      </c>
      <c r="S144" s="129">
        <f t="shared" si="41"/>
        <v>3</v>
      </c>
      <c r="T144" s="129">
        <f t="shared" si="42"/>
        <v>3</v>
      </c>
      <c r="U144" s="129">
        <f t="shared" si="42"/>
        <v>3</v>
      </c>
      <c r="V144" s="129">
        <f t="shared" si="42"/>
        <v>3</v>
      </c>
      <c r="W144" s="129">
        <f t="shared" si="42"/>
        <v>3</v>
      </c>
      <c r="X144" s="129">
        <f t="shared" si="42"/>
        <v>3</v>
      </c>
      <c r="Y144" s="129">
        <f t="shared" si="42"/>
        <v>3</v>
      </c>
      <c r="Z144" s="129">
        <f t="shared" si="42"/>
        <v>3</v>
      </c>
      <c r="AA144" s="129">
        <f t="shared" si="42"/>
        <v>3</v>
      </c>
      <c r="AB144" s="129">
        <f t="shared" si="42"/>
        <v>3</v>
      </c>
      <c r="AC144" s="129">
        <f t="shared" si="42"/>
        <v>3</v>
      </c>
      <c r="AD144" s="129">
        <f t="shared" si="42"/>
        <v>3</v>
      </c>
      <c r="AE144" s="129">
        <f t="shared" si="42"/>
        <v>3</v>
      </c>
      <c r="AF144" s="129">
        <f t="shared" si="42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40"/>
        <v>3.3</v>
      </c>
      <c r="C145" s="130">
        <v>3.3</v>
      </c>
      <c r="D145" s="129">
        <f t="shared" si="41"/>
        <v>3.3</v>
      </c>
      <c r="E145" s="129">
        <f t="shared" si="41"/>
        <v>3.3</v>
      </c>
      <c r="F145" s="129">
        <f t="shared" si="41"/>
        <v>3.3</v>
      </c>
      <c r="G145" s="129">
        <f t="shared" si="41"/>
        <v>3.3</v>
      </c>
      <c r="H145" s="129">
        <f t="shared" si="41"/>
        <v>3.3</v>
      </c>
      <c r="I145" s="129">
        <f t="shared" si="41"/>
        <v>3.3</v>
      </c>
      <c r="J145" s="129">
        <f t="shared" si="41"/>
        <v>3.3</v>
      </c>
      <c r="K145" s="129">
        <f t="shared" si="41"/>
        <v>3.3</v>
      </c>
      <c r="L145" s="129">
        <f t="shared" si="41"/>
        <v>3.3</v>
      </c>
      <c r="M145" s="129">
        <f t="shared" si="41"/>
        <v>3.3</v>
      </c>
      <c r="N145" s="129">
        <f t="shared" si="41"/>
        <v>3.3</v>
      </c>
      <c r="O145" s="129">
        <f t="shared" si="41"/>
        <v>3.3</v>
      </c>
      <c r="P145" s="129">
        <f t="shared" si="41"/>
        <v>3.3</v>
      </c>
      <c r="Q145" s="129">
        <f t="shared" si="41"/>
        <v>3.3</v>
      </c>
      <c r="R145" s="129">
        <f t="shared" si="41"/>
        <v>3.3</v>
      </c>
      <c r="S145" s="129">
        <f t="shared" si="41"/>
        <v>3.3</v>
      </c>
      <c r="T145" s="129">
        <f t="shared" si="42"/>
        <v>3.3</v>
      </c>
      <c r="U145" s="129">
        <f t="shared" si="42"/>
        <v>3.3</v>
      </c>
      <c r="V145" s="129">
        <f t="shared" si="42"/>
        <v>3.3</v>
      </c>
      <c r="W145" s="129">
        <f t="shared" si="42"/>
        <v>3.3</v>
      </c>
      <c r="X145" s="129">
        <f t="shared" si="42"/>
        <v>3.3</v>
      </c>
      <c r="Y145" s="129">
        <f t="shared" si="42"/>
        <v>3.3</v>
      </c>
      <c r="Z145" s="129">
        <f t="shared" si="42"/>
        <v>3.3</v>
      </c>
      <c r="AA145" s="129">
        <f t="shared" si="42"/>
        <v>3.3</v>
      </c>
      <c r="AB145" s="129">
        <f t="shared" si="42"/>
        <v>3.3</v>
      </c>
      <c r="AC145" s="129">
        <f t="shared" si="42"/>
        <v>3.3</v>
      </c>
      <c r="AD145" s="129">
        <f t="shared" si="42"/>
        <v>3.3</v>
      </c>
      <c r="AE145" s="129">
        <f t="shared" si="42"/>
        <v>3.3</v>
      </c>
      <c r="AF145" s="129">
        <f t="shared" si="42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3">C147</f>
        <v>1.76</v>
      </c>
      <c r="E147" s="129">
        <f t="shared" si="43"/>
        <v>1.76</v>
      </c>
      <c r="F147" s="129">
        <f t="shared" si="43"/>
        <v>1.76</v>
      </c>
      <c r="G147" s="129">
        <f t="shared" si="43"/>
        <v>1.76</v>
      </c>
      <c r="H147" s="129">
        <f t="shared" si="43"/>
        <v>1.76</v>
      </c>
      <c r="I147" s="129">
        <f t="shared" si="43"/>
        <v>1.76</v>
      </c>
      <c r="J147" s="129">
        <f t="shared" si="43"/>
        <v>1.76</v>
      </c>
      <c r="K147" s="129">
        <f t="shared" si="43"/>
        <v>1.76</v>
      </c>
      <c r="L147" s="129">
        <f t="shared" si="43"/>
        <v>1.76</v>
      </c>
      <c r="M147" s="129">
        <f t="shared" si="43"/>
        <v>1.76</v>
      </c>
      <c r="N147" s="129">
        <f t="shared" si="43"/>
        <v>1.76</v>
      </c>
      <c r="O147" s="129">
        <f t="shared" si="43"/>
        <v>1.76</v>
      </c>
      <c r="P147" s="129">
        <f t="shared" si="43"/>
        <v>1.76</v>
      </c>
      <c r="Q147" s="129">
        <f t="shared" si="43"/>
        <v>1.76</v>
      </c>
      <c r="R147" s="129">
        <f t="shared" si="43"/>
        <v>1.76</v>
      </c>
      <c r="S147" s="129">
        <f t="shared" si="43"/>
        <v>1.76</v>
      </c>
      <c r="T147" s="129">
        <f t="shared" ref="T147:AF148" si="44">S147</f>
        <v>1.76</v>
      </c>
      <c r="U147" s="129">
        <f t="shared" si="44"/>
        <v>1.76</v>
      </c>
      <c r="V147" s="129">
        <f t="shared" si="44"/>
        <v>1.76</v>
      </c>
      <c r="W147" s="129">
        <f t="shared" si="44"/>
        <v>1.76</v>
      </c>
      <c r="X147" s="129">
        <f t="shared" si="44"/>
        <v>1.76</v>
      </c>
      <c r="Y147" s="129">
        <f t="shared" si="44"/>
        <v>1.76</v>
      </c>
      <c r="Z147" s="129">
        <f t="shared" si="44"/>
        <v>1.76</v>
      </c>
      <c r="AA147" s="129">
        <f t="shared" si="44"/>
        <v>1.76</v>
      </c>
      <c r="AB147" s="129">
        <f t="shared" si="44"/>
        <v>1.76</v>
      </c>
      <c r="AC147" s="129">
        <f t="shared" si="44"/>
        <v>1.76</v>
      </c>
      <c r="AD147" s="129">
        <f t="shared" si="44"/>
        <v>1.76</v>
      </c>
      <c r="AE147" s="129">
        <f t="shared" si="44"/>
        <v>1.76</v>
      </c>
      <c r="AF147" s="129">
        <f t="shared" si="44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3"/>
        <v>0</v>
      </c>
      <c r="E148" s="129">
        <f t="shared" si="43"/>
        <v>0</v>
      </c>
      <c r="F148" s="129">
        <f t="shared" si="43"/>
        <v>0</v>
      </c>
      <c r="G148" s="129">
        <f t="shared" si="43"/>
        <v>0</v>
      </c>
      <c r="H148" s="129">
        <f t="shared" si="43"/>
        <v>0</v>
      </c>
      <c r="I148" s="129">
        <f t="shared" si="43"/>
        <v>0</v>
      </c>
      <c r="J148" s="129">
        <f t="shared" si="43"/>
        <v>0</v>
      </c>
      <c r="K148" s="129">
        <f t="shared" si="43"/>
        <v>0</v>
      </c>
      <c r="L148" s="129">
        <f t="shared" si="43"/>
        <v>0</v>
      </c>
      <c r="M148" s="129">
        <f t="shared" si="43"/>
        <v>0</v>
      </c>
      <c r="N148" s="129">
        <f t="shared" si="43"/>
        <v>0</v>
      </c>
      <c r="O148" s="129">
        <f t="shared" si="43"/>
        <v>0</v>
      </c>
      <c r="P148" s="129">
        <f t="shared" si="43"/>
        <v>0</v>
      </c>
      <c r="Q148" s="129">
        <f t="shared" si="43"/>
        <v>0</v>
      </c>
      <c r="R148" s="129">
        <f t="shared" si="43"/>
        <v>0</v>
      </c>
      <c r="S148" s="129">
        <f t="shared" si="43"/>
        <v>0</v>
      </c>
      <c r="T148" s="129">
        <f t="shared" si="44"/>
        <v>0</v>
      </c>
      <c r="U148" s="129">
        <f t="shared" si="44"/>
        <v>0</v>
      </c>
      <c r="V148" s="129">
        <f t="shared" si="44"/>
        <v>0</v>
      </c>
      <c r="W148" s="129">
        <f t="shared" si="44"/>
        <v>0</v>
      </c>
      <c r="X148" s="129">
        <f t="shared" si="44"/>
        <v>0</v>
      </c>
      <c r="Y148" s="129">
        <f t="shared" si="44"/>
        <v>0</v>
      </c>
      <c r="Z148" s="129">
        <f t="shared" si="44"/>
        <v>0</v>
      </c>
      <c r="AA148" s="129">
        <f t="shared" si="44"/>
        <v>0</v>
      </c>
      <c r="AB148" s="129">
        <f t="shared" si="44"/>
        <v>0</v>
      </c>
      <c r="AC148" s="129">
        <f t="shared" si="44"/>
        <v>0</v>
      </c>
      <c r="AD148" s="129">
        <f t="shared" si="44"/>
        <v>0</v>
      </c>
      <c r="AE148" s="129">
        <f t="shared" si="44"/>
        <v>0</v>
      </c>
      <c r="AF148" s="129">
        <f t="shared" si="44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5">C150</f>
        <v>0.1</v>
      </c>
      <c r="E150" s="129">
        <f t="shared" si="45"/>
        <v>0.1</v>
      </c>
      <c r="F150" s="129">
        <f t="shared" si="45"/>
        <v>0.1</v>
      </c>
      <c r="G150" s="129">
        <f t="shared" si="45"/>
        <v>0.1</v>
      </c>
      <c r="H150" s="129">
        <f t="shared" si="45"/>
        <v>0.1</v>
      </c>
      <c r="I150" s="129">
        <f t="shared" si="45"/>
        <v>0.1</v>
      </c>
      <c r="J150" s="129">
        <f t="shared" si="45"/>
        <v>0.1</v>
      </c>
      <c r="K150" s="129">
        <f t="shared" si="45"/>
        <v>0.1</v>
      </c>
      <c r="L150" s="129">
        <f t="shared" si="45"/>
        <v>0.1</v>
      </c>
      <c r="M150" s="129">
        <f t="shared" si="45"/>
        <v>0.1</v>
      </c>
      <c r="N150" s="129">
        <f t="shared" si="45"/>
        <v>0.1</v>
      </c>
      <c r="O150" s="129">
        <f t="shared" si="45"/>
        <v>0.1</v>
      </c>
      <c r="P150" s="129">
        <f t="shared" si="45"/>
        <v>0.1</v>
      </c>
      <c r="Q150" s="129">
        <f t="shared" si="45"/>
        <v>0.1</v>
      </c>
      <c r="R150" s="129">
        <f t="shared" si="45"/>
        <v>0.1</v>
      </c>
      <c r="S150" s="129">
        <f t="shared" si="45"/>
        <v>0.1</v>
      </c>
      <c r="T150" s="129">
        <f t="shared" ref="T150:AF153" si="46">S150</f>
        <v>0.1</v>
      </c>
      <c r="U150" s="129">
        <f t="shared" si="46"/>
        <v>0.1</v>
      </c>
      <c r="V150" s="129">
        <f t="shared" si="46"/>
        <v>0.1</v>
      </c>
      <c r="W150" s="129">
        <f t="shared" si="46"/>
        <v>0.1</v>
      </c>
      <c r="X150" s="129">
        <f t="shared" si="46"/>
        <v>0.1</v>
      </c>
      <c r="Y150" s="129">
        <f t="shared" si="46"/>
        <v>0.1</v>
      </c>
      <c r="Z150" s="129">
        <f t="shared" si="46"/>
        <v>0.1</v>
      </c>
      <c r="AA150" s="129">
        <f t="shared" si="46"/>
        <v>0.1</v>
      </c>
      <c r="AB150" s="129">
        <f t="shared" si="46"/>
        <v>0.1</v>
      </c>
      <c r="AC150" s="129">
        <f t="shared" si="46"/>
        <v>0.1</v>
      </c>
      <c r="AD150" s="129">
        <f t="shared" si="46"/>
        <v>0.1</v>
      </c>
      <c r="AE150" s="129">
        <f t="shared" si="46"/>
        <v>0.1</v>
      </c>
      <c r="AF150" s="129">
        <f t="shared" si="46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5"/>
        <v>2.0499999999999998</v>
      </c>
      <c r="E151" s="129">
        <f t="shared" si="45"/>
        <v>2.0499999999999998</v>
      </c>
      <c r="F151" s="129">
        <f t="shared" si="45"/>
        <v>2.0499999999999998</v>
      </c>
      <c r="G151" s="129">
        <f t="shared" si="45"/>
        <v>2.0499999999999998</v>
      </c>
      <c r="H151" s="129">
        <f t="shared" si="45"/>
        <v>2.0499999999999998</v>
      </c>
      <c r="I151" s="129">
        <f t="shared" si="45"/>
        <v>2.0499999999999998</v>
      </c>
      <c r="J151" s="129">
        <f t="shared" si="45"/>
        <v>2.0499999999999998</v>
      </c>
      <c r="K151" s="129">
        <f t="shared" si="45"/>
        <v>2.0499999999999998</v>
      </c>
      <c r="L151" s="129">
        <f t="shared" si="45"/>
        <v>2.0499999999999998</v>
      </c>
      <c r="M151" s="129">
        <f t="shared" si="45"/>
        <v>2.0499999999999998</v>
      </c>
      <c r="N151" s="129">
        <f t="shared" si="45"/>
        <v>2.0499999999999998</v>
      </c>
      <c r="O151" s="129">
        <f t="shared" si="45"/>
        <v>2.0499999999999998</v>
      </c>
      <c r="P151" s="129">
        <f t="shared" si="45"/>
        <v>2.0499999999999998</v>
      </c>
      <c r="Q151" s="129">
        <f t="shared" si="45"/>
        <v>2.0499999999999998</v>
      </c>
      <c r="R151" s="129">
        <f t="shared" si="45"/>
        <v>2.0499999999999998</v>
      </c>
      <c r="S151" s="129">
        <f t="shared" si="45"/>
        <v>2.0499999999999998</v>
      </c>
      <c r="T151" s="129">
        <f t="shared" si="46"/>
        <v>2.0499999999999998</v>
      </c>
      <c r="U151" s="129">
        <f t="shared" si="46"/>
        <v>2.0499999999999998</v>
      </c>
      <c r="V151" s="129">
        <f t="shared" si="46"/>
        <v>2.0499999999999998</v>
      </c>
      <c r="W151" s="129">
        <f t="shared" si="46"/>
        <v>2.0499999999999998</v>
      </c>
      <c r="X151" s="129">
        <f t="shared" si="46"/>
        <v>2.0499999999999998</v>
      </c>
      <c r="Y151" s="129">
        <f t="shared" si="46"/>
        <v>2.0499999999999998</v>
      </c>
      <c r="Z151" s="129">
        <f t="shared" si="46"/>
        <v>2.0499999999999998</v>
      </c>
      <c r="AA151" s="129">
        <f t="shared" si="46"/>
        <v>2.0499999999999998</v>
      </c>
      <c r="AB151" s="129">
        <f t="shared" si="46"/>
        <v>2.0499999999999998</v>
      </c>
      <c r="AC151" s="129">
        <f t="shared" si="46"/>
        <v>2.0499999999999998</v>
      </c>
      <c r="AD151" s="129">
        <f t="shared" si="46"/>
        <v>2.0499999999999998</v>
      </c>
      <c r="AE151" s="129">
        <f t="shared" si="46"/>
        <v>2.0499999999999998</v>
      </c>
      <c r="AF151" s="129">
        <f t="shared" si="46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5"/>
        <v>2.7</v>
      </c>
      <c r="E152" s="129">
        <f t="shared" si="45"/>
        <v>2.7</v>
      </c>
      <c r="F152" s="129">
        <f t="shared" si="45"/>
        <v>2.7</v>
      </c>
      <c r="G152" s="129">
        <f t="shared" si="45"/>
        <v>2.7</v>
      </c>
      <c r="H152" s="129">
        <f t="shared" si="45"/>
        <v>2.7</v>
      </c>
      <c r="I152" s="129">
        <f t="shared" si="45"/>
        <v>2.7</v>
      </c>
      <c r="J152" s="129">
        <f t="shared" si="45"/>
        <v>2.7</v>
      </c>
      <c r="K152" s="129">
        <f t="shared" si="45"/>
        <v>2.7</v>
      </c>
      <c r="L152" s="129">
        <f t="shared" si="45"/>
        <v>2.7</v>
      </c>
      <c r="M152" s="129">
        <f t="shared" si="45"/>
        <v>2.7</v>
      </c>
      <c r="N152" s="129">
        <f t="shared" si="45"/>
        <v>2.7</v>
      </c>
      <c r="O152" s="129">
        <f t="shared" si="45"/>
        <v>2.7</v>
      </c>
      <c r="P152" s="129">
        <f t="shared" si="45"/>
        <v>2.7</v>
      </c>
      <c r="Q152" s="129">
        <f t="shared" si="45"/>
        <v>2.7</v>
      </c>
      <c r="R152" s="129">
        <f t="shared" si="45"/>
        <v>2.7</v>
      </c>
      <c r="S152" s="129">
        <f t="shared" si="45"/>
        <v>2.7</v>
      </c>
      <c r="T152" s="129">
        <f t="shared" si="46"/>
        <v>2.7</v>
      </c>
      <c r="U152" s="129">
        <f t="shared" si="46"/>
        <v>2.7</v>
      </c>
      <c r="V152" s="129">
        <f t="shared" si="46"/>
        <v>2.7</v>
      </c>
      <c r="W152" s="129">
        <f t="shared" si="46"/>
        <v>2.7</v>
      </c>
      <c r="X152" s="129">
        <f t="shared" si="46"/>
        <v>2.7</v>
      </c>
      <c r="Y152" s="129">
        <f t="shared" si="46"/>
        <v>2.7</v>
      </c>
      <c r="Z152" s="129">
        <f t="shared" si="46"/>
        <v>2.7</v>
      </c>
      <c r="AA152" s="129">
        <f t="shared" si="46"/>
        <v>2.7</v>
      </c>
      <c r="AB152" s="129">
        <f t="shared" si="46"/>
        <v>2.7</v>
      </c>
      <c r="AC152" s="129">
        <f t="shared" si="46"/>
        <v>2.7</v>
      </c>
      <c r="AD152" s="129">
        <f t="shared" si="46"/>
        <v>2.7</v>
      </c>
      <c r="AE152" s="129">
        <f t="shared" si="46"/>
        <v>2.7</v>
      </c>
      <c r="AF152" s="129">
        <f t="shared" si="46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5"/>
        <v>2.15</v>
      </c>
      <c r="E153" s="129">
        <f t="shared" si="45"/>
        <v>2.15</v>
      </c>
      <c r="F153" s="129">
        <f t="shared" si="45"/>
        <v>2.15</v>
      </c>
      <c r="G153" s="129">
        <f t="shared" si="45"/>
        <v>2.15</v>
      </c>
      <c r="H153" s="129">
        <f t="shared" si="45"/>
        <v>2.15</v>
      </c>
      <c r="I153" s="129">
        <f t="shared" si="45"/>
        <v>2.15</v>
      </c>
      <c r="J153" s="129">
        <f t="shared" si="45"/>
        <v>2.15</v>
      </c>
      <c r="K153" s="129">
        <f t="shared" si="45"/>
        <v>2.15</v>
      </c>
      <c r="L153" s="129">
        <f t="shared" si="45"/>
        <v>2.15</v>
      </c>
      <c r="M153" s="129">
        <f t="shared" si="45"/>
        <v>2.15</v>
      </c>
      <c r="N153" s="129">
        <f t="shared" si="45"/>
        <v>2.15</v>
      </c>
      <c r="O153" s="129">
        <f t="shared" si="45"/>
        <v>2.15</v>
      </c>
      <c r="P153" s="129">
        <f t="shared" si="45"/>
        <v>2.15</v>
      </c>
      <c r="Q153" s="129">
        <f t="shared" si="45"/>
        <v>2.15</v>
      </c>
      <c r="R153" s="129">
        <f t="shared" si="45"/>
        <v>2.15</v>
      </c>
      <c r="S153" s="129">
        <f t="shared" si="45"/>
        <v>2.15</v>
      </c>
      <c r="T153" s="129">
        <f t="shared" si="46"/>
        <v>2.15</v>
      </c>
      <c r="U153" s="129">
        <f t="shared" si="46"/>
        <v>2.15</v>
      </c>
      <c r="V153" s="129">
        <f t="shared" si="46"/>
        <v>2.15</v>
      </c>
      <c r="W153" s="129">
        <f t="shared" si="46"/>
        <v>2.15</v>
      </c>
      <c r="X153" s="129">
        <f t="shared" si="46"/>
        <v>2.15</v>
      </c>
      <c r="Y153" s="129">
        <f t="shared" si="46"/>
        <v>2.15</v>
      </c>
      <c r="Z153" s="129">
        <f t="shared" si="46"/>
        <v>2.15</v>
      </c>
      <c r="AA153" s="129">
        <f t="shared" si="46"/>
        <v>2.15</v>
      </c>
      <c r="AB153" s="129">
        <f t="shared" si="46"/>
        <v>2.15</v>
      </c>
      <c r="AC153" s="129">
        <f t="shared" si="46"/>
        <v>2.15</v>
      </c>
      <c r="AD153" s="129">
        <f t="shared" si="46"/>
        <v>2.15</v>
      </c>
      <c r="AE153" s="129">
        <f t="shared" si="46"/>
        <v>2.15</v>
      </c>
      <c r="AF153" s="129">
        <f t="shared" si="46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7">AF155</f>
        <v>0.9</v>
      </c>
      <c r="C155" s="130">
        <v>0.9</v>
      </c>
      <c r="D155" s="129">
        <f t="shared" ref="D155:S167" si="48">C155</f>
        <v>0.9</v>
      </c>
      <c r="E155" s="129">
        <f t="shared" si="48"/>
        <v>0.9</v>
      </c>
      <c r="F155" s="129">
        <f t="shared" si="48"/>
        <v>0.9</v>
      </c>
      <c r="G155" s="129">
        <f t="shared" si="48"/>
        <v>0.9</v>
      </c>
      <c r="H155" s="129">
        <f t="shared" si="48"/>
        <v>0.9</v>
      </c>
      <c r="I155" s="129">
        <f t="shared" si="48"/>
        <v>0.9</v>
      </c>
      <c r="J155" s="129">
        <f t="shared" si="48"/>
        <v>0.9</v>
      </c>
      <c r="K155" s="129">
        <f t="shared" si="48"/>
        <v>0.9</v>
      </c>
      <c r="L155" s="129">
        <f t="shared" si="48"/>
        <v>0.9</v>
      </c>
      <c r="M155" s="129">
        <f t="shared" si="48"/>
        <v>0.9</v>
      </c>
      <c r="N155" s="129">
        <f t="shared" si="48"/>
        <v>0.9</v>
      </c>
      <c r="O155" s="129">
        <f t="shared" si="48"/>
        <v>0.9</v>
      </c>
      <c r="P155" s="129">
        <f t="shared" si="48"/>
        <v>0.9</v>
      </c>
      <c r="Q155" s="129">
        <f t="shared" si="48"/>
        <v>0.9</v>
      </c>
      <c r="R155" s="129">
        <f t="shared" si="48"/>
        <v>0.9</v>
      </c>
      <c r="S155" s="129">
        <f t="shared" si="48"/>
        <v>0.9</v>
      </c>
      <c r="T155" s="129">
        <f t="shared" ref="S155:AF167" si="49">S155</f>
        <v>0.9</v>
      </c>
      <c r="U155" s="129">
        <f t="shared" si="49"/>
        <v>0.9</v>
      </c>
      <c r="V155" s="129">
        <f t="shared" si="49"/>
        <v>0.9</v>
      </c>
      <c r="W155" s="129">
        <f t="shared" si="49"/>
        <v>0.9</v>
      </c>
      <c r="X155" s="129">
        <f t="shared" si="49"/>
        <v>0.9</v>
      </c>
      <c r="Y155" s="129">
        <f t="shared" si="49"/>
        <v>0.9</v>
      </c>
      <c r="Z155" s="129">
        <f t="shared" si="49"/>
        <v>0.9</v>
      </c>
      <c r="AA155" s="129">
        <f t="shared" si="49"/>
        <v>0.9</v>
      </c>
      <c r="AB155" s="129">
        <f t="shared" si="49"/>
        <v>0.9</v>
      </c>
      <c r="AC155" s="129">
        <f t="shared" si="49"/>
        <v>0.9</v>
      </c>
      <c r="AD155" s="129">
        <f t="shared" si="49"/>
        <v>0.9</v>
      </c>
      <c r="AE155" s="129">
        <f t="shared" si="49"/>
        <v>0.9</v>
      </c>
      <c r="AF155" s="129">
        <f t="shared" si="49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7"/>
        <v>1.08</v>
      </c>
      <c r="C156" s="130">
        <v>1.08</v>
      </c>
      <c r="D156" s="129">
        <f t="shared" si="48"/>
        <v>1.08</v>
      </c>
      <c r="E156" s="129">
        <f t="shared" si="48"/>
        <v>1.08</v>
      </c>
      <c r="F156" s="129">
        <f t="shared" si="48"/>
        <v>1.08</v>
      </c>
      <c r="G156" s="129">
        <f t="shared" si="48"/>
        <v>1.08</v>
      </c>
      <c r="H156" s="129">
        <f t="shared" si="48"/>
        <v>1.08</v>
      </c>
      <c r="I156" s="129">
        <f t="shared" si="48"/>
        <v>1.08</v>
      </c>
      <c r="J156" s="129">
        <f t="shared" si="48"/>
        <v>1.08</v>
      </c>
      <c r="K156" s="129">
        <f t="shared" si="48"/>
        <v>1.08</v>
      </c>
      <c r="L156" s="129">
        <f t="shared" si="48"/>
        <v>1.08</v>
      </c>
      <c r="M156" s="129">
        <f t="shared" si="48"/>
        <v>1.08</v>
      </c>
      <c r="N156" s="129">
        <f t="shared" si="48"/>
        <v>1.08</v>
      </c>
      <c r="O156" s="129">
        <f t="shared" si="48"/>
        <v>1.08</v>
      </c>
      <c r="P156" s="129">
        <f t="shared" si="48"/>
        <v>1.08</v>
      </c>
      <c r="Q156" s="129">
        <f t="shared" si="48"/>
        <v>1.08</v>
      </c>
      <c r="R156" s="129">
        <f t="shared" si="48"/>
        <v>1.08</v>
      </c>
      <c r="S156" s="129">
        <f t="shared" si="48"/>
        <v>1.08</v>
      </c>
      <c r="T156" s="129">
        <f t="shared" si="49"/>
        <v>1.08</v>
      </c>
      <c r="U156" s="129">
        <f t="shared" si="49"/>
        <v>1.08</v>
      </c>
      <c r="V156" s="129">
        <f t="shared" si="49"/>
        <v>1.08</v>
      </c>
      <c r="W156" s="129">
        <f t="shared" si="49"/>
        <v>1.08</v>
      </c>
      <c r="X156" s="129">
        <f t="shared" si="49"/>
        <v>1.08</v>
      </c>
      <c r="Y156" s="129">
        <f t="shared" si="49"/>
        <v>1.08</v>
      </c>
      <c r="Z156" s="129">
        <f t="shared" si="49"/>
        <v>1.08</v>
      </c>
      <c r="AA156" s="129">
        <f t="shared" si="49"/>
        <v>1.08</v>
      </c>
      <c r="AB156" s="129">
        <f t="shared" si="49"/>
        <v>1.08</v>
      </c>
      <c r="AC156" s="129">
        <f t="shared" si="49"/>
        <v>1.08</v>
      </c>
      <c r="AD156" s="129">
        <f t="shared" si="49"/>
        <v>1.08</v>
      </c>
      <c r="AE156" s="129">
        <f t="shared" si="49"/>
        <v>1.08</v>
      </c>
      <c r="AF156" s="129">
        <f t="shared" si="49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7"/>
        <v>2.37</v>
      </c>
      <c r="C157" s="130">
        <v>2.37</v>
      </c>
      <c r="D157" s="129">
        <f t="shared" si="48"/>
        <v>2.37</v>
      </c>
      <c r="E157" s="129">
        <f t="shared" si="48"/>
        <v>2.37</v>
      </c>
      <c r="F157" s="129">
        <f t="shared" si="48"/>
        <v>2.37</v>
      </c>
      <c r="G157" s="129">
        <f t="shared" si="48"/>
        <v>2.37</v>
      </c>
      <c r="H157" s="129">
        <f t="shared" si="48"/>
        <v>2.37</v>
      </c>
      <c r="I157" s="129">
        <f t="shared" si="48"/>
        <v>2.37</v>
      </c>
      <c r="J157" s="129">
        <f t="shared" si="48"/>
        <v>2.37</v>
      </c>
      <c r="K157" s="129">
        <f t="shared" si="48"/>
        <v>2.37</v>
      </c>
      <c r="L157" s="129">
        <f t="shared" si="48"/>
        <v>2.37</v>
      </c>
      <c r="M157" s="129">
        <f t="shared" si="48"/>
        <v>2.37</v>
      </c>
      <c r="N157" s="129">
        <f t="shared" si="48"/>
        <v>2.37</v>
      </c>
      <c r="O157" s="129">
        <f t="shared" si="48"/>
        <v>2.37</v>
      </c>
      <c r="P157" s="129">
        <f t="shared" si="48"/>
        <v>2.37</v>
      </c>
      <c r="Q157" s="129">
        <f t="shared" si="48"/>
        <v>2.37</v>
      </c>
      <c r="R157" s="129">
        <f t="shared" si="48"/>
        <v>2.37</v>
      </c>
      <c r="S157" s="129">
        <f t="shared" si="48"/>
        <v>2.37</v>
      </c>
      <c r="T157" s="129">
        <f t="shared" si="49"/>
        <v>2.37</v>
      </c>
      <c r="U157" s="129">
        <f t="shared" si="49"/>
        <v>2.37</v>
      </c>
      <c r="V157" s="129">
        <f t="shared" si="49"/>
        <v>2.37</v>
      </c>
      <c r="W157" s="129">
        <f t="shared" si="49"/>
        <v>2.37</v>
      </c>
      <c r="X157" s="129">
        <f t="shared" si="49"/>
        <v>2.37</v>
      </c>
      <c r="Y157" s="129">
        <f t="shared" si="49"/>
        <v>2.37</v>
      </c>
      <c r="Z157" s="129">
        <f t="shared" si="49"/>
        <v>2.37</v>
      </c>
      <c r="AA157" s="129">
        <f t="shared" si="49"/>
        <v>2.37</v>
      </c>
      <c r="AB157" s="129">
        <f t="shared" si="49"/>
        <v>2.37</v>
      </c>
      <c r="AC157" s="129">
        <f t="shared" si="49"/>
        <v>2.37</v>
      </c>
      <c r="AD157" s="129">
        <f t="shared" si="49"/>
        <v>2.37</v>
      </c>
      <c r="AE157" s="129">
        <f t="shared" si="49"/>
        <v>2.37</v>
      </c>
      <c r="AF157" s="129">
        <f t="shared" si="49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7"/>
        <v>1.81</v>
      </c>
      <c r="C158" s="130">
        <v>1.81</v>
      </c>
      <c r="D158" s="129">
        <f t="shared" si="48"/>
        <v>1.81</v>
      </c>
      <c r="E158" s="129">
        <f t="shared" si="48"/>
        <v>1.81</v>
      </c>
      <c r="F158" s="129">
        <f t="shared" si="48"/>
        <v>1.81</v>
      </c>
      <c r="G158" s="129">
        <f t="shared" si="48"/>
        <v>1.81</v>
      </c>
      <c r="H158" s="129">
        <f t="shared" si="48"/>
        <v>1.81</v>
      </c>
      <c r="I158" s="129">
        <f t="shared" si="48"/>
        <v>1.81</v>
      </c>
      <c r="J158" s="129">
        <f t="shared" si="48"/>
        <v>1.81</v>
      </c>
      <c r="K158" s="129">
        <f t="shared" si="48"/>
        <v>1.81</v>
      </c>
      <c r="L158" s="129">
        <f t="shared" si="48"/>
        <v>1.81</v>
      </c>
      <c r="M158" s="129">
        <f t="shared" si="48"/>
        <v>1.81</v>
      </c>
      <c r="N158" s="129">
        <f t="shared" si="48"/>
        <v>1.81</v>
      </c>
      <c r="O158" s="129">
        <f t="shared" si="48"/>
        <v>1.81</v>
      </c>
      <c r="P158" s="129">
        <f t="shared" si="48"/>
        <v>1.81</v>
      </c>
      <c r="Q158" s="129">
        <f t="shared" si="48"/>
        <v>1.81</v>
      </c>
      <c r="R158" s="129">
        <f t="shared" si="48"/>
        <v>1.81</v>
      </c>
      <c r="S158" s="129">
        <f t="shared" si="48"/>
        <v>1.81</v>
      </c>
      <c r="T158" s="129">
        <f t="shared" si="49"/>
        <v>1.81</v>
      </c>
      <c r="U158" s="129">
        <f t="shared" si="49"/>
        <v>1.81</v>
      </c>
      <c r="V158" s="129">
        <f t="shared" si="49"/>
        <v>1.81</v>
      </c>
      <c r="W158" s="129">
        <f t="shared" si="49"/>
        <v>1.81</v>
      </c>
      <c r="X158" s="129">
        <f t="shared" si="49"/>
        <v>1.81</v>
      </c>
      <c r="Y158" s="129">
        <f t="shared" si="49"/>
        <v>1.81</v>
      </c>
      <c r="Z158" s="129">
        <f t="shared" si="49"/>
        <v>1.81</v>
      </c>
      <c r="AA158" s="129">
        <f t="shared" si="49"/>
        <v>1.81</v>
      </c>
      <c r="AB158" s="129">
        <f t="shared" si="49"/>
        <v>1.81</v>
      </c>
      <c r="AC158" s="129">
        <f t="shared" si="49"/>
        <v>1.81</v>
      </c>
      <c r="AD158" s="129">
        <f t="shared" si="49"/>
        <v>1.81</v>
      </c>
      <c r="AE158" s="129">
        <f t="shared" si="49"/>
        <v>1.81</v>
      </c>
      <c r="AF158" s="129">
        <f t="shared" si="49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7"/>
        <v>1.0900000000000001</v>
      </c>
      <c r="C159" s="130">
        <v>1.0900000000000001</v>
      </c>
      <c r="D159" s="129">
        <f t="shared" si="48"/>
        <v>1.0900000000000001</v>
      </c>
      <c r="E159" s="129">
        <f t="shared" si="48"/>
        <v>1.0900000000000001</v>
      </c>
      <c r="F159" s="129">
        <f t="shared" si="48"/>
        <v>1.0900000000000001</v>
      </c>
      <c r="G159" s="129">
        <f t="shared" si="48"/>
        <v>1.0900000000000001</v>
      </c>
      <c r="H159" s="129">
        <f t="shared" si="48"/>
        <v>1.0900000000000001</v>
      </c>
      <c r="I159" s="129">
        <f t="shared" si="48"/>
        <v>1.0900000000000001</v>
      </c>
      <c r="J159" s="129">
        <f t="shared" si="48"/>
        <v>1.0900000000000001</v>
      </c>
      <c r="K159" s="129">
        <f t="shared" si="48"/>
        <v>1.0900000000000001</v>
      </c>
      <c r="L159" s="129">
        <f t="shared" si="48"/>
        <v>1.0900000000000001</v>
      </c>
      <c r="M159" s="129">
        <f t="shared" si="48"/>
        <v>1.0900000000000001</v>
      </c>
      <c r="N159" s="129">
        <f t="shared" si="48"/>
        <v>1.0900000000000001</v>
      </c>
      <c r="O159" s="129">
        <f t="shared" si="48"/>
        <v>1.0900000000000001</v>
      </c>
      <c r="P159" s="129">
        <f t="shared" si="48"/>
        <v>1.0900000000000001</v>
      </c>
      <c r="Q159" s="129">
        <f t="shared" si="48"/>
        <v>1.0900000000000001</v>
      </c>
      <c r="R159" s="129">
        <f t="shared" si="48"/>
        <v>1.0900000000000001</v>
      </c>
      <c r="S159" s="129">
        <f t="shared" si="48"/>
        <v>1.0900000000000001</v>
      </c>
      <c r="T159" s="129">
        <f t="shared" si="49"/>
        <v>1.0900000000000001</v>
      </c>
      <c r="U159" s="129">
        <f t="shared" si="49"/>
        <v>1.0900000000000001</v>
      </c>
      <c r="V159" s="129">
        <f t="shared" si="49"/>
        <v>1.0900000000000001</v>
      </c>
      <c r="W159" s="129">
        <f t="shared" si="49"/>
        <v>1.0900000000000001</v>
      </c>
      <c r="X159" s="129">
        <f t="shared" si="49"/>
        <v>1.0900000000000001</v>
      </c>
      <c r="Y159" s="129">
        <f t="shared" si="49"/>
        <v>1.0900000000000001</v>
      </c>
      <c r="Z159" s="129">
        <f t="shared" si="49"/>
        <v>1.0900000000000001</v>
      </c>
      <c r="AA159" s="129">
        <f t="shared" si="49"/>
        <v>1.0900000000000001</v>
      </c>
      <c r="AB159" s="129">
        <f t="shared" si="49"/>
        <v>1.0900000000000001</v>
      </c>
      <c r="AC159" s="129">
        <f t="shared" si="49"/>
        <v>1.0900000000000001</v>
      </c>
      <c r="AD159" s="129">
        <f t="shared" si="49"/>
        <v>1.0900000000000001</v>
      </c>
      <c r="AE159" s="129">
        <f t="shared" si="49"/>
        <v>1.0900000000000001</v>
      </c>
      <c r="AF159" s="129">
        <f t="shared" si="49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7"/>
        <v>1.58</v>
      </c>
      <c r="C160" s="130">
        <v>1.58</v>
      </c>
      <c r="D160" s="129">
        <f t="shared" si="48"/>
        <v>1.58</v>
      </c>
      <c r="E160" s="129">
        <f t="shared" si="48"/>
        <v>1.58</v>
      </c>
      <c r="F160" s="129">
        <f t="shared" si="48"/>
        <v>1.58</v>
      </c>
      <c r="G160" s="129">
        <f t="shared" si="48"/>
        <v>1.58</v>
      </c>
      <c r="H160" s="129">
        <f t="shared" si="48"/>
        <v>1.58</v>
      </c>
      <c r="I160" s="129">
        <f t="shared" si="48"/>
        <v>1.58</v>
      </c>
      <c r="J160" s="129">
        <f t="shared" si="48"/>
        <v>1.58</v>
      </c>
      <c r="K160" s="129">
        <f t="shared" si="48"/>
        <v>1.58</v>
      </c>
      <c r="L160" s="129">
        <f t="shared" si="48"/>
        <v>1.58</v>
      </c>
      <c r="M160" s="129">
        <f t="shared" si="48"/>
        <v>1.58</v>
      </c>
      <c r="N160" s="129">
        <f t="shared" si="48"/>
        <v>1.58</v>
      </c>
      <c r="O160" s="129">
        <f t="shared" si="48"/>
        <v>1.58</v>
      </c>
      <c r="P160" s="129">
        <f t="shared" si="48"/>
        <v>1.58</v>
      </c>
      <c r="Q160" s="129">
        <f t="shared" si="48"/>
        <v>1.58</v>
      </c>
      <c r="R160" s="129">
        <f t="shared" si="48"/>
        <v>1.58</v>
      </c>
      <c r="S160" s="129">
        <f t="shared" si="48"/>
        <v>1.58</v>
      </c>
      <c r="T160" s="129">
        <f t="shared" si="49"/>
        <v>1.58</v>
      </c>
      <c r="U160" s="129">
        <f t="shared" si="49"/>
        <v>1.58</v>
      </c>
      <c r="V160" s="129">
        <f t="shared" si="49"/>
        <v>1.58</v>
      </c>
      <c r="W160" s="129">
        <f t="shared" si="49"/>
        <v>1.58</v>
      </c>
      <c r="X160" s="129">
        <f t="shared" si="49"/>
        <v>1.58</v>
      </c>
      <c r="Y160" s="129">
        <f t="shared" si="49"/>
        <v>1.58</v>
      </c>
      <c r="Z160" s="129">
        <f t="shared" si="49"/>
        <v>1.58</v>
      </c>
      <c r="AA160" s="129">
        <f t="shared" si="49"/>
        <v>1.58</v>
      </c>
      <c r="AB160" s="129">
        <f t="shared" si="49"/>
        <v>1.58</v>
      </c>
      <c r="AC160" s="129">
        <f t="shared" si="49"/>
        <v>1.58</v>
      </c>
      <c r="AD160" s="129">
        <f t="shared" si="49"/>
        <v>1.58</v>
      </c>
      <c r="AE160" s="129">
        <f t="shared" si="49"/>
        <v>1.58</v>
      </c>
      <c r="AF160" s="129">
        <f t="shared" si="49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7"/>
        <v>2</v>
      </c>
      <c r="C161" s="130">
        <v>2</v>
      </c>
      <c r="D161" s="129">
        <f t="shared" si="48"/>
        <v>2</v>
      </c>
      <c r="E161" s="129">
        <f t="shared" si="48"/>
        <v>2</v>
      </c>
      <c r="F161" s="129">
        <f t="shared" si="48"/>
        <v>2</v>
      </c>
      <c r="G161" s="129">
        <f t="shared" si="48"/>
        <v>2</v>
      </c>
      <c r="H161" s="129">
        <f t="shared" si="48"/>
        <v>2</v>
      </c>
      <c r="I161" s="129">
        <f t="shared" si="48"/>
        <v>2</v>
      </c>
      <c r="J161" s="129">
        <f t="shared" si="48"/>
        <v>2</v>
      </c>
      <c r="K161" s="129">
        <f t="shared" si="48"/>
        <v>2</v>
      </c>
      <c r="L161" s="129">
        <f t="shared" si="48"/>
        <v>2</v>
      </c>
      <c r="M161" s="129">
        <f t="shared" si="48"/>
        <v>2</v>
      </c>
      <c r="N161" s="129">
        <f t="shared" si="48"/>
        <v>2</v>
      </c>
      <c r="O161" s="129">
        <f t="shared" si="48"/>
        <v>2</v>
      </c>
      <c r="P161" s="129">
        <f t="shared" si="48"/>
        <v>2</v>
      </c>
      <c r="Q161" s="129">
        <f t="shared" si="48"/>
        <v>2</v>
      </c>
      <c r="R161" s="129">
        <f t="shared" si="48"/>
        <v>2</v>
      </c>
      <c r="S161" s="129">
        <f t="shared" si="48"/>
        <v>2</v>
      </c>
      <c r="T161" s="129">
        <f t="shared" si="49"/>
        <v>2</v>
      </c>
      <c r="U161" s="129">
        <f t="shared" si="49"/>
        <v>2</v>
      </c>
      <c r="V161" s="129">
        <f t="shared" si="49"/>
        <v>2</v>
      </c>
      <c r="W161" s="129">
        <f t="shared" si="49"/>
        <v>2</v>
      </c>
      <c r="X161" s="129">
        <f t="shared" si="49"/>
        <v>2</v>
      </c>
      <c r="Y161" s="129">
        <f t="shared" si="49"/>
        <v>2</v>
      </c>
      <c r="Z161" s="129">
        <f t="shared" si="49"/>
        <v>2</v>
      </c>
      <c r="AA161" s="129">
        <f t="shared" si="49"/>
        <v>2</v>
      </c>
      <c r="AB161" s="129">
        <f t="shared" si="49"/>
        <v>2</v>
      </c>
      <c r="AC161" s="129">
        <f t="shared" si="49"/>
        <v>2</v>
      </c>
      <c r="AD161" s="129">
        <f t="shared" si="49"/>
        <v>2</v>
      </c>
      <c r="AE161" s="129">
        <f t="shared" si="49"/>
        <v>2</v>
      </c>
      <c r="AF161" s="129">
        <f t="shared" si="49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7"/>
        <v>0.47</v>
      </c>
      <c r="C162" s="130">
        <v>0.47</v>
      </c>
      <c r="D162" s="129">
        <f t="shared" si="48"/>
        <v>0.47</v>
      </c>
      <c r="E162" s="129">
        <f t="shared" si="48"/>
        <v>0.47</v>
      </c>
      <c r="F162" s="129">
        <f t="shared" si="48"/>
        <v>0.47</v>
      </c>
      <c r="G162" s="129">
        <f t="shared" si="48"/>
        <v>0.47</v>
      </c>
      <c r="H162" s="129">
        <f t="shared" si="48"/>
        <v>0.47</v>
      </c>
      <c r="I162" s="129">
        <f t="shared" si="48"/>
        <v>0.47</v>
      </c>
      <c r="J162" s="129">
        <f t="shared" si="48"/>
        <v>0.47</v>
      </c>
      <c r="K162" s="129">
        <f t="shared" si="48"/>
        <v>0.47</v>
      </c>
      <c r="L162" s="129">
        <f t="shared" si="48"/>
        <v>0.47</v>
      </c>
      <c r="M162" s="129">
        <f t="shared" si="48"/>
        <v>0.47</v>
      </c>
      <c r="N162" s="129">
        <f t="shared" si="48"/>
        <v>0.47</v>
      </c>
      <c r="O162" s="129">
        <f t="shared" si="48"/>
        <v>0.47</v>
      </c>
      <c r="P162" s="129">
        <f t="shared" si="48"/>
        <v>0.47</v>
      </c>
      <c r="Q162" s="129">
        <f t="shared" si="48"/>
        <v>0.47</v>
      </c>
      <c r="R162" s="129">
        <f t="shared" si="48"/>
        <v>0.47</v>
      </c>
      <c r="S162" s="129">
        <f t="shared" si="48"/>
        <v>0.47</v>
      </c>
      <c r="T162" s="129">
        <f t="shared" si="49"/>
        <v>0.47</v>
      </c>
      <c r="U162" s="129">
        <f t="shared" si="49"/>
        <v>0.47</v>
      </c>
      <c r="V162" s="129">
        <f t="shared" si="49"/>
        <v>0.47</v>
      </c>
      <c r="W162" s="129">
        <f t="shared" si="49"/>
        <v>0.47</v>
      </c>
      <c r="X162" s="129">
        <f t="shared" si="49"/>
        <v>0.47</v>
      </c>
      <c r="Y162" s="129">
        <f t="shared" si="49"/>
        <v>0.47</v>
      </c>
      <c r="Z162" s="129">
        <f t="shared" si="49"/>
        <v>0.47</v>
      </c>
      <c r="AA162" s="129">
        <f t="shared" si="49"/>
        <v>0.47</v>
      </c>
      <c r="AB162" s="129">
        <f t="shared" si="49"/>
        <v>0.47</v>
      </c>
      <c r="AC162" s="129">
        <f t="shared" si="49"/>
        <v>0.47</v>
      </c>
      <c r="AD162" s="129">
        <f t="shared" si="49"/>
        <v>0.47</v>
      </c>
      <c r="AE162" s="129">
        <f t="shared" si="49"/>
        <v>0.47</v>
      </c>
      <c r="AF162" s="129">
        <f t="shared" si="49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7"/>
        <v>0</v>
      </c>
      <c r="C163" s="130">
        <v>0</v>
      </c>
      <c r="D163" s="129">
        <f t="shared" si="48"/>
        <v>0</v>
      </c>
      <c r="E163" s="129">
        <f t="shared" si="48"/>
        <v>0</v>
      </c>
      <c r="F163" s="129">
        <f t="shared" si="48"/>
        <v>0</v>
      </c>
      <c r="G163" s="129">
        <f t="shared" si="48"/>
        <v>0</v>
      </c>
      <c r="H163" s="129">
        <f t="shared" si="48"/>
        <v>0</v>
      </c>
      <c r="I163" s="129">
        <f t="shared" si="48"/>
        <v>0</v>
      </c>
      <c r="J163" s="129">
        <f t="shared" si="48"/>
        <v>0</v>
      </c>
      <c r="K163" s="129">
        <f t="shared" si="48"/>
        <v>0</v>
      </c>
      <c r="L163" s="129">
        <f t="shared" si="48"/>
        <v>0</v>
      </c>
      <c r="M163" s="129">
        <f t="shared" si="48"/>
        <v>0</v>
      </c>
      <c r="N163" s="129">
        <f t="shared" si="48"/>
        <v>0</v>
      </c>
      <c r="O163" s="129">
        <f t="shared" si="48"/>
        <v>0</v>
      </c>
      <c r="P163" s="129">
        <f t="shared" si="48"/>
        <v>0</v>
      </c>
      <c r="Q163" s="129">
        <f t="shared" si="48"/>
        <v>0</v>
      </c>
      <c r="R163" s="129">
        <f t="shared" si="48"/>
        <v>0</v>
      </c>
      <c r="S163" s="129">
        <f t="shared" si="48"/>
        <v>0</v>
      </c>
      <c r="T163" s="129">
        <f t="shared" si="49"/>
        <v>0</v>
      </c>
      <c r="U163" s="129">
        <f t="shared" si="49"/>
        <v>0</v>
      </c>
      <c r="V163" s="129">
        <f t="shared" si="49"/>
        <v>0</v>
      </c>
      <c r="W163" s="129">
        <f t="shared" si="49"/>
        <v>0</v>
      </c>
      <c r="X163" s="129">
        <f t="shared" si="49"/>
        <v>0</v>
      </c>
      <c r="Y163" s="129">
        <f t="shared" si="49"/>
        <v>0</v>
      </c>
      <c r="Z163" s="129">
        <f t="shared" si="49"/>
        <v>0</v>
      </c>
      <c r="AA163" s="129">
        <f t="shared" si="49"/>
        <v>0</v>
      </c>
      <c r="AB163" s="129">
        <f t="shared" si="49"/>
        <v>0</v>
      </c>
      <c r="AC163" s="129">
        <f t="shared" si="49"/>
        <v>0</v>
      </c>
      <c r="AD163" s="129">
        <f t="shared" si="49"/>
        <v>0</v>
      </c>
      <c r="AE163" s="129">
        <f t="shared" si="49"/>
        <v>0</v>
      </c>
      <c r="AF163" s="129">
        <f t="shared" si="49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7"/>
        <v>0</v>
      </c>
      <c r="C164" s="130">
        <v>0</v>
      </c>
      <c r="D164" s="129">
        <f t="shared" si="48"/>
        <v>0</v>
      </c>
      <c r="E164" s="129">
        <f t="shared" si="48"/>
        <v>0</v>
      </c>
      <c r="F164" s="129">
        <f t="shared" si="48"/>
        <v>0</v>
      </c>
      <c r="G164" s="129">
        <f t="shared" si="48"/>
        <v>0</v>
      </c>
      <c r="H164" s="129">
        <f t="shared" si="48"/>
        <v>0</v>
      </c>
      <c r="I164" s="129">
        <f t="shared" si="48"/>
        <v>0</v>
      </c>
      <c r="J164" s="129">
        <f t="shared" si="48"/>
        <v>0</v>
      </c>
      <c r="K164" s="129">
        <f t="shared" si="48"/>
        <v>0</v>
      </c>
      <c r="L164" s="129">
        <f t="shared" si="48"/>
        <v>0</v>
      </c>
      <c r="M164" s="129">
        <f t="shared" si="48"/>
        <v>0</v>
      </c>
      <c r="N164" s="129">
        <f t="shared" si="48"/>
        <v>0</v>
      </c>
      <c r="O164" s="129">
        <f t="shared" si="48"/>
        <v>0</v>
      </c>
      <c r="P164" s="129">
        <f t="shared" si="48"/>
        <v>0</v>
      </c>
      <c r="Q164" s="129">
        <f t="shared" si="48"/>
        <v>0</v>
      </c>
      <c r="R164" s="129">
        <f t="shared" si="48"/>
        <v>0</v>
      </c>
      <c r="S164" s="129">
        <f t="shared" si="49"/>
        <v>0</v>
      </c>
      <c r="T164" s="129">
        <f t="shared" si="49"/>
        <v>0</v>
      </c>
      <c r="U164" s="129">
        <f t="shared" si="49"/>
        <v>0</v>
      </c>
      <c r="V164" s="129">
        <f t="shared" si="49"/>
        <v>0</v>
      </c>
      <c r="W164" s="129">
        <f t="shared" si="49"/>
        <v>0</v>
      </c>
      <c r="X164" s="129">
        <f t="shared" si="49"/>
        <v>0</v>
      </c>
      <c r="Y164" s="129">
        <f t="shared" si="49"/>
        <v>0</v>
      </c>
      <c r="Z164" s="129">
        <f t="shared" si="49"/>
        <v>0</v>
      </c>
      <c r="AA164" s="129">
        <f t="shared" si="49"/>
        <v>0</v>
      </c>
      <c r="AB164" s="129">
        <f t="shared" si="49"/>
        <v>0</v>
      </c>
      <c r="AC164" s="129">
        <f t="shared" si="49"/>
        <v>0</v>
      </c>
      <c r="AD164" s="129">
        <f t="shared" si="49"/>
        <v>0</v>
      </c>
      <c r="AE164" s="129">
        <f t="shared" si="49"/>
        <v>0</v>
      </c>
      <c r="AF164" s="129">
        <f t="shared" si="49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7"/>
        <v>0.8</v>
      </c>
      <c r="C165" s="130">
        <v>0.8</v>
      </c>
      <c r="D165" s="129">
        <f t="shared" si="48"/>
        <v>0.8</v>
      </c>
      <c r="E165" s="129">
        <f t="shared" si="48"/>
        <v>0.8</v>
      </c>
      <c r="F165" s="129">
        <f t="shared" si="48"/>
        <v>0.8</v>
      </c>
      <c r="G165" s="129">
        <f t="shared" si="48"/>
        <v>0.8</v>
      </c>
      <c r="H165" s="129">
        <f t="shared" si="48"/>
        <v>0.8</v>
      </c>
      <c r="I165" s="129">
        <f t="shared" si="48"/>
        <v>0.8</v>
      </c>
      <c r="J165" s="129">
        <f t="shared" si="48"/>
        <v>0.8</v>
      </c>
      <c r="K165" s="129">
        <f t="shared" si="48"/>
        <v>0.8</v>
      </c>
      <c r="L165" s="129">
        <f t="shared" si="48"/>
        <v>0.8</v>
      </c>
      <c r="M165" s="129">
        <f t="shared" si="48"/>
        <v>0.8</v>
      </c>
      <c r="N165" s="129">
        <f t="shared" si="48"/>
        <v>0.8</v>
      </c>
      <c r="O165" s="129">
        <f t="shared" si="48"/>
        <v>0.8</v>
      </c>
      <c r="P165" s="129">
        <f t="shared" si="48"/>
        <v>0.8</v>
      </c>
      <c r="Q165" s="129">
        <f t="shared" si="48"/>
        <v>0.8</v>
      </c>
      <c r="R165" s="129">
        <f t="shared" si="48"/>
        <v>0.8</v>
      </c>
      <c r="S165" s="129">
        <f t="shared" si="49"/>
        <v>0.8</v>
      </c>
      <c r="T165" s="129">
        <f t="shared" si="49"/>
        <v>0.8</v>
      </c>
      <c r="U165" s="129">
        <f t="shared" si="49"/>
        <v>0.8</v>
      </c>
      <c r="V165" s="129">
        <f t="shared" si="49"/>
        <v>0.8</v>
      </c>
      <c r="W165" s="129">
        <f t="shared" si="49"/>
        <v>0.8</v>
      </c>
      <c r="X165" s="129">
        <f t="shared" si="49"/>
        <v>0.8</v>
      </c>
      <c r="Y165" s="129">
        <f t="shared" si="49"/>
        <v>0.8</v>
      </c>
      <c r="Z165" s="129">
        <f t="shared" si="49"/>
        <v>0.8</v>
      </c>
      <c r="AA165" s="129">
        <f t="shared" si="49"/>
        <v>0.8</v>
      </c>
      <c r="AB165" s="129">
        <f t="shared" si="49"/>
        <v>0.8</v>
      </c>
      <c r="AC165" s="129">
        <f t="shared" si="49"/>
        <v>0.8</v>
      </c>
      <c r="AD165" s="129">
        <f t="shared" si="49"/>
        <v>0.8</v>
      </c>
      <c r="AE165" s="129">
        <f t="shared" si="49"/>
        <v>0.8</v>
      </c>
      <c r="AF165" s="129">
        <f t="shared" si="49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7"/>
        <v>1.5</v>
      </c>
      <c r="C166" s="130">
        <v>1.5</v>
      </c>
      <c r="D166" s="129">
        <f t="shared" si="48"/>
        <v>1.5</v>
      </c>
      <c r="E166" s="129">
        <f t="shared" si="48"/>
        <v>1.5</v>
      </c>
      <c r="F166" s="129">
        <f t="shared" si="48"/>
        <v>1.5</v>
      </c>
      <c r="G166" s="129">
        <f t="shared" si="48"/>
        <v>1.5</v>
      </c>
      <c r="H166" s="129">
        <f t="shared" si="48"/>
        <v>1.5</v>
      </c>
      <c r="I166" s="129">
        <f t="shared" si="48"/>
        <v>1.5</v>
      </c>
      <c r="J166" s="129">
        <f t="shared" si="48"/>
        <v>1.5</v>
      </c>
      <c r="K166" s="129">
        <f t="shared" si="48"/>
        <v>1.5</v>
      </c>
      <c r="L166" s="129">
        <f t="shared" si="48"/>
        <v>1.5</v>
      </c>
      <c r="M166" s="129">
        <f t="shared" si="48"/>
        <v>1.5</v>
      </c>
      <c r="N166" s="129">
        <f t="shared" si="48"/>
        <v>1.5</v>
      </c>
      <c r="O166" s="129">
        <f t="shared" si="48"/>
        <v>1.5</v>
      </c>
      <c r="P166" s="129">
        <f t="shared" si="48"/>
        <v>1.5</v>
      </c>
      <c r="Q166" s="129">
        <f t="shared" si="48"/>
        <v>1.5</v>
      </c>
      <c r="R166" s="129">
        <f t="shared" si="48"/>
        <v>1.5</v>
      </c>
      <c r="S166" s="129">
        <f t="shared" si="49"/>
        <v>1.5</v>
      </c>
      <c r="T166" s="129">
        <f t="shared" si="49"/>
        <v>1.5</v>
      </c>
      <c r="U166" s="129">
        <f t="shared" si="49"/>
        <v>1.5</v>
      </c>
      <c r="V166" s="129">
        <f t="shared" si="49"/>
        <v>1.5</v>
      </c>
      <c r="W166" s="129">
        <f t="shared" si="49"/>
        <v>1.5</v>
      </c>
      <c r="X166" s="129">
        <f t="shared" si="49"/>
        <v>1.5</v>
      </c>
      <c r="Y166" s="129">
        <f t="shared" si="49"/>
        <v>1.5</v>
      </c>
      <c r="Z166" s="129">
        <f t="shared" si="49"/>
        <v>1.5</v>
      </c>
      <c r="AA166" s="129">
        <f t="shared" si="49"/>
        <v>1.5</v>
      </c>
      <c r="AB166" s="129">
        <f t="shared" si="49"/>
        <v>1.5</v>
      </c>
      <c r="AC166" s="129">
        <f t="shared" si="49"/>
        <v>1.5</v>
      </c>
      <c r="AD166" s="129">
        <f t="shared" si="49"/>
        <v>1.5</v>
      </c>
      <c r="AE166" s="129">
        <f t="shared" si="49"/>
        <v>1.5</v>
      </c>
      <c r="AF166" s="129">
        <f t="shared" si="49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7"/>
        <v>1</v>
      </c>
      <c r="C167" s="130">
        <v>1</v>
      </c>
      <c r="D167" s="129">
        <f t="shared" si="48"/>
        <v>1</v>
      </c>
      <c r="E167" s="129">
        <f t="shared" si="48"/>
        <v>1</v>
      </c>
      <c r="F167" s="129">
        <f t="shared" si="48"/>
        <v>1</v>
      </c>
      <c r="G167" s="129">
        <f t="shared" si="48"/>
        <v>1</v>
      </c>
      <c r="H167" s="129">
        <f t="shared" si="48"/>
        <v>1</v>
      </c>
      <c r="I167" s="129">
        <f t="shared" si="48"/>
        <v>1</v>
      </c>
      <c r="J167" s="129">
        <f t="shared" si="48"/>
        <v>1</v>
      </c>
      <c r="K167" s="129">
        <f t="shared" si="48"/>
        <v>1</v>
      </c>
      <c r="L167" s="129">
        <f t="shared" si="48"/>
        <v>1</v>
      </c>
      <c r="M167" s="129">
        <f t="shared" si="48"/>
        <v>1</v>
      </c>
      <c r="N167" s="129">
        <f t="shared" si="48"/>
        <v>1</v>
      </c>
      <c r="O167" s="129">
        <f t="shared" si="48"/>
        <v>1</v>
      </c>
      <c r="P167" s="129">
        <f t="shared" si="48"/>
        <v>1</v>
      </c>
      <c r="Q167" s="129">
        <f t="shared" si="48"/>
        <v>1</v>
      </c>
      <c r="R167" s="129">
        <f t="shared" si="48"/>
        <v>1</v>
      </c>
      <c r="S167" s="129">
        <f t="shared" si="49"/>
        <v>1</v>
      </c>
      <c r="T167" s="129">
        <f t="shared" si="49"/>
        <v>1</v>
      </c>
      <c r="U167" s="129">
        <f t="shared" si="49"/>
        <v>1</v>
      </c>
      <c r="V167" s="129">
        <f t="shared" si="49"/>
        <v>1</v>
      </c>
      <c r="W167" s="129">
        <f t="shared" si="49"/>
        <v>1</v>
      </c>
      <c r="X167" s="129">
        <f t="shared" si="49"/>
        <v>1</v>
      </c>
      <c r="Y167" s="129">
        <f t="shared" si="49"/>
        <v>1</v>
      </c>
      <c r="Z167" s="129">
        <f t="shared" si="49"/>
        <v>1</v>
      </c>
      <c r="AA167" s="129">
        <f t="shared" si="49"/>
        <v>1</v>
      </c>
      <c r="AB167" s="129">
        <f t="shared" si="49"/>
        <v>1</v>
      </c>
      <c r="AC167" s="129">
        <f t="shared" si="49"/>
        <v>1</v>
      </c>
      <c r="AD167" s="129">
        <f t="shared" si="49"/>
        <v>1</v>
      </c>
      <c r="AE167" s="129">
        <f t="shared" si="49"/>
        <v>1</v>
      </c>
      <c r="AF167" s="129">
        <f t="shared" si="49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50">AF169</f>
        <v>1</v>
      </c>
      <c r="C169" s="130">
        <v>1</v>
      </c>
      <c r="D169" s="129">
        <f t="shared" ref="D169:S176" si="51">C169</f>
        <v>1</v>
      </c>
      <c r="E169" s="129">
        <f t="shared" si="51"/>
        <v>1</v>
      </c>
      <c r="F169" s="129">
        <f t="shared" si="51"/>
        <v>1</v>
      </c>
      <c r="G169" s="129">
        <f t="shared" si="51"/>
        <v>1</v>
      </c>
      <c r="H169" s="129">
        <f t="shared" si="51"/>
        <v>1</v>
      </c>
      <c r="I169" s="129">
        <f t="shared" si="51"/>
        <v>1</v>
      </c>
      <c r="J169" s="129">
        <f t="shared" si="51"/>
        <v>1</v>
      </c>
      <c r="K169" s="129">
        <f t="shared" si="51"/>
        <v>1</v>
      </c>
      <c r="L169" s="129">
        <f t="shared" si="51"/>
        <v>1</v>
      </c>
      <c r="M169" s="129">
        <f t="shared" si="51"/>
        <v>1</v>
      </c>
      <c r="N169" s="129">
        <f t="shared" si="51"/>
        <v>1</v>
      </c>
      <c r="O169" s="129">
        <f t="shared" si="51"/>
        <v>1</v>
      </c>
      <c r="P169" s="129">
        <f t="shared" si="51"/>
        <v>1</v>
      </c>
      <c r="Q169" s="129">
        <f t="shared" si="51"/>
        <v>1</v>
      </c>
      <c r="R169" s="129">
        <f t="shared" si="51"/>
        <v>1</v>
      </c>
      <c r="S169" s="129">
        <f t="shared" si="51"/>
        <v>1</v>
      </c>
      <c r="T169" s="129">
        <f t="shared" ref="S169:AF176" si="52">S169</f>
        <v>1</v>
      </c>
      <c r="U169" s="129">
        <f t="shared" si="52"/>
        <v>1</v>
      </c>
      <c r="V169" s="129">
        <f t="shared" si="52"/>
        <v>1</v>
      </c>
      <c r="W169" s="129">
        <f t="shared" si="52"/>
        <v>1</v>
      </c>
      <c r="X169" s="129">
        <f t="shared" si="52"/>
        <v>1</v>
      </c>
      <c r="Y169" s="129">
        <f t="shared" si="52"/>
        <v>1</v>
      </c>
      <c r="Z169" s="129">
        <f t="shared" si="52"/>
        <v>1</v>
      </c>
      <c r="AA169" s="129">
        <f t="shared" si="52"/>
        <v>1</v>
      </c>
      <c r="AB169" s="129">
        <f t="shared" si="52"/>
        <v>1</v>
      </c>
      <c r="AC169" s="129">
        <f t="shared" si="52"/>
        <v>1</v>
      </c>
      <c r="AD169" s="129">
        <f t="shared" si="52"/>
        <v>1</v>
      </c>
      <c r="AE169" s="129">
        <f t="shared" si="52"/>
        <v>1</v>
      </c>
      <c r="AF169" s="129">
        <f t="shared" si="52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50"/>
        <v>0.42</v>
      </c>
      <c r="C170" s="130">
        <v>0.42</v>
      </c>
      <c r="D170" s="129">
        <f t="shared" si="51"/>
        <v>0.42</v>
      </c>
      <c r="E170" s="129">
        <f t="shared" si="51"/>
        <v>0.42</v>
      </c>
      <c r="F170" s="129">
        <f t="shared" si="51"/>
        <v>0.42</v>
      </c>
      <c r="G170" s="129">
        <f t="shared" si="51"/>
        <v>0.42</v>
      </c>
      <c r="H170" s="129">
        <f t="shared" si="51"/>
        <v>0.42</v>
      </c>
      <c r="I170" s="129">
        <f t="shared" si="51"/>
        <v>0.42</v>
      </c>
      <c r="J170" s="129">
        <f t="shared" si="51"/>
        <v>0.42</v>
      </c>
      <c r="K170" s="129">
        <f t="shared" si="51"/>
        <v>0.42</v>
      </c>
      <c r="L170" s="129">
        <f t="shared" si="51"/>
        <v>0.42</v>
      </c>
      <c r="M170" s="129">
        <f t="shared" si="51"/>
        <v>0.42</v>
      </c>
      <c r="N170" s="129">
        <f t="shared" si="51"/>
        <v>0.42</v>
      </c>
      <c r="O170" s="129">
        <f t="shared" si="51"/>
        <v>0.42</v>
      </c>
      <c r="P170" s="129">
        <f t="shared" si="51"/>
        <v>0.42</v>
      </c>
      <c r="Q170" s="129">
        <f t="shared" si="51"/>
        <v>0.42</v>
      </c>
      <c r="R170" s="129">
        <f t="shared" si="51"/>
        <v>0.42</v>
      </c>
      <c r="S170" s="129">
        <f t="shared" si="52"/>
        <v>0.42</v>
      </c>
      <c r="T170" s="129">
        <f t="shared" si="52"/>
        <v>0.42</v>
      </c>
      <c r="U170" s="129">
        <f t="shared" si="52"/>
        <v>0.42</v>
      </c>
      <c r="V170" s="129">
        <f t="shared" si="52"/>
        <v>0.42</v>
      </c>
      <c r="W170" s="129">
        <f t="shared" si="52"/>
        <v>0.42</v>
      </c>
      <c r="X170" s="129">
        <f t="shared" si="52"/>
        <v>0.42</v>
      </c>
      <c r="Y170" s="129">
        <f t="shared" si="52"/>
        <v>0.42</v>
      </c>
      <c r="Z170" s="129">
        <f t="shared" si="52"/>
        <v>0.42</v>
      </c>
      <c r="AA170" s="129">
        <f t="shared" si="52"/>
        <v>0.42</v>
      </c>
      <c r="AB170" s="129">
        <f t="shared" si="52"/>
        <v>0.42</v>
      </c>
      <c r="AC170" s="129">
        <f t="shared" si="52"/>
        <v>0.42</v>
      </c>
      <c r="AD170" s="129">
        <f t="shared" si="52"/>
        <v>0.42</v>
      </c>
      <c r="AE170" s="129">
        <f t="shared" si="52"/>
        <v>0.42</v>
      </c>
      <c r="AF170" s="129">
        <f t="shared" si="52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50"/>
        <v>0.46</v>
      </c>
      <c r="C171" s="130">
        <v>0.46</v>
      </c>
      <c r="D171" s="129">
        <f t="shared" si="51"/>
        <v>0.46</v>
      </c>
      <c r="E171" s="129">
        <f t="shared" si="51"/>
        <v>0.46</v>
      </c>
      <c r="F171" s="129">
        <f t="shared" si="51"/>
        <v>0.46</v>
      </c>
      <c r="G171" s="129">
        <f t="shared" si="51"/>
        <v>0.46</v>
      </c>
      <c r="H171" s="129">
        <f t="shared" si="51"/>
        <v>0.46</v>
      </c>
      <c r="I171" s="129">
        <f t="shared" si="51"/>
        <v>0.46</v>
      </c>
      <c r="J171" s="129">
        <f t="shared" si="51"/>
        <v>0.46</v>
      </c>
      <c r="K171" s="129">
        <f t="shared" si="51"/>
        <v>0.46</v>
      </c>
      <c r="L171" s="129">
        <f t="shared" si="51"/>
        <v>0.46</v>
      </c>
      <c r="M171" s="129">
        <f t="shared" si="51"/>
        <v>0.46</v>
      </c>
      <c r="N171" s="129">
        <f t="shared" si="51"/>
        <v>0.46</v>
      </c>
      <c r="O171" s="129">
        <f t="shared" si="51"/>
        <v>0.46</v>
      </c>
      <c r="P171" s="129">
        <f t="shared" si="51"/>
        <v>0.46</v>
      </c>
      <c r="Q171" s="129">
        <f t="shared" si="51"/>
        <v>0.46</v>
      </c>
      <c r="R171" s="129">
        <f t="shared" si="51"/>
        <v>0.46</v>
      </c>
      <c r="S171" s="129">
        <f t="shared" si="52"/>
        <v>0.46</v>
      </c>
      <c r="T171" s="129">
        <f t="shared" si="52"/>
        <v>0.46</v>
      </c>
      <c r="U171" s="129">
        <f t="shared" si="52"/>
        <v>0.46</v>
      </c>
      <c r="V171" s="129">
        <f t="shared" si="52"/>
        <v>0.46</v>
      </c>
      <c r="W171" s="129">
        <f t="shared" si="52"/>
        <v>0.46</v>
      </c>
      <c r="X171" s="129">
        <f t="shared" si="52"/>
        <v>0.46</v>
      </c>
      <c r="Y171" s="129">
        <f t="shared" si="52"/>
        <v>0.46</v>
      </c>
      <c r="Z171" s="129">
        <f t="shared" si="52"/>
        <v>0.46</v>
      </c>
      <c r="AA171" s="129">
        <f t="shared" si="52"/>
        <v>0.46</v>
      </c>
      <c r="AB171" s="129">
        <f t="shared" si="52"/>
        <v>0.46</v>
      </c>
      <c r="AC171" s="129">
        <f t="shared" si="52"/>
        <v>0.46</v>
      </c>
      <c r="AD171" s="129">
        <f t="shared" si="52"/>
        <v>0.46</v>
      </c>
      <c r="AE171" s="129">
        <f t="shared" si="52"/>
        <v>0.46</v>
      </c>
      <c r="AF171" s="129">
        <f t="shared" si="52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50"/>
        <v>0.85</v>
      </c>
      <c r="C172" s="130">
        <v>0.85</v>
      </c>
      <c r="D172" s="129">
        <f t="shared" si="51"/>
        <v>0.85</v>
      </c>
      <c r="E172" s="129">
        <f t="shared" si="51"/>
        <v>0.85</v>
      </c>
      <c r="F172" s="129">
        <f t="shared" si="51"/>
        <v>0.85</v>
      </c>
      <c r="G172" s="129">
        <f t="shared" si="51"/>
        <v>0.85</v>
      </c>
      <c r="H172" s="129">
        <f t="shared" si="51"/>
        <v>0.85</v>
      </c>
      <c r="I172" s="129">
        <f t="shared" si="51"/>
        <v>0.85</v>
      </c>
      <c r="J172" s="129">
        <f t="shared" si="51"/>
        <v>0.85</v>
      </c>
      <c r="K172" s="129">
        <f t="shared" si="51"/>
        <v>0.85</v>
      </c>
      <c r="L172" s="129">
        <f t="shared" si="51"/>
        <v>0.85</v>
      </c>
      <c r="M172" s="129">
        <f t="shared" si="51"/>
        <v>0.85</v>
      </c>
      <c r="N172" s="129">
        <f t="shared" si="51"/>
        <v>0.85</v>
      </c>
      <c r="O172" s="129">
        <f t="shared" si="51"/>
        <v>0.85</v>
      </c>
      <c r="P172" s="129">
        <f t="shared" si="51"/>
        <v>0.85</v>
      </c>
      <c r="Q172" s="129">
        <f t="shared" si="51"/>
        <v>0.85</v>
      </c>
      <c r="R172" s="129">
        <f t="shared" si="51"/>
        <v>0.85</v>
      </c>
      <c r="S172" s="129">
        <f t="shared" si="52"/>
        <v>0.85</v>
      </c>
      <c r="T172" s="129">
        <f t="shared" si="52"/>
        <v>0.85</v>
      </c>
      <c r="U172" s="129">
        <f t="shared" si="52"/>
        <v>0.85</v>
      </c>
      <c r="V172" s="129">
        <f t="shared" si="52"/>
        <v>0.85</v>
      </c>
      <c r="W172" s="129">
        <f t="shared" si="52"/>
        <v>0.85</v>
      </c>
      <c r="X172" s="129">
        <f t="shared" si="52"/>
        <v>0.85</v>
      </c>
      <c r="Y172" s="129">
        <f t="shared" si="52"/>
        <v>0.85</v>
      </c>
      <c r="Z172" s="129">
        <f t="shared" si="52"/>
        <v>0.85</v>
      </c>
      <c r="AA172" s="129">
        <f t="shared" si="52"/>
        <v>0.85</v>
      </c>
      <c r="AB172" s="129">
        <f t="shared" si="52"/>
        <v>0.85</v>
      </c>
      <c r="AC172" s="129">
        <f t="shared" si="52"/>
        <v>0.85</v>
      </c>
      <c r="AD172" s="129">
        <f t="shared" si="52"/>
        <v>0.85</v>
      </c>
      <c r="AE172" s="129">
        <f t="shared" si="52"/>
        <v>0.85</v>
      </c>
      <c r="AF172" s="129">
        <f t="shared" si="52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50"/>
        <v>0.9</v>
      </c>
      <c r="C173" s="130">
        <v>0.9</v>
      </c>
      <c r="D173" s="129">
        <f t="shared" si="51"/>
        <v>0.9</v>
      </c>
      <c r="E173" s="129">
        <f t="shared" si="51"/>
        <v>0.9</v>
      </c>
      <c r="F173" s="129">
        <f t="shared" si="51"/>
        <v>0.9</v>
      </c>
      <c r="G173" s="129">
        <f t="shared" si="51"/>
        <v>0.9</v>
      </c>
      <c r="H173" s="129">
        <f t="shared" si="51"/>
        <v>0.9</v>
      </c>
      <c r="I173" s="129">
        <f t="shared" si="51"/>
        <v>0.9</v>
      </c>
      <c r="J173" s="129">
        <f t="shared" si="51"/>
        <v>0.9</v>
      </c>
      <c r="K173" s="129">
        <f t="shared" si="51"/>
        <v>0.9</v>
      </c>
      <c r="L173" s="129">
        <f t="shared" si="51"/>
        <v>0.9</v>
      </c>
      <c r="M173" s="129">
        <f t="shared" si="51"/>
        <v>0.9</v>
      </c>
      <c r="N173" s="129">
        <f t="shared" si="51"/>
        <v>0.9</v>
      </c>
      <c r="O173" s="129">
        <f t="shared" si="51"/>
        <v>0.9</v>
      </c>
      <c r="P173" s="129">
        <f t="shared" si="51"/>
        <v>0.9</v>
      </c>
      <c r="Q173" s="129">
        <f t="shared" si="51"/>
        <v>0.9</v>
      </c>
      <c r="R173" s="129">
        <f t="shared" si="51"/>
        <v>0.9</v>
      </c>
      <c r="S173" s="129">
        <f t="shared" si="52"/>
        <v>0.9</v>
      </c>
      <c r="T173" s="129">
        <f t="shared" si="52"/>
        <v>0.9</v>
      </c>
      <c r="U173" s="129">
        <f t="shared" si="52"/>
        <v>0.9</v>
      </c>
      <c r="V173" s="129">
        <f t="shared" si="52"/>
        <v>0.9</v>
      </c>
      <c r="W173" s="129">
        <f t="shared" si="52"/>
        <v>0.9</v>
      </c>
      <c r="X173" s="129">
        <f t="shared" si="52"/>
        <v>0.9</v>
      </c>
      <c r="Y173" s="129">
        <f t="shared" si="52"/>
        <v>0.9</v>
      </c>
      <c r="Z173" s="129">
        <f t="shared" si="52"/>
        <v>0.9</v>
      </c>
      <c r="AA173" s="129">
        <f t="shared" si="52"/>
        <v>0.9</v>
      </c>
      <c r="AB173" s="129">
        <f t="shared" si="52"/>
        <v>0.9</v>
      </c>
      <c r="AC173" s="129">
        <f t="shared" si="52"/>
        <v>0.9</v>
      </c>
      <c r="AD173" s="129">
        <f t="shared" si="52"/>
        <v>0.9</v>
      </c>
      <c r="AE173" s="129">
        <f t="shared" si="52"/>
        <v>0.9</v>
      </c>
      <c r="AF173" s="129">
        <f t="shared" si="52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50"/>
        <v>0.44</v>
      </c>
      <c r="C174" s="130">
        <v>0.44</v>
      </c>
      <c r="D174" s="129">
        <f t="shared" si="51"/>
        <v>0.44</v>
      </c>
      <c r="E174" s="129">
        <f t="shared" si="51"/>
        <v>0.44</v>
      </c>
      <c r="F174" s="129">
        <f t="shared" si="51"/>
        <v>0.44</v>
      </c>
      <c r="G174" s="129">
        <f t="shared" si="51"/>
        <v>0.44</v>
      </c>
      <c r="H174" s="129">
        <f t="shared" si="51"/>
        <v>0.44</v>
      </c>
      <c r="I174" s="129">
        <f t="shared" si="51"/>
        <v>0.44</v>
      </c>
      <c r="J174" s="129">
        <f t="shared" si="51"/>
        <v>0.44</v>
      </c>
      <c r="K174" s="129">
        <f t="shared" si="51"/>
        <v>0.44</v>
      </c>
      <c r="L174" s="129">
        <f t="shared" si="51"/>
        <v>0.44</v>
      </c>
      <c r="M174" s="129">
        <f t="shared" si="51"/>
        <v>0.44</v>
      </c>
      <c r="N174" s="129">
        <f t="shared" si="51"/>
        <v>0.44</v>
      </c>
      <c r="O174" s="129">
        <f t="shared" si="51"/>
        <v>0.44</v>
      </c>
      <c r="P174" s="129">
        <f t="shared" si="51"/>
        <v>0.44</v>
      </c>
      <c r="Q174" s="129">
        <f t="shared" si="51"/>
        <v>0.44</v>
      </c>
      <c r="R174" s="129">
        <f t="shared" si="51"/>
        <v>0.44</v>
      </c>
      <c r="S174" s="129">
        <f t="shared" si="52"/>
        <v>0.44</v>
      </c>
      <c r="T174" s="129">
        <f t="shared" si="52"/>
        <v>0.44</v>
      </c>
      <c r="U174" s="129">
        <f t="shared" si="52"/>
        <v>0.44</v>
      </c>
      <c r="V174" s="129">
        <f t="shared" si="52"/>
        <v>0.44</v>
      </c>
      <c r="W174" s="129">
        <f t="shared" si="52"/>
        <v>0.44</v>
      </c>
      <c r="X174" s="129">
        <f t="shared" si="52"/>
        <v>0.44</v>
      </c>
      <c r="Y174" s="129">
        <f t="shared" si="52"/>
        <v>0.44</v>
      </c>
      <c r="Z174" s="129">
        <f t="shared" si="52"/>
        <v>0.44</v>
      </c>
      <c r="AA174" s="129">
        <f t="shared" si="52"/>
        <v>0.44</v>
      </c>
      <c r="AB174" s="129">
        <f t="shared" si="52"/>
        <v>0.44</v>
      </c>
      <c r="AC174" s="129">
        <f t="shared" si="52"/>
        <v>0.44</v>
      </c>
      <c r="AD174" s="129">
        <f t="shared" si="52"/>
        <v>0.44</v>
      </c>
      <c r="AE174" s="129">
        <f t="shared" si="52"/>
        <v>0.44</v>
      </c>
      <c r="AF174" s="129">
        <f t="shared" si="52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50"/>
        <v>2.1</v>
      </c>
      <c r="C175" s="130">
        <v>2.1</v>
      </c>
      <c r="D175" s="129">
        <f t="shared" si="51"/>
        <v>2.1</v>
      </c>
      <c r="E175" s="129">
        <f t="shared" si="51"/>
        <v>2.1</v>
      </c>
      <c r="F175" s="129">
        <f t="shared" si="51"/>
        <v>2.1</v>
      </c>
      <c r="G175" s="129">
        <f t="shared" si="51"/>
        <v>2.1</v>
      </c>
      <c r="H175" s="129">
        <f t="shared" si="51"/>
        <v>2.1</v>
      </c>
      <c r="I175" s="129">
        <f t="shared" si="51"/>
        <v>2.1</v>
      </c>
      <c r="J175" s="129">
        <f t="shared" si="51"/>
        <v>2.1</v>
      </c>
      <c r="K175" s="129">
        <f t="shared" si="51"/>
        <v>2.1</v>
      </c>
      <c r="L175" s="129">
        <f t="shared" si="51"/>
        <v>2.1</v>
      </c>
      <c r="M175" s="129">
        <f t="shared" si="51"/>
        <v>2.1</v>
      </c>
      <c r="N175" s="129">
        <f t="shared" si="51"/>
        <v>2.1</v>
      </c>
      <c r="O175" s="129">
        <f t="shared" si="51"/>
        <v>2.1</v>
      </c>
      <c r="P175" s="129">
        <f t="shared" si="51"/>
        <v>2.1</v>
      </c>
      <c r="Q175" s="129">
        <f t="shared" si="51"/>
        <v>2.1</v>
      </c>
      <c r="R175" s="129">
        <f t="shared" si="51"/>
        <v>2.1</v>
      </c>
      <c r="S175" s="129">
        <f t="shared" si="52"/>
        <v>2.1</v>
      </c>
      <c r="T175" s="129">
        <f t="shared" si="52"/>
        <v>2.1</v>
      </c>
      <c r="U175" s="129">
        <f t="shared" si="52"/>
        <v>2.1</v>
      </c>
      <c r="V175" s="129">
        <f t="shared" si="52"/>
        <v>2.1</v>
      </c>
      <c r="W175" s="129">
        <f t="shared" si="52"/>
        <v>2.1</v>
      </c>
      <c r="X175" s="129">
        <f t="shared" si="52"/>
        <v>2.1</v>
      </c>
      <c r="Y175" s="129">
        <f t="shared" si="52"/>
        <v>2.1</v>
      </c>
      <c r="Z175" s="129">
        <f t="shared" si="52"/>
        <v>2.1</v>
      </c>
      <c r="AA175" s="129">
        <f t="shared" si="52"/>
        <v>2.1</v>
      </c>
      <c r="AB175" s="129">
        <f t="shared" si="52"/>
        <v>2.1</v>
      </c>
      <c r="AC175" s="129">
        <f t="shared" si="52"/>
        <v>2.1</v>
      </c>
      <c r="AD175" s="129">
        <f t="shared" si="52"/>
        <v>2.1</v>
      </c>
      <c r="AE175" s="129">
        <f t="shared" si="52"/>
        <v>2.1</v>
      </c>
      <c r="AF175" s="129">
        <f t="shared" si="52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50"/>
        <v>0.9</v>
      </c>
      <c r="C176" s="130">
        <v>0.9</v>
      </c>
      <c r="D176" s="129">
        <f t="shared" si="51"/>
        <v>0.9</v>
      </c>
      <c r="E176" s="129">
        <f t="shared" si="51"/>
        <v>0.9</v>
      </c>
      <c r="F176" s="129">
        <f t="shared" si="51"/>
        <v>0.9</v>
      </c>
      <c r="G176" s="129">
        <f t="shared" si="51"/>
        <v>0.9</v>
      </c>
      <c r="H176" s="129">
        <f t="shared" si="51"/>
        <v>0.9</v>
      </c>
      <c r="I176" s="129">
        <f t="shared" si="51"/>
        <v>0.9</v>
      </c>
      <c r="J176" s="129">
        <f t="shared" si="51"/>
        <v>0.9</v>
      </c>
      <c r="K176" s="129">
        <f t="shared" si="51"/>
        <v>0.9</v>
      </c>
      <c r="L176" s="129">
        <f t="shared" si="51"/>
        <v>0.9</v>
      </c>
      <c r="M176" s="129">
        <f t="shared" si="51"/>
        <v>0.9</v>
      </c>
      <c r="N176" s="129">
        <f t="shared" si="51"/>
        <v>0.9</v>
      </c>
      <c r="O176" s="129">
        <f t="shared" si="51"/>
        <v>0.9</v>
      </c>
      <c r="P176" s="129">
        <f t="shared" si="51"/>
        <v>0.9</v>
      </c>
      <c r="Q176" s="129">
        <f t="shared" si="51"/>
        <v>0.9</v>
      </c>
      <c r="R176" s="129">
        <f t="shared" si="51"/>
        <v>0.9</v>
      </c>
      <c r="S176" s="129">
        <f t="shared" si="52"/>
        <v>0.9</v>
      </c>
      <c r="T176" s="129">
        <f t="shared" si="52"/>
        <v>0.9</v>
      </c>
      <c r="U176" s="129">
        <f t="shared" si="52"/>
        <v>0.9</v>
      </c>
      <c r="V176" s="129">
        <f t="shared" si="52"/>
        <v>0.9</v>
      </c>
      <c r="W176" s="129">
        <f t="shared" si="52"/>
        <v>0.9</v>
      </c>
      <c r="X176" s="129">
        <f t="shared" si="52"/>
        <v>0.9</v>
      </c>
      <c r="Y176" s="129">
        <f t="shared" si="52"/>
        <v>0.9</v>
      </c>
      <c r="Z176" s="129">
        <f t="shared" si="52"/>
        <v>0.9</v>
      </c>
      <c r="AA176" s="129">
        <f t="shared" si="52"/>
        <v>0.9</v>
      </c>
      <c r="AB176" s="129">
        <f t="shared" si="52"/>
        <v>0.9</v>
      </c>
      <c r="AC176" s="129">
        <f t="shared" si="52"/>
        <v>0.9</v>
      </c>
      <c r="AD176" s="129">
        <f t="shared" si="52"/>
        <v>0.9</v>
      </c>
      <c r="AE176" s="129">
        <f t="shared" si="52"/>
        <v>0.9</v>
      </c>
      <c r="AF176" s="129">
        <f t="shared" si="52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3">AF178</f>
        <v>0.57999999999999996</v>
      </c>
      <c r="C178" s="130">
        <v>0.57999999999999996</v>
      </c>
      <c r="D178" s="129">
        <f t="shared" ref="D178:S190" si="54">C178</f>
        <v>0.57999999999999996</v>
      </c>
      <c r="E178" s="129">
        <f t="shared" si="54"/>
        <v>0.57999999999999996</v>
      </c>
      <c r="F178" s="129">
        <f t="shared" si="54"/>
        <v>0.57999999999999996</v>
      </c>
      <c r="G178" s="129">
        <f t="shared" si="54"/>
        <v>0.57999999999999996</v>
      </c>
      <c r="H178" s="129">
        <f t="shared" si="54"/>
        <v>0.57999999999999996</v>
      </c>
      <c r="I178" s="129">
        <f t="shared" si="54"/>
        <v>0.57999999999999996</v>
      </c>
      <c r="J178" s="129">
        <f t="shared" si="54"/>
        <v>0.57999999999999996</v>
      </c>
      <c r="K178" s="129">
        <f t="shared" si="54"/>
        <v>0.57999999999999996</v>
      </c>
      <c r="L178" s="129">
        <f t="shared" si="54"/>
        <v>0.57999999999999996</v>
      </c>
      <c r="M178" s="129">
        <f t="shared" si="54"/>
        <v>0.57999999999999996</v>
      </c>
      <c r="N178" s="129">
        <f t="shared" si="54"/>
        <v>0.57999999999999996</v>
      </c>
      <c r="O178" s="129">
        <f t="shared" si="54"/>
        <v>0.57999999999999996</v>
      </c>
      <c r="P178" s="129">
        <f t="shared" si="54"/>
        <v>0.57999999999999996</v>
      </c>
      <c r="Q178" s="129">
        <f t="shared" si="54"/>
        <v>0.57999999999999996</v>
      </c>
      <c r="R178" s="129">
        <f t="shared" si="54"/>
        <v>0.57999999999999996</v>
      </c>
      <c r="S178" s="129">
        <f t="shared" si="54"/>
        <v>0.57999999999999996</v>
      </c>
      <c r="T178" s="129">
        <f t="shared" ref="S178:AF190" si="55">S178</f>
        <v>0.57999999999999996</v>
      </c>
      <c r="U178" s="129">
        <f t="shared" si="55"/>
        <v>0.57999999999999996</v>
      </c>
      <c r="V178" s="129">
        <f t="shared" si="55"/>
        <v>0.57999999999999996</v>
      </c>
      <c r="W178" s="129">
        <f t="shared" si="55"/>
        <v>0.57999999999999996</v>
      </c>
      <c r="X178" s="129">
        <f t="shared" si="55"/>
        <v>0.57999999999999996</v>
      </c>
      <c r="Y178" s="129">
        <f t="shared" si="55"/>
        <v>0.57999999999999996</v>
      </c>
      <c r="Z178" s="129">
        <f t="shared" si="55"/>
        <v>0.57999999999999996</v>
      </c>
      <c r="AA178" s="129">
        <f t="shared" si="55"/>
        <v>0.57999999999999996</v>
      </c>
      <c r="AB178" s="129">
        <f t="shared" si="55"/>
        <v>0.57999999999999996</v>
      </c>
      <c r="AC178" s="129">
        <f t="shared" si="55"/>
        <v>0.57999999999999996</v>
      </c>
      <c r="AD178" s="129">
        <f t="shared" si="55"/>
        <v>0.57999999999999996</v>
      </c>
      <c r="AE178" s="129">
        <f t="shared" si="55"/>
        <v>0.57999999999999996</v>
      </c>
      <c r="AF178" s="129">
        <f t="shared" si="55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3"/>
        <v>0.8</v>
      </c>
      <c r="C179" s="130">
        <v>0.8</v>
      </c>
      <c r="D179" s="129">
        <f t="shared" si="54"/>
        <v>0.8</v>
      </c>
      <c r="E179" s="129">
        <f t="shared" si="54"/>
        <v>0.8</v>
      </c>
      <c r="F179" s="129">
        <f t="shared" si="54"/>
        <v>0.8</v>
      </c>
      <c r="G179" s="129">
        <f t="shared" si="54"/>
        <v>0.8</v>
      </c>
      <c r="H179" s="129">
        <f t="shared" si="54"/>
        <v>0.8</v>
      </c>
      <c r="I179" s="129">
        <f t="shared" si="54"/>
        <v>0.8</v>
      </c>
      <c r="J179" s="129">
        <f t="shared" si="54"/>
        <v>0.8</v>
      </c>
      <c r="K179" s="129">
        <f t="shared" si="54"/>
        <v>0.8</v>
      </c>
      <c r="L179" s="129">
        <f t="shared" si="54"/>
        <v>0.8</v>
      </c>
      <c r="M179" s="129">
        <f t="shared" si="54"/>
        <v>0.8</v>
      </c>
      <c r="N179" s="129">
        <f t="shared" si="54"/>
        <v>0.8</v>
      </c>
      <c r="O179" s="129">
        <f t="shared" si="54"/>
        <v>0.8</v>
      </c>
      <c r="P179" s="129">
        <f t="shared" si="54"/>
        <v>0.8</v>
      </c>
      <c r="Q179" s="129">
        <f t="shared" si="54"/>
        <v>0.8</v>
      </c>
      <c r="R179" s="129">
        <f t="shared" si="54"/>
        <v>0.8</v>
      </c>
      <c r="S179" s="129">
        <f t="shared" si="54"/>
        <v>0.8</v>
      </c>
      <c r="T179" s="129">
        <f t="shared" si="55"/>
        <v>0.8</v>
      </c>
      <c r="U179" s="129">
        <f t="shared" si="55"/>
        <v>0.8</v>
      </c>
      <c r="V179" s="129">
        <f t="shared" si="55"/>
        <v>0.8</v>
      </c>
      <c r="W179" s="129">
        <f t="shared" si="55"/>
        <v>0.8</v>
      </c>
      <c r="X179" s="129">
        <f t="shared" si="55"/>
        <v>0.8</v>
      </c>
      <c r="Y179" s="129">
        <f t="shared" si="55"/>
        <v>0.8</v>
      </c>
      <c r="Z179" s="129">
        <f t="shared" si="55"/>
        <v>0.8</v>
      </c>
      <c r="AA179" s="129">
        <f t="shared" si="55"/>
        <v>0.8</v>
      </c>
      <c r="AB179" s="129">
        <f t="shared" si="55"/>
        <v>0.8</v>
      </c>
      <c r="AC179" s="129">
        <f t="shared" si="55"/>
        <v>0.8</v>
      </c>
      <c r="AD179" s="129">
        <f t="shared" si="55"/>
        <v>0.8</v>
      </c>
      <c r="AE179" s="129">
        <f t="shared" si="55"/>
        <v>0.8</v>
      </c>
      <c r="AF179" s="129">
        <f t="shared" si="55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3"/>
        <v>0</v>
      </c>
      <c r="C180" s="130">
        <v>0</v>
      </c>
      <c r="D180" s="129">
        <f t="shared" si="54"/>
        <v>0</v>
      </c>
      <c r="E180" s="129">
        <f t="shared" si="54"/>
        <v>0</v>
      </c>
      <c r="F180" s="129">
        <f t="shared" si="54"/>
        <v>0</v>
      </c>
      <c r="G180" s="129">
        <f t="shared" si="54"/>
        <v>0</v>
      </c>
      <c r="H180" s="129">
        <f t="shared" si="54"/>
        <v>0</v>
      </c>
      <c r="I180" s="129">
        <f t="shared" si="54"/>
        <v>0</v>
      </c>
      <c r="J180" s="129">
        <f t="shared" si="54"/>
        <v>0</v>
      </c>
      <c r="K180" s="129">
        <f t="shared" si="54"/>
        <v>0</v>
      </c>
      <c r="L180" s="129">
        <f t="shared" si="54"/>
        <v>0</v>
      </c>
      <c r="M180" s="129">
        <f t="shared" si="54"/>
        <v>0</v>
      </c>
      <c r="N180" s="129">
        <f t="shared" si="54"/>
        <v>0</v>
      </c>
      <c r="O180" s="129">
        <f t="shared" si="54"/>
        <v>0</v>
      </c>
      <c r="P180" s="129">
        <f t="shared" si="54"/>
        <v>0</v>
      </c>
      <c r="Q180" s="129">
        <f t="shared" si="54"/>
        <v>0</v>
      </c>
      <c r="R180" s="129">
        <f t="shared" si="54"/>
        <v>0</v>
      </c>
      <c r="S180" s="129">
        <f t="shared" si="54"/>
        <v>0</v>
      </c>
      <c r="T180" s="129">
        <f t="shared" si="55"/>
        <v>0</v>
      </c>
      <c r="U180" s="129">
        <f t="shared" si="55"/>
        <v>0</v>
      </c>
      <c r="V180" s="129">
        <f t="shared" si="55"/>
        <v>0</v>
      </c>
      <c r="W180" s="129">
        <f t="shared" si="55"/>
        <v>0</v>
      </c>
      <c r="X180" s="129">
        <f t="shared" si="55"/>
        <v>0</v>
      </c>
      <c r="Y180" s="129">
        <f t="shared" si="55"/>
        <v>0</v>
      </c>
      <c r="Z180" s="129">
        <f t="shared" si="55"/>
        <v>0</v>
      </c>
      <c r="AA180" s="129">
        <f t="shared" si="55"/>
        <v>0</v>
      </c>
      <c r="AB180" s="129">
        <f t="shared" si="55"/>
        <v>0</v>
      </c>
      <c r="AC180" s="129">
        <f t="shared" si="55"/>
        <v>0</v>
      </c>
      <c r="AD180" s="129">
        <f t="shared" si="55"/>
        <v>0</v>
      </c>
      <c r="AE180" s="129">
        <f t="shared" si="55"/>
        <v>0</v>
      </c>
      <c r="AF180" s="129">
        <f t="shared" si="55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3"/>
        <v>0.6</v>
      </c>
      <c r="C181" s="130">
        <v>0.6</v>
      </c>
      <c r="D181" s="129">
        <f t="shared" si="54"/>
        <v>0.6</v>
      </c>
      <c r="E181" s="129">
        <f t="shared" si="54"/>
        <v>0.6</v>
      </c>
      <c r="F181" s="129">
        <f t="shared" si="54"/>
        <v>0.6</v>
      </c>
      <c r="G181" s="129">
        <f t="shared" si="54"/>
        <v>0.6</v>
      </c>
      <c r="H181" s="129">
        <f t="shared" si="54"/>
        <v>0.6</v>
      </c>
      <c r="I181" s="129">
        <f t="shared" si="54"/>
        <v>0.6</v>
      </c>
      <c r="J181" s="129">
        <f t="shared" si="54"/>
        <v>0.6</v>
      </c>
      <c r="K181" s="129">
        <f t="shared" si="54"/>
        <v>0.6</v>
      </c>
      <c r="L181" s="129">
        <f t="shared" si="54"/>
        <v>0.6</v>
      </c>
      <c r="M181" s="129">
        <f t="shared" si="54"/>
        <v>0.6</v>
      </c>
      <c r="N181" s="129">
        <f t="shared" si="54"/>
        <v>0.6</v>
      </c>
      <c r="O181" s="129">
        <f t="shared" si="54"/>
        <v>0.6</v>
      </c>
      <c r="P181" s="129">
        <f t="shared" si="54"/>
        <v>0.6</v>
      </c>
      <c r="Q181" s="129">
        <f t="shared" si="54"/>
        <v>0.6</v>
      </c>
      <c r="R181" s="129">
        <f t="shared" si="54"/>
        <v>0.6</v>
      </c>
      <c r="S181" s="129">
        <f t="shared" si="54"/>
        <v>0.6</v>
      </c>
      <c r="T181" s="129">
        <f t="shared" si="55"/>
        <v>0.6</v>
      </c>
      <c r="U181" s="129">
        <f t="shared" si="55"/>
        <v>0.6</v>
      </c>
      <c r="V181" s="129">
        <f t="shared" si="55"/>
        <v>0.6</v>
      </c>
      <c r="W181" s="129">
        <f t="shared" si="55"/>
        <v>0.6</v>
      </c>
      <c r="X181" s="129">
        <f t="shared" si="55"/>
        <v>0.6</v>
      </c>
      <c r="Y181" s="129">
        <f t="shared" si="55"/>
        <v>0.6</v>
      </c>
      <c r="Z181" s="129">
        <f t="shared" si="55"/>
        <v>0.6</v>
      </c>
      <c r="AA181" s="129">
        <f t="shared" si="55"/>
        <v>0.6</v>
      </c>
      <c r="AB181" s="129">
        <f t="shared" si="55"/>
        <v>0.6</v>
      </c>
      <c r="AC181" s="129">
        <f t="shared" si="55"/>
        <v>0.6</v>
      </c>
      <c r="AD181" s="129">
        <f t="shared" si="55"/>
        <v>0.6</v>
      </c>
      <c r="AE181" s="129">
        <f t="shared" si="55"/>
        <v>0.6</v>
      </c>
      <c r="AF181" s="129">
        <f t="shared" si="55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3"/>
        <v>0.6</v>
      </c>
      <c r="C182" s="130">
        <v>0.6</v>
      </c>
      <c r="D182" s="129">
        <f t="shared" si="54"/>
        <v>0.6</v>
      </c>
      <c r="E182" s="129">
        <f t="shared" si="54"/>
        <v>0.6</v>
      </c>
      <c r="F182" s="129">
        <f t="shared" si="54"/>
        <v>0.6</v>
      </c>
      <c r="G182" s="129">
        <f t="shared" si="54"/>
        <v>0.6</v>
      </c>
      <c r="H182" s="129">
        <f t="shared" si="54"/>
        <v>0.6</v>
      </c>
      <c r="I182" s="129">
        <f t="shared" si="54"/>
        <v>0.6</v>
      </c>
      <c r="J182" s="129">
        <f t="shared" si="54"/>
        <v>0.6</v>
      </c>
      <c r="K182" s="129">
        <f t="shared" si="54"/>
        <v>0.6</v>
      </c>
      <c r="L182" s="129">
        <f t="shared" si="54"/>
        <v>0.6</v>
      </c>
      <c r="M182" s="129">
        <f t="shared" si="54"/>
        <v>0.6</v>
      </c>
      <c r="N182" s="129">
        <f t="shared" si="54"/>
        <v>0.6</v>
      </c>
      <c r="O182" s="129">
        <f t="shared" si="54"/>
        <v>0.6</v>
      </c>
      <c r="P182" s="129">
        <f t="shared" si="54"/>
        <v>0.6</v>
      </c>
      <c r="Q182" s="129">
        <f t="shared" si="54"/>
        <v>0.6</v>
      </c>
      <c r="R182" s="129">
        <f t="shared" si="54"/>
        <v>0.6</v>
      </c>
      <c r="S182" s="129">
        <f t="shared" si="54"/>
        <v>0.6</v>
      </c>
      <c r="T182" s="129">
        <f t="shared" si="55"/>
        <v>0.6</v>
      </c>
      <c r="U182" s="129">
        <f t="shared" si="55"/>
        <v>0.6</v>
      </c>
      <c r="V182" s="129">
        <f t="shared" si="55"/>
        <v>0.6</v>
      </c>
      <c r="W182" s="129">
        <f t="shared" si="55"/>
        <v>0.6</v>
      </c>
      <c r="X182" s="129">
        <f t="shared" si="55"/>
        <v>0.6</v>
      </c>
      <c r="Y182" s="129">
        <f t="shared" si="55"/>
        <v>0.6</v>
      </c>
      <c r="Z182" s="129">
        <f t="shared" si="55"/>
        <v>0.6</v>
      </c>
      <c r="AA182" s="129">
        <f t="shared" si="55"/>
        <v>0.6</v>
      </c>
      <c r="AB182" s="129">
        <f t="shared" si="55"/>
        <v>0.6</v>
      </c>
      <c r="AC182" s="129">
        <f t="shared" si="55"/>
        <v>0.6</v>
      </c>
      <c r="AD182" s="129">
        <f t="shared" si="55"/>
        <v>0.6</v>
      </c>
      <c r="AE182" s="129">
        <f t="shared" si="55"/>
        <v>0.6</v>
      </c>
      <c r="AF182" s="129">
        <f t="shared" si="55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3"/>
        <v>0.35</v>
      </c>
      <c r="C183" s="130">
        <v>0.35</v>
      </c>
      <c r="D183" s="129">
        <f t="shared" si="54"/>
        <v>0.35</v>
      </c>
      <c r="E183" s="129">
        <f t="shared" si="54"/>
        <v>0.35</v>
      </c>
      <c r="F183" s="129">
        <f t="shared" si="54"/>
        <v>0.35</v>
      </c>
      <c r="G183" s="129">
        <f t="shared" si="54"/>
        <v>0.35</v>
      </c>
      <c r="H183" s="129">
        <f t="shared" si="54"/>
        <v>0.35</v>
      </c>
      <c r="I183" s="129">
        <f t="shared" si="54"/>
        <v>0.35</v>
      </c>
      <c r="J183" s="129">
        <f t="shared" si="54"/>
        <v>0.35</v>
      </c>
      <c r="K183" s="129">
        <f t="shared" si="54"/>
        <v>0.35</v>
      </c>
      <c r="L183" s="129">
        <f t="shared" si="54"/>
        <v>0.35</v>
      </c>
      <c r="M183" s="129">
        <f t="shared" si="54"/>
        <v>0.35</v>
      </c>
      <c r="N183" s="129">
        <f t="shared" si="54"/>
        <v>0.35</v>
      </c>
      <c r="O183" s="129">
        <f t="shared" si="54"/>
        <v>0.35</v>
      </c>
      <c r="P183" s="129">
        <f t="shared" si="54"/>
        <v>0.35</v>
      </c>
      <c r="Q183" s="129">
        <f t="shared" si="54"/>
        <v>0.35</v>
      </c>
      <c r="R183" s="129">
        <f t="shared" si="54"/>
        <v>0.35</v>
      </c>
      <c r="S183" s="129">
        <f t="shared" si="54"/>
        <v>0.35</v>
      </c>
      <c r="T183" s="129">
        <f t="shared" si="55"/>
        <v>0.35</v>
      </c>
      <c r="U183" s="129">
        <f t="shared" si="55"/>
        <v>0.35</v>
      </c>
      <c r="V183" s="129">
        <f t="shared" si="55"/>
        <v>0.35</v>
      </c>
      <c r="W183" s="129">
        <f t="shared" si="55"/>
        <v>0.35</v>
      </c>
      <c r="X183" s="129">
        <f t="shared" si="55"/>
        <v>0.35</v>
      </c>
      <c r="Y183" s="129">
        <f t="shared" si="55"/>
        <v>0.35</v>
      </c>
      <c r="Z183" s="129">
        <f t="shared" si="55"/>
        <v>0.35</v>
      </c>
      <c r="AA183" s="129">
        <f t="shared" si="55"/>
        <v>0.35</v>
      </c>
      <c r="AB183" s="129">
        <f t="shared" si="55"/>
        <v>0.35</v>
      </c>
      <c r="AC183" s="129">
        <f t="shared" si="55"/>
        <v>0.35</v>
      </c>
      <c r="AD183" s="129">
        <f t="shared" si="55"/>
        <v>0.35</v>
      </c>
      <c r="AE183" s="129">
        <f t="shared" si="55"/>
        <v>0.35</v>
      </c>
      <c r="AF183" s="129">
        <f t="shared" si="55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3"/>
        <v>0.28999999999999998</v>
      </c>
      <c r="C184" s="130">
        <v>0.28999999999999998</v>
      </c>
      <c r="D184" s="129">
        <f t="shared" si="54"/>
        <v>0.28999999999999998</v>
      </c>
      <c r="E184" s="129">
        <f t="shared" si="54"/>
        <v>0.28999999999999998</v>
      </c>
      <c r="F184" s="129">
        <f t="shared" si="54"/>
        <v>0.28999999999999998</v>
      </c>
      <c r="G184" s="129">
        <f t="shared" si="54"/>
        <v>0.28999999999999998</v>
      </c>
      <c r="H184" s="129">
        <f t="shared" si="54"/>
        <v>0.28999999999999998</v>
      </c>
      <c r="I184" s="129">
        <f t="shared" si="54"/>
        <v>0.28999999999999998</v>
      </c>
      <c r="J184" s="129">
        <f t="shared" si="54"/>
        <v>0.28999999999999998</v>
      </c>
      <c r="K184" s="129">
        <f t="shared" si="54"/>
        <v>0.28999999999999998</v>
      </c>
      <c r="L184" s="129">
        <f t="shared" si="54"/>
        <v>0.28999999999999998</v>
      </c>
      <c r="M184" s="129">
        <f t="shared" si="54"/>
        <v>0.28999999999999998</v>
      </c>
      <c r="N184" s="129">
        <f t="shared" si="54"/>
        <v>0.28999999999999998</v>
      </c>
      <c r="O184" s="129">
        <f t="shared" si="54"/>
        <v>0.28999999999999998</v>
      </c>
      <c r="P184" s="129">
        <f t="shared" si="54"/>
        <v>0.28999999999999998</v>
      </c>
      <c r="Q184" s="129">
        <f t="shared" si="54"/>
        <v>0.28999999999999998</v>
      </c>
      <c r="R184" s="129">
        <f t="shared" si="54"/>
        <v>0.28999999999999998</v>
      </c>
      <c r="S184" s="129">
        <f t="shared" si="54"/>
        <v>0.28999999999999998</v>
      </c>
      <c r="T184" s="129">
        <f t="shared" si="55"/>
        <v>0.28999999999999998</v>
      </c>
      <c r="U184" s="129">
        <f t="shared" si="55"/>
        <v>0.28999999999999998</v>
      </c>
      <c r="V184" s="129">
        <f t="shared" si="55"/>
        <v>0.28999999999999998</v>
      </c>
      <c r="W184" s="129">
        <f t="shared" si="55"/>
        <v>0.28999999999999998</v>
      </c>
      <c r="X184" s="129">
        <f t="shared" si="55"/>
        <v>0.28999999999999998</v>
      </c>
      <c r="Y184" s="129">
        <f t="shared" si="55"/>
        <v>0.28999999999999998</v>
      </c>
      <c r="Z184" s="129">
        <f t="shared" si="55"/>
        <v>0.28999999999999998</v>
      </c>
      <c r="AA184" s="129">
        <f t="shared" si="55"/>
        <v>0.28999999999999998</v>
      </c>
      <c r="AB184" s="129">
        <f t="shared" si="55"/>
        <v>0.28999999999999998</v>
      </c>
      <c r="AC184" s="129">
        <f t="shared" si="55"/>
        <v>0.28999999999999998</v>
      </c>
      <c r="AD184" s="129">
        <f t="shared" si="55"/>
        <v>0.28999999999999998</v>
      </c>
      <c r="AE184" s="129">
        <f t="shared" si="55"/>
        <v>0.28999999999999998</v>
      </c>
      <c r="AF184" s="129">
        <f t="shared" si="55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3"/>
        <v>0.06</v>
      </c>
      <c r="C185" s="130">
        <v>0.06</v>
      </c>
      <c r="D185" s="129">
        <f t="shared" si="54"/>
        <v>0.06</v>
      </c>
      <c r="E185" s="129">
        <f t="shared" si="54"/>
        <v>0.06</v>
      </c>
      <c r="F185" s="129">
        <f t="shared" si="54"/>
        <v>0.06</v>
      </c>
      <c r="G185" s="129">
        <f t="shared" si="54"/>
        <v>0.06</v>
      </c>
      <c r="H185" s="129">
        <f t="shared" si="54"/>
        <v>0.06</v>
      </c>
      <c r="I185" s="129">
        <f t="shared" si="54"/>
        <v>0.06</v>
      </c>
      <c r="J185" s="129">
        <f t="shared" si="54"/>
        <v>0.06</v>
      </c>
      <c r="K185" s="129">
        <f t="shared" si="54"/>
        <v>0.06</v>
      </c>
      <c r="L185" s="129">
        <f t="shared" si="54"/>
        <v>0.06</v>
      </c>
      <c r="M185" s="129">
        <f t="shared" si="54"/>
        <v>0.06</v>
      </c>
      <c r="N185" s="129">
        <f t="shared" si="54"/>
        <v>0.06</v>
      </c>
      <c r="O185" s="129">
        <f t="shared" si="54"/>
        <v>0.06</v>
      </c>
      <c r="P185" s="129">
        <f t="shared" si="54"/>
        <v>0.06</v>
      </c>
      <c r="Q185" s="129">
        <f t="shared" si="54"/>
        <v>0.06</v>
      </c>
      <c r="R185" s="129">
        <f t="shared" si="54"/>
        <v>0.06</v>
      </c>
      <c r="S185" s="129">
        <f t="shared" si="54"/>
        <v>0.06</v>
      </c>
      <c r="T185" s="129">
        <f t="shared" si="55"/>
        <v>0.06</v>
      </c>
      <c r="U185" s="129">
        <f t="shared" si="55"/>
        <v>0.06</v>
      </c>
      <c r="V185" s="129">
        <f t="shared" si="55"/>
        <v>0.06</v>
      </c>
      <c r="W185" s="129">
        <f t="shared" si="55"/>
        <v>0.06</v>
      </c>
      <c r="X185" s="129">
        <f t="shared" si="55"/>
        <v>0.06</v>
      </c>
      <c r="Y185" s="129">
        <f t="shared" si="55"/>
        <v>0.06</v>
      </c>
      <c r="Z185" s="129">
        <f t="shared" si="55"/>
        <v>0.06</v>
      </c>
      <c r="AA185" s="129">
        <f t="shared" si="55"/>
        <v>0.06</v>
      </c>
      <c r="AB185" s="129">
        <f t="shared" si="55"/>
        <v>0.06</v>
      </c>
      <c r="AC185" s="129">
        <f t="shared" si="55"/>
        <v>0.06</v>
      </c>
      <c r="AD185" s="129">
        <f t="shared" si="55"/>
        <v>0.06</v>
      </c>
      <c r="AE185" s="129">
        <f t="shared" si="55"/>
        <v>0.06</v>
      </c>
      <c r="AF185" s="129">
        <f t="shared" si="55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3"/>
        <v>0.11</v>
      </c>
      <c r="C186" s="130">
        <v>0.11</v>
      </c>
      <c r="D186" s="129">
        <f t="shared" si="54"/>
        <v>0.11</v>
      </c>
      <c r="E186" s="129">
        <f t="shared" si="54"/>
        <v>0.11</v>
      </c>
      <c r="F186" s="129">
        <f t="shared" si="54"/>
        <v>0.11</v>
      </c>
      <c r="G186" s="129">
        <f t="shared" si="54"/>
        <v>0.11</v>
      </c>
      <c r="H186" s="129">
        <f t="shared" si="54"/>
        <v>0.11</v>
      </c>
      <c r="I186" s="129">
        <f t="shared" si="54"/>
        <v>0.11</v>
      </c>
      <c r="J186" s="129">
        <f t="shared" si="54"/>
        <v>0.11</v>
      </c>
      <c r="K186" s="129">
        <f t="shared" si="54"/>
        <v>0.11</v>
      </c>
      <c r="L186" s="129">
        <f t="shared" si="54"/>
        <v>0.11</v>
      </c>
      <c r="M186" s="129">
        <f t="shared" si="54"/>
        <v>0.11</v>
      </c>
      <c r="N186" s="129">
        <f t="shared" si="54"/>
        <v>0.11</v>
      </c>
      <c r="O186" s="129">
        <f t="shared" si="54"/>
        <v>0.11</v>
      </c>
      <c r="P186" s="129">
        <f t="shared" si="54"/>
        <v>0.11</v>
      </c>
      <c r="Q186" s="129">
        <f t="shared" si="54"/>
        <v>0.11</v>
      </c>
      <c r="R186" s="129">
        <f t="shared" si="54"/>
        <v>0.11</v>
      </c>
      <c r="S186" s="129">
        <f t="shared" si="54"/>
        <v>0.11</v>
      </c>
      <c r="T186" s="129">
        <f t="shared" si="55"/>
        <v>0.11</v>
      </c>
      <c r="U186" s="129">
        <f t="shared" si="55"/>
        <v>0.11</v>
      </c>
      <c r="V186" s="129">
        <f t="shared" si="55"/>
        <v>0.11</v>
      </c>
      <c r="W186" s="129">
        <f t="shared" si="55"/>
        <v>0.11</v>
      </c>
      <c r="X186" s="129">
        <f t="shared" si="55"/>
        <v>0.11</v>
      </c>
      <c r="Y186" s="129">
        <f t="shared" si="55"/>
        <v>0.11</v>
      </c>
      <c r="Z186" s="129">
        <f t="shared" si="55"/>
        <v>0.11</v>
      </c>
      <c r="AA186" s="129">
        <f t="shared" si="55"/>
        <v>0.11</v>
      </c>
      <c r="AB186" s="129">
        <f t="shared" si="55"/>
        <v>0.11</v>
      </c>
      <c r="AC186" s="129">
        <f t="shared" si="55"/>
        <v>0.11</v>
      </c>
      <c r="AD186" s="129">
        <f t="shared" si="55"/>
        <v>0.11</v>
      </c>
      <c r="AE186" s="129">
        <f t="shared" si="55"/>
        <v>0.11</v>
      </c>
      <c r="AF186" s="129">
        <f t="shared" si="55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3"/>
        <v>0.1</v>
      </c>
      <c r="C187" s="130">
        <v>0.1</v>
      </c>
      <c r="D187" s="129">
        <f t="shared" si="54"/>
        <v>0.1</v>
      </c>
      <c r="E187" s="129">
        <f t="shared" si="54"/>
        <v>0.1</v>
      </c>
      <c r="F187" s="129">
        <f t="shared" si="54"/>
        <v>0.1</v>
      </c>
      <c r="G187" s="129">
        <f t="shared" si="54"/>
        <v>0.1</v>
      </c>
      <c r="H187" s="129">
        <f t="shared" si="54"/>
        <v>0.1</v>
      </c>
      <c r="I187" s="129">
        <f t="shared" si="54"/>
        <v>0.1</v>
      </c>
      <c r="J187" s="129">
        <f t="shared" si="54"/>
        <v>0.1</v>
      </c>
      <c r="K187" s="129">
        <f t="shared" si="54"/>
        <v>0.1</v>
      </c>
      <c r="L187" s="129">
        <f t="shared" si="54"/>
        <v>0.1</v>
      </c>
      <c r="M187" s="129">
        <f t="shared" si="54"/>
        <v>0.1</v>
      </c>
      <c r="N187" s="129">
        <f t="shared" si="54"/>
        <v>0.1</v>
      </c>
      <c r="O187" s="129">
        <f t="shared" si="54"/>
        <v>0.1</v>
      </c>
      <c r="P187" s="129">
        <f t="shared" si="54"/>
        <v>0.1</v>
      </c>
      <c r="Q187" s="129">
        <f t="shared" si="54"/>
        <v>0.1</v>
      </c>
      <c r="R187" s="129">
        <f t="shared" si="54"/>
        <v>0.1</v>
      </c>
      <c r="S187" s="129">
        <f t="shared" si="55"/>
        <v>0.1</v>
      </c>
      <c r="T187" s="129">
        <f t="shared" si="55"/>
        <v>0.1</v>
      </c>
      <c r="U187" s="129">
        <f t="shared" si="55"/>
        <v>0.1</v>
      </c>
      <c r="V187" s="129">
        <f t="shared" si="55"/>
        <v>0.1</v>
      </c>
      <c r="W187" s="129">
        <f t="shared" si="55"/>
        <v>0.1</v>
      </c>
      <c r="X187" s="129">
        <f t="shared" si="55"/>
        <v>0.1</v>
      </c>
      <c r="Y187" s="129">
        <f t="shared" si="55"/>
        <v>0.1</v>
      </c>
      <c r="Z187" s="129">
        <f t="shared" si="55"/>
        <v>0.1</v>
      </c>
      <c r="AA187" s="129">
        <f t="shared" si="55"/>
        <v>0.1</v>
      </c>
      <c r="AB187" s="129">
        <f t="shared" si="55"/>
        <v>0.1</v>
      </c>
      <c r="AC187" s="129">
        <f t="shared" si="55"/>
        <v>0.1</v>
      </c>
      <c r="AD187" s="129">
        <f t="shared" si="55"/>
        <v>0.1</v>
      </c>
      <c r="AE187" s="129">
        <f t="shared" si="55"/>
        <v>0.1</v>
      </c>
      <c r="AF187" s="129">
        <f t="shared" si="55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3"/>
        <v>0.09</v>
      </c>
      <c r="C188" s="130">
        <v>0.09</v>
      </c>
      <c r="D188" s="129">
        <f t="shared" si="54"/>
        <v>0.09</v>
      </c>
      <c r="E188" s="129">
        <f t="shared" si="54"/>
        <v>0.09</v>
      </c>
      <c r="F188" s="129">
        <f t="shared" si="54"/>
        <v>0.09</v>
      </c>
      <c r="G188" s="129">
        <f t="shared" si="54"/>
        <v>0.09</v>
      </c>
      <c r="H188" s="129">
        <f t="shared" si="54"/>
        <v>0.09</v>
      </c>
      <c r="I188" s="129">
        <f t="shared" si="54"/>
        <v>0.09</v>
      </c>
      <c r="J188" s="129">
        <f t="shared" si="54"/>
        <v>0.09</v>
      </c>
      <c r="K188" s="129">
        <f t="shared" si="54"/>
        <v>0.09</v>
      </c>
      <c r="L188" s="129">
        <f t="shared" si="54"/>
        <v>0.09</v>
      </c>
      <c r="M188" s="129">
        <f t="shared" si="54"/>
        <v>0.09</v>
      </c>
      <c r="N188" s="129">
        <f t="shared" si="54"/>
        <v>0.09</v>
      </c>
      <c r="O188" s="129">
        <f t="shared" si="54"/>
        <v>0.09</v>
      </c>
      <c r="P188" s="129">
        <f t="shared" si="54"/>
        <v>0.09</v>
      </c>
      <c r="Q188" s="129">
        <f t="shared" si="54"/>
        <v>0.09</v>
      </c>
      <c r="R188" s="129">
        <f t="shared" si="54"/>
        <v>0.09</v>
      </c>
      <c r="S188" s="129">
        <f t="shared" si="55"/>
        <v>0.09</v>
      </c>
      <c r="T188" s="129">
        <f t="shared" si="55"/>
        <v>0.09</v>
      </c>
      <c r="U188" s="129">
        <f t="shared" si="55"/>
        <v>0.09</v>
      </c>
      <c r="V188" s="129">
        <f t="shared" si="55"/>
        <v>0.09</v>
      </c>
      <c r="W188" s="129">
        <f t="shared" si="55"/>
        <v>0.09</v>
      </c>
      <c r="X188" s="129">
        <f t="shared" si="55"/>
        <v>0.09</v>
      </c>
      <c r="Y188" s="129">
        <f t="shared" si="55"/>
        <v>0.09</v>
      </c>
      <c r="Z188" s="129">
        <f t="shared" si="55"/>
        <v>0.09</v>
      </c>
      <c r="AA188" s="129">
        <f t="shared" si="55"/>
        <v>0.09</v>
      </c>
      <c r="AB188" s="129">
        <f t="shared" si="55"/>
        <v>0.09</v>
      </c>
      <c r="AC188" s="129">
        <f t="shared" si="55"/>
        <v>0.09</v>
      </c>
      <c r="AD188" s="129">
        <f t="shared" si="55"/>
        <v>0.09</v>
      </c>
      <c r="AE188" s="129">
        <f t="shared" si="55"/>
        <v>0.09</v>
      </c>
      <c r="AF188" s="129">
        <f t="shared" si="55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3"/>
        <v>0.04</v>
      </c>
      <c r="C189" s="53">
        <v>0.04</v>
      </c>
      <c r="D189" s="129">
        <f t="shared" si="54"/>
        <v>0.04</v>
      </c>
      <c r="E189" s="129">
        <f t="shared" si="54"/>
        <v>0.04</v>
      </c>
      <c r="F189" s="129">
        <f t="shared" si="54"/>
        <v>0.04</v>
      </c>
      <c r="G189" s="129">
        <f t="shared" si="54"/>
        <v>0.04</v>
      </c>
      <c r="H189" s="129">
        <f t="shared" si="54"/>
        <v>0.04</v>
      </c>
      <c r="I189" s="129">
        <f t="shared" si="54"/>
        <v>0.04</v>
      </c>
      <c r="J189" s="129">
        <f t="shared" si="54"/>
        <v>0.04</v>
      </c>
      <c r="K189" s="129">
        <f t="shared" si="54"/>
        <v>0.04</v>
      </c>
      <c r="L189" s="129">
        <f t="shared" si="54"/>
        <v>0.04</v>
      </c>
      <c r="M189" s="129">
        <f t="shared" si="54"/>
        <v>0.04</v>
      </c>
      <c r="N189" s="129">
        <f t="shared" si="54"/>
        <v>0.04</v>
      </c>
      <c r="O189" s="129">
        <f t="shared" si="54"/>
        <v>0.04</v>
      </c>
      <c r="P189" s="129">
        <f t="shared" si="54"/>
        <v>0.04</v>
      </c>
      <c r="Q189" s="129">
        <f t="shared" si="54"/>
        <v>0.04</v>
      </c>
      <c r="R189" s="129">
        <f t="shared" si="54"/>
        <v>0.04</v>
      </c>
      <c r="S189" s="129">
        <f t="shared" si="55"/>
        <v>0.04</v>
      </c>
      <c r="T189" s="129">
        <f t="shared" si="55"/>
        <v>0.04</v>
      </c>
      <c r="U189" s="129">
        <f t="shared" si="55"/>
        <v>0.04</v>
      </c>
      <c r="V189" s="129">
        <f t="shared" si="55"/>
        <v>0.04</v>
      </c>
      <c r="W189" s="129">
        <f t="shared" si="55"/>
        <v>0.04</v>
      </c>
      <c r="X189" s="129">
        <f t="shared" si="55"/>
        <v>0.04</v>
      </c>
      <c r="Y189" s="129">
        <f t="shared" si="55"/>
        <v>0.04</v>
      </c>
      <c r="Z189" s="129">
        <f t="shared" si="55"/>
        <v>0.04</v>
      </c>
      <c r="AA189" s="129">
        <f t="shared" si="55"/>
        <v>0.04</v>
      </c>
      <c r="AB189" s="129">
        <f t="shared" si="55"/>
        <v>0.04</v>
      </c>
      <c r="AC189" s="129">
        <f t="shared" si="55"/>
        <v>0.04</v>
      </c>
      <c r="AD189" s="129">
        <f t="shared" si="55"/>
        <v>0.04</v>
      </c>
      <c r="AE189" s="129">
        <f t="shared" si="55"/>
        <v>0.04</v>
      </c>
      <c r="AF189" s="129">
        <f t="shared" si="55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3"/>
        <v>2.3E-2</v>
      </c>
      <c r="C190" s="53">
        <v>2.3E-2</v>
      </c>
      <c r="D190" s="129">
        <f>C190</f>
        <v>2.3E-2</v>
      </c>
      <c r="E190" s="129">
        <f t="shared" si="54"/>
        <v>2.3E-2</v>
      </c>
      <c r="F190" s="129">
        <f t="shared" si="54"/>
        <v>2.3E-2</v>
      </c>
      <c r="G190" s="129">
        <f t="shared" si="54"/>
        <v>2.3E-2</v>
      </c>
      <c r="H190" s="129">
        <f t="shared" si="54"/>
        <v>2.3E-2</v>
      </c>
      <c r="I190" s="129">
        <f t="shared" si="54"/>
        <v>2.3E-2</v>
      </c>
      <c r="J190" s="129">
        <f t="shared" si="54"/>
        <v>2.3E-2</v>
      </c>
      <c r="K190" s="129">
        <f t="shared" si="54"/>
        <v>2.3E-2</v>
      </c>
      <c r="L190" s="129">
        <f t="shared" si="54"/>
        <v>2.3E-2</v>
      </c>
      <c r="M190" s="129">
        <f t="shared" si="54"/>
        <v>2.3E-2</v>
      </c>
      <c r="N190" s="129">
        <f t="shared" si="54"/>
        <v>2.3E-2</v>
      </c>
      <c r="O190" s="129">
        <f t="shared" si="54"/>
        <v>2.3E-2</v>
      </c>
      <c r="P190" s="129">
        <f t="shared" si="54"/>
        <v>2.3E-2</v>
      </c>
      <c r="Q190" s="129">
        <f t="shared" si="54"/>
        <v>2.3E-2</v>
      </c>
      <c r="R190" s="129">
        <f t="shared" si="54"/>
        <v>2.3E-2</v>
      </c>
      <c r="S190" s="129">
        <f t="shared" si="55"/>
        <v>2.3E-2</v>
      </c>
      <c r="T190" s="129">
        <f t="shared" si="55"/>
        <v>2.3E-2</v>
      </c>
      <c r="U190" s="129">
        <f t="shared" si="55"/>
        <v>2.3E-2</v>
      </c>
      <c r="V190" s="129">
        <f t="shared" si="55"/>
        <v>2.3E-2</v>
      </c>
      <c r="W190" s="129">
        <f t="shared" si="55"/>
        <v>2.3E-2</v>
      </c>
      <c r="X190" s="129">
        <f t="shared" si="55"/>
        <v>2.3E-2</v>
      </c>
      <c r="Y190" s="129">
        <f t="shared" si="55"/>
        <v>2.3E-2</v>
      </c>
      <c r="Z190" s="129">
        <f t="shared" si="55"/>
        <v>2.3E-2</v>
      </c>
      <c r="AA190" s="129">
        <f t="shared" si="55"/>
        <v>2.3E-2</v>
      </c>
      <c r="AB190" s="129">
        <f t="shared" si="55"/>
        <v>2.3E-2</v>
      </c>
      <c r="AC190" s="129">
        <f t="shared" si="55"/>
        <v>2.3E-2</v>
      </c>
      <c r="AD190" s="129">
        <f t="shared" si="55"/>
        <v>2.3E-2</v>
      </c>
      <c r="AE190" s="129">
        <f t="shared" si="55"/>
        <v>2.3E-2</v>
      </c>
      <c r="AF190" s="129">
        <f t="shared" si="55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6">SUM(C101:C190)</f>
        <v>194.70600000000002</v>
      </c>
      <c r="D191" s="134">
        <f t="shared" si="56"/>
        <v>194.70600000000002</v>
      </c>
      <c r="E191" s="134">
        <f t="shared" si="56"/>
        <v>194.70600000000002</v>
      </c>
      <c r="F191" s="134">
        <f t="shared" si="56"/>
        <v>194.70600000000002</v>
      </c>
      <c r="G191" s="134">
        <f t="shared" si="56"/>
        <v>194.70600000000002</v>
      </c>
      <c r="H191" s="134">
        <f t="shared" si="56"/>
        <v>194.70600000000002</v>
      </c>
      <c r="I191" s="134">
        <f t="shared" si="56"/>
        <v>194.70600000000002</v>
      </c>
      <c r="J191" s="134">
        <f t="shared" si="56"/>
        <v>192.10600000000005</v>
      </c>
      <c r="K191" s="134">
        <f t="shared" si="56"/>
        <v>192.10600000000005</v>
      </c>
      <c r="L191" s="134">
        <f t="shared" si="56"/>
        <v>192.10600000000005</v>
      </c>
      <c r="M191" s="134">
        <f t="shared" si="56"/>
        <v>192.10600000000005</v>
      </c>
      <c r="N191" s="134">
        <f t="shared" si="56"/>
        <v>192.10600000000005</v>
      </c>
      <c r="O191" s="134">
        <f t="shared" si="56"/>
        <v>192.10600000000005</v>
      </c>
      <c r="P191" s="134">
        <f t="shared" si="56"/>
        <v>192.10600000000005</v>
      </c>
      <c r="Q191" s="134">
        <f t="shared" si="56"/>
        <v>192.10600000000005</v>
      </c>
      <c r="R191" s="134">
        <f t="shared" si="56"/>
        <v>192.10600000000005</v>
      </c>
      <c r="S191" s="134">
        <f t="shared" si="56"/>
        <v>192.10600000000005</v>
      </c>
      <c r="T191" s="134">
        <f t="shared" si="56"/>
        <v>192.10600000000005</v>
      </c>
      <c r="U191" s="134">
        <f t="shared" si="56"/>
        <v>192.10600000000005</v>
      </c>
      <c r="V191" s="134">
        <f t="shared" si="56"/>
        <v>192.10600000000005</v>
      </c>
      <c r="W191" s="134">
        <f t="shared" si="56"/>
        <v>192.10600000000005</v>
      </c>
      <c r="X191" s="134">
        <f t="shared" si="56"/>
        <v>192.10600000000005</v>
      </c>
      <c r="Y191" s="134">
        <f t="shared" si="56"/>
        <v>192.10600000000005</v>
      </c>
      <c r="Z191" s="134">
        <f t="shared" si="56"/>
        <v>192.10600000000005</v>
      </c>
      <c r="AA191" s="134">
        <f t="shared" si="56"/>
        <v>192.10600000000005</v>
      </c>
      <c r="AB191" s="134">
        <f t="shared" si="56"/>
        <v>192.10600000000005</v>
      </c>
      <c r="AC191" s="134">
        <f t="shared" si="56"/>
        <v>192.10600000000005</v>
      </c>
      <c r="AD191" s="134">
        <f t="shared" si="56"/>
        <v>192.10600000000005</v>
      </c>
      <c r="AE191" s="134">
        <f t="shared" si="56"/>
        <v>192.10600000000005</v>
      </c>
      <c r="AF191" s="134">
        <f t="shared" si="56"/>
        <v>192.10600000000005</v>
      </c>
      <c r="AG191" s="135">
        <f t="shared" si="56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7">AF193</f>
        <v>0.3</v>
      </c>
      <c r="C193" s="136">
        <v>0.3</v>
      </c>
      <c r="D193" s="136">
        <f t="shared" ref="D193:S198" si="58">C193</f>
        <v>0.3</v>
      </c>
      <c r="E193" s="136">
        <f t="shared" si="58"/>
        <v>0.3</v>
      </c>
      <c r="F193" s="136">
        <f t="shared" si="58"/>
        <v>0.3</v>
      </c>
      <c r="G193" s="136">
        <f t="shared" si="58"/>
        <v>0.3</v>
      </c>
      <c r="H193" s="136">
        <f t="shared" si="58"/>
        <v>0.3</v>
      </c>
      <c r="I193" s="136">
        <f t="shared" si="58"/>
        <v>0.3</v>
      </c>
      <c r="J193" s="136">
        <f t="shared" si="58"/>
        <v>0.3</v>
      </c>
      <c r="K193" s="136">
        <f t="shared" si="58"/>
        <v>0.3</v>
      </c>
      <c r="L193" s="136">
        <f t="shared" si="58"/>
        <v>0.3</v>
      </c>
      <c r="M193" s="136">
        <f t="shared" si="58"/>
        <v>0.3</v>
      </c>
      <c r="N193" s="136">
        <f t="shared" si="58"/>
        <v>0.3</v>
      </c>
      <c r="O193" s="136">
        <f t="shared" si="58"/>
        <v>0.3</v>
      </c>
      <c r="P193" s="136">
        <f t="shared" si="58"/>
        <v>0.3</v>
      </c>
      <c r="Q193" s="136">
        <f t="shared" si="58"/>
        <v>0.3</v>
      </c>
      <c r="R193" s="136">
        <f t="shared" si="58"/>
        <v>0.3</v>
      </c>
      <c r="S193" s="136">
        <f t="shared" si="58"/>
        <v>0.3</v>
      </c>
      <c r="T193" s="136">
        <f t="shared" ref="T193:AF198" si="59">S193</f>
        <v>0.3</v>
      </c>
      <c r="U193" s="136">
        <f t="shared" si="59"/>
        <v>0.3</v>
      </c>
      <c r="V193" s="136">
        <f t="shared" si="59"/>
        <v>0.3</v>
      </c>
      <c r="W193" s="136">
        <f t="shared" si="59"/>
        <v>0.3</v>
      </c>
      <c r="X193" s="136">
        <f t="shared" si="59"/>
        <v>0.3</v>
      </c>
      <c r="Y193" s="136">
        <f t="shared" si="59"/>
        <v>0.3</v>
      </c>
      <c r="Z193" s="136">
        <f t="shared" si="59"/>
        <v>0.3</v>
      </c>
      <c r="AA193" s="136">
        <f t="shared" si="59"/>
        <v>0.3</v>
      </c>
      <c r="AB193" s="136">
        <f t="shared" si="59"/>
        <v>0.3</v>
      </c>
      <c r="AC193" s="136">
        <f t="shared" si="59"/>
        <v>0.3</v>
      </c>
      <c r="AD193" s="136">
        <f t="shared" si="59"/>
        <v>0.3</v>
      </c>
      <c r="AE193" s="136">
        <f t="shared" si="59"/>
        <v>0.3</v>
      </c>
      <c r="AF193" s="136">
        <f t="shared" si="59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7"/>
        <v>0.4</v>
      </c>
      <c r="C194" s="129">
        <v>0.4</v>
      </c>
      <c r="D194" s="129">
        <f t="shared" si="58"/>
        <v>0.4</v>
      </c>
      <c r="E194" s="129">
        <f t="shared" si="58"/>
        <v>0.4</v>
      </c>
      <c r="F194" s="129">
        <f t="shared" si="58"/>
        <v>0.4</v>
      </c>
      <c r="G194" s="129">
        <f t="shared" si="58"/>
        <v>0.4</v>
      </c>
      <c r="H194" s="129">
        <f t="shared" si="58"/>
        <v>0.4</v>
      </c>
      <c r="I194" s="129">
        <f t="shared" si="58"/>
        <v>0.4</v>
      </c>
      <c r="J194" s="129">
        <f t="shared" si="58"/>
        <v>0.4</v>
      </c>
      <c r="K194" s="129">
        <f t="shared" si="58"/>
        <v>0.4</v>
      </c>
      <c r="L194" s="129">
        <f t="shared" si="58"/>
        <v>0.4</v>
      </c>
      <c r="M194" s="129">
        <f t="shared" si="58"/>
        <v>0.4</v>
      </c>
      <c r="N194" s="129">
        <f t="shared" si="58"/>
        <v>0.4</v>
      </c>
      <c r="O194" s="129">
        <f t="shared" si="58"/>
        <v>0.4</v>
      </c>
      <c r="P194" s="129">
        <f t="shared" si="58"/>
        <v>0.4</v>
      </c>
      <c r="Q194" s="129">
        <f t="shared" si="58"/>
        <v>0.4</v>
      </c>
      <c r="R194" s="129">
        <f t="shared" si="58"/>
        <v>0.4</v>
      </c>
      <c r="S194" s="129">
        <f t="shared" si="58"/>
        <v>0.4</v>
      </c>
      <c r="T194" s="129">
        <f t="shared" si="59"/>
        <v>0.4</v>
      </c>
      <c r="U194" s="129">
        <f t="shared" si="59"/>
        <v>0.4</v>
      </c>
      <c r="V194" s="129">
        <f t="shared" si="59"/>
        <v>0.4</v>
      </c>
      <c r="W194" s="129">
        <f>V194</f>
        <v>0.4</v>
      </c>
      <c r="X194" s="129">
        <f>W194</f>
        <v>0.4</v>
      </c>
      <c r="Y194" s="129">
        <f t="shared" si="59"/>
        <v>0.4</v>
      </c>
      <c r="Z194" s="129">
        <f t="shared" si="59"/>
        <v>0.4</v>
      </c>
      <c r="AA194" s="129">
        <f t="shared" si="59"/>
        <v>0.4</v>
      </c>
      <c r="AB194" s="129">
        <f t="shared" si="59"/>
        <v>0.4</v>
      </c>
      <c r="AC194" s="129">
        <f t="shared" si="59"/>
        <v>0.4</v>
      </c>
      <c r="AD194" s="129">
        <f t="shared" si="59"/>
        <v>0.4</v>
      </c>
      <c r="AE194" s="129">
        <f t="shared" si="59"/>
        <v>0.4</v>
      </c>
      <c r="AF194" s="129">
        <f t="shared" si="59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7"/>
        <v>1.5</v>
      </c>
      <c r="C195" s="129">
        <v>1.5</v>
      </c>
      <c r="D195" s="129">
        <f t="shared" si="58"/>
        <v>1.5</v>
      </c>
      <c r="E195" s="129">
        <f t="shared" si="58"/>
        <v>1.5</v>
      </c>
      <c r="F195" s="129">
        <f t="shared" si="58"/>
        <v>1.5</v>
      </c>
      <c r="G195" s="129">
        <f t="shared" si="58"/>
        <v>1.5</v>
      </c>
      <c r="H195" s="129">
        <f t="shared" si="58"/>
        <v>1.5</v>
      </c>
      <c r="I195" s="129">
        <f t="shared" si="58"/>
        <v>1.5</v>
      </c>
      <c r="J195" s="129">
        <f t="shared" si="58"/>
        <v>1.5</v>
      </c>
      <c r="K195" s="129">
        <f t="shared" si="58"/>
        <v>1.5</v>
      </c>
      <c r="L195" s="129">
        <f t="shared" si="58"/>
        <v>1.5</v>
      </c>
      <c r="M195" s="129">
        <f t="shared" si="58"/>
        <v>1.5</v>
      </c>
      <c r="N195" s="129">
        <f t="shared" si="58"/>
        <v>1.5</v>
      </c>
      <c r="O195" s="129">
        <f t="shared" si="58"/>
        <v>1.5</v>
      </c>
      <c r="P195" s="129">
        <f t="shared" si="58"/>
        <v>1.5</v>
      </c>
      <c r="Q195" s="129">
        <f t="shared" si="58"/>
        <v>1.5</v>
      </c>
      <c r="R195" s="129">
        <f t="shared" si="58"/>
        <v>1.5</v>
      </c>
      <c r="S195" s="129">
        <f t="shared" si="58"/>
        <v>1.5</v>
      </c>
      <c r="T195" s="129">
        <f t="shared" si="59"/>
        <v>1.5</v>
      </c>
      <c r="U195" s="129">
        <f t="shared" si="59"/>
        <v>1.5</v>
      </c>
      <c r="V195" s="129">
        <f t="shared" si="59"/>
        <v>1.5</v>
      </c>
      <c r="W195" s="129">
        <f t="shared" si="59"/>
        <v>1.5</v>
      </c>
      <c r="X195" s="129">
        <f t="shared" si="59"/>
        <v>1.5</v>
      </c>
      <c r="Y195" s="129">
        <f t="shared" si="59"/>
        <v>1.5</v>
      </c>
      <c r="Z195" s="129">
        <f t="shared" si="59"/>
        <v>1.5</v>
      </c>
      <c r="AA195" s="129">
        <f t="shared" si="59"/>
        <v>1.5</v>
      </c>
      <c r="AB195" s="129">
        <f t="shared" si="59"/>
        <v>1.5</v>
      </c>
      <c r="AC195" s="129">
        <f t="shared" si="59"/>
        <v>1.5</v>
      </c>
      <c r="AD195" s="129">
        <f t="shared" si="59"/>
        <v>1.5</v>
      </c>
      <c r="AE195" s="129">
        <f t="shared" si="59"/>
        <v>1.5</v>
      </c>
      <c r="AF195" s="129">
        <f t="shared" si="59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7"/>
        <v>0.3</v>
      </c>
      <c r="C196" s="129">
        <v>0.3</v>
      </c>
      <c r="D196" s="129">
        <f t="shared" si="58"/>
        <v>0.3</v>
      </c>
      <c r="E196" s="129">
        <f t="shared" si="58"/>
        <v>0.3</v>
      </c>
      <c r="F196" s="129">
        <f t="shared" si="58"/>
        <v>0.3</v>
      </c>
      <c r="G196" s="129">
        <f t="shared" si="58"/>
        <v>0.3</v>
      </c>
      <c r="H196" s="129">
        <f t="shared" si="58"/>
        <v>0.3</v>
      </c>
      <c r="I196" s="129">
        <f t="shared" si="58"/>
        <v>0.3</v>
      </c>
      <c r="J196" s="129">
        <f t="shared" si="58"/>
        <v>0.3</v>
      </c>
      <c r="K196" s="129">
        <f t="shared" si="58"/>
        <v>0.3</v>
      </c>
      <c r="L196" s="129">
        <f t="shared" si="58"/>
        <v>0.3</v>
      </c>
      <c r="M196" s="129">
        <f t="shared" si="58"/>
        <v>0.3</v>
      </c>
      <c r="N196" s="129">
        <f t="shared" si="58"/>
        <v>0.3</v>
      </c>
      <c r="O196" s="129">
        <f t="shared" si="58"/>
        <v>0.3</v>
      </c>
      <c r="P196" s="129">
        <f t="shared" si="58"/>
        <v>0.3</v>
      </c>
      <c r="Q196" s="129">
        <f t="shared" si="58"/>
        <v>0.3</v>
      </c>
      <c r="R196" s="129">
        <f t="shared" si="58"/>
        <v>0.3</v>
      </c>
      <c r="S196" s="129">
        <f t="shared" si="58"/>
        <v>0.3</v>
      </c>
      <c r="T196" s="129">
        <f t="shared" si="59"/>
        <v>0.3</v>
      </c>
      <c r="U196" s="129">
        <f t="shared" si="59"/>
        <v>0.3</v>
      </c>
      <c r="V196" s="129">
        <f t="shared" si="59"/>
        <v>0.3</v>
      </c>
      <c r="W196" s="129">
        <f t="shared" si="59"/>
        <v>0.3</v>
      </c>
      <c r="X196" s="129">
        <f t="shared" si="59"/>
        <v>0.3</v>
      </c>
      <c r="Y196" s="129">
        <f t="shared" si="59"/>
        <v>0.3</v>
      </c>
      <c r="Z196" s="129">
        <f t="shared" si="59"/>
        <v>0.3</v>
      </c>
      <c r="AA196" s="129">
        <f t="shared" si="59"/>
        <v>0.3</v>
      </c>
      <c r="AB196" s="129">
        <f t="shared" si="59"/>
        <v>0.3</v>
      </c>
      <c r="AC196" s="129">
        <f t="shared" si="59"/>
        <v>0.3</v>
      </c>
      <c r="AD196" s="129">
        <f t="shared" si="59"/>
        <v>0.3</v>
      </c>
      <c r="AE196" s="129">
        <f t="shared" si="59"/>
        <v>0.3</v>
      </c>
      <c r="AF196" s="129">
        <f t="shared" si="59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7"/>
        <v>0.4</v>
      </c>
      <c r="C197" s="129">
        <v>0.4</v>
      </c>
      <c r="D197" s="129">
        <f t="shared" si="58"/>
        <v>0.4</v>
      </c>
      <c r="E197" s="129">
        <f t="shared" si="58"/>
        <v>0.4</v>
      </c>
      <c r="F197" s="129">
        <f t="shared" si="58"/>
        <v>0.4</v>
      </c>
      <c r="G197" s="129">
        <f t="shared" si="58"/>
        <v>0.4</v>
      </c>
      <c r="H197" s="129">
        <f t="shared" si="58"/>
        <v>0.4</v>
      </c>
      <c r="I197" s="129">
        <f t="shared" si="58"/>
        <v>0.4</v>
      </c>
      <c r="J197" s="129">
        <f t="shared" si="58"/>
        <v>0.4</v>
      </c>
      <c r="K197" s="129">
        <f t="shared" si="58"/>
        <v>0.4</v>
      </c>
      <c r="L197" s="129">
        <f t="shared" si="58"/>
        <v>0.4</v>
      </c>
      <c r="M197" s="129">
        <f t="shared" si="58"/>
        <v>0.4</v>
      </c>
      <c r="N197" s="129">
        <f t="shared" si="58"/>
        <v>0.4</v>
      </c>
      <c r="O197" s="129">
        <f t="shared" si="58"/>
        <v>0.4</v>
      </c>
      <c r="P197" s="129">
        <f t="shared" si="58"/>
        <v>0.4</v>
      </c>
      <c r="Q197" s="129">
        <f t="shared" si="58"/>
        <v>0.4</v>
      </c>
      <c r="R197" s="129">
        <f t="shared" si="58"/>
        <v>0.4</v>
      </c>
      <c r="S197" s="129">
        <f t="shared" si="58"/>
        <v>0.4</v>
      </c>
      <c r="T197" s="129">
        <f t="shared" si="59"/>
        <v>0.4</v>
      </c>
      <c r="U197" s="129">
        <f t="shared" si="59"/>
        <v>0.4</v>
      </c>
      <c r="V197" s="129">
        <f t="shared" si="59"/>
        <v>0.4</v>
      </c>
      <c r="W197" s="129">
        <f t="shared" si="59"/>
        <v>0.4</v>
      </c>
      <c r="X197" s="129">
        <f t="shared" si="59"/>
        <v>0.4</v>
      </c>
      <c r="Y197" s="129">
        <f t="shared" si="59"/>
        <v>0.4</v>
      </c>
      <c r="Z197" s="129">
        <f t="shared" si="59"/>
        <v>0.4</v>
      </c>
      <c r="AA197" s="129">
        <f t="shared" si="59"/>
        <v>0.4</v>
      </c>
      <c r="AB197" s="129">
        <f t="shared" si="59"/>
        <v>0.4</v>
      </c>
      <c r="AC197" s="129">
        <f t="shared" si="59"/>
        <v>0.4</v>
      </c>
      <c r="AD197" s="129">
        <f t="shared" si="59"/>
        <v>0.4</v>
      </c>
      <c r="AE197" s="129">
        <f t="shared" si="59"/>
        <v>0.4</v>
      </c>
      <c r="AF197" s="129">
        <f t="shared" si="59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7"/>
        <v>0.64</v>
      </c>
      <c r="C198" s="139">
        <v>0.64</v>
      </c>
      <c r="D198" s="139">
        <f t="shared" si="58"/>
        <v>0.64</v>
      </c>
      <c r="E198" s="139">
        <f t="shared" si="58"/>
        <v>0.64</v>
      </c>
      <c r="F198" s="139">
        <f t="shared" si="58"/>
        <v>0.64</v>
      </c>
      <c r="G198" s="139">
        <f t="shared" si="58"/>
        <v>0.64</v>
      </c>
      <c r="H198" s="139">
        <f t="shared" si="58"/>
        <v>0.64</v>
      </c>
      <c r="I198" s="139">
        <f t="shared" si="58"/>
        <v>0.64</v>
      </c>
      <c r="J198" s="139">
        <f t="shared" si="58"/>
        <v>0.64</v>
      </c>
      <c r="K198" s="139">
        <f t="shared" si="58"/>
        <v>0.64</v>
      </c>
      <c r="L198" s="139">
        <f t="shared" si="58"/>
        <v>0.64</v>
      </c>
      <c r="M198" s="139">
        <f t="shared" si="58"/>
        <v>0.64</v>
      </c>
      <c r="N198" s="139">
        <f t="shared" si="58"/>
        <v>0.64</v>
      </c>
      <c r="O198" s="139">
        <f t="shared" si="58"/>
        <v>0.64</v>
      </c>
      <c r="P198" s="139">
        <f t="shared" si="58"/>
        <v>0.64</v>
      </c>
      <c r="Q198" s="139">
        <f t="shared" si="58"/>
        <v>0.64</v>
      </c>
      <c r="R198" s="139">
        <f t="shared" si="58"/>
        <v>0.64</v>
      </c>
      <c r="S198" s="139">
        <f t="shared" si="58"/>
        <v>0.64</v>
      </c>
      <c r="T198" s="139">
        <f t="shared" si="59"/>
        <v>0.64</v>
      </c>
      <c r="U198" s="139">
        <f t="shared" si="59"/>
        <v>0.64</v>
      </c>
      <c r="V198" s="139">
        <f t="shared" si="59"/>
        <v>0.64</v>
      </c>
      <c r="W198" s="139">
        <f t="shared" si="59"/>
        <v>0.64</v>
      </c>
      <c r="X198" s="139">
        <f t="shared" si="59"/>
        <v>0.64</v>
      </c>
      <c r="Y198" s="139">
        <f t="shared" si="59"/>
        <v>0.64</v>
      </c>
      <c r="Z198" s="139">
        <f t="shared" si="59"/>
        <v>0.64</v>
      </c>
      <c r="AA198" s="139">
        <f t="shared" si="59"/>
        <v>0.64</v>
      </c>
      <c r="AB198" s="139">
        <f t="shared" si="59"/>
        <v>0.64</v>
      </c>
      <c r="AC198" s="139">
        <f t="shared" si="59"/>
        <v>0.64</v>
      </c>
      <c r="AD198" s="139">
        <f t="shared" si="59"/>
        <v>0.64</v>
      </c>
      <c r="AE198" s="139">
        <f t="shared" si="59"/>
        <v>0.64</v>
      </c>
      <c r="AF198" s="139">
        <f t="shared" si="59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60">SUM(D193:D198)</f>
        <v>3.54</v>
      </c>
      <c r="E199" s="142">
        <f t="shared" si="60"/>
        <v>3.54</v>
      </c>
      <c r="F199" s="142">
        <f t="shared" si="60"/>
        <v>3.54</v>
      </c>
      <c r="G199" s="142">
        <f t="shared" si="60"/>
        <v>3.54</v>
      </c>
      <c r="H199" s="142">
        <f t="shared" si="60"/>
        <v>3.54</v>
      </c>
      <c r="I199" s="142">
        <f t="shared" si="60"/>
        <v>3.54</v>
      </c>
      <c r="J199" s="142">
        <f t="shared" si="60"/>
        <v>3.54</v>
      </c>
      <c r="K199" s="142">
        <f t="shared" si="60"/>
        <v>3.54</v>
      </c>
      <c r="L199" s="142">
        <f t="shared" si="60"/>
        <v>3.54</v>
      </c>
      <c r="M199" s="142">
        <f>SUM(M193:M198)</f>
        <v>3.54</v>
      </c>
      <c r="N199" s="142">
        <f t="shared" ref="N199:S199" si="61">SUM(N193:N198)</f>
        <v>3.54</v>
      </c>
      <c r="O199" s="142">
        <f t="shared" si="61"/>
        <v>3.54</v>
      </c>
      <c r="P199" s="142">
        <f t="shared" si="61"/>
        <v>3.54</v>
      </c>
      <c r="Q199" s="142">
        <f t="shared" si="61"/>
        <v>3.54</v>
      </c>
      <c r="R199" s="142">
        <f t="shared" si="61"/>
        <v>3.54</v>
      </c>
      <c r="S199" s="142">
        <f t="shared" si="61"/>
        <v>3.54</v>
      </c>
      <c r="T199" s="142">
        <f>SUM(T193:T198)</f>
        <v>3.54</v>
      </c>
      <c r="U199" s="142">
        <f t="shared" ref="U199:AG199" si="62">SUM(U193:U198)</f>
        <v>3.54</v>
      </c>
      <c r="V199" s="142">
        <f t="shared" si="62"/>
        <v>3.54</v>
      </c>
      <c r="W199" s="142">
        <f t="shared" si="62"/>
        <v>3.54</v>
      </c>
      <c r="X199" s="142">
        <f t="shared" si="62"/>
        <v>3.54</v>
      </c>
      <c r="Y199" s="142">
        <f t="shared" si="62"/>
        <v>3.54</v>
      </c>
      <c r="Z199" s="142">
        <f t="shared" si="62"/>
        <v>3.54</v>
      </c>
      <c r="AA199" s="142">
        <f t="shared" si="62"/>
        <v>3.54</v>
      </c>
      <c r="AB199" s="142">
        <f t="shared" si="62"/>
        <v>3.54</v>
      </c>
      <c r="AC199" s="142">
        <f t="shared" si="62"/>
        <v>3.54</v>
      </c>
      <c r="AD199" s="142">
        <f t="shared" si="62"/>
        <v>3.54</v>
      </c>
      <c r="AE199" s="142">
        <f t="shared" si="62"/>
        <v>3.54</v>
      </c>
      <c r="AF199" s="142">
        <f t="shared" si="62"/>
        <v>3.54</v>
      </c>
      <c r="AG199" s="143">
        <f t="shared" si="62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1415.94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2078/09/24)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3">B75</f>
        <v>911.84</v>
      </c>
      <c r="U213" s="167">
        <f t="shared" si="63"/>
        <v>913.14</v>
      </c>
      <c r="V213" s="167">
        <f t="shared" si="63"/>
        <v>908.14</v>
      </c>
      <c r="W213" s="167">
        <f t="shared" si="63"/>
        <v>874.93999999999994</v>
      </c>
      <c r="X213" s="167">
        <f t="shared" si="63"/>
        <v>900.54</v>
      </c>
      <c r="Y213" s="167">
        <f t="shared" si="63"/>
        <v>936.33999999999992</v>
      </c>
      <c r="Z213" s="167">
        <f t="shared" si="63"/>
        <v>1008.9399999999999</v>
      </c>
      <c r="AA213" s="167">
        <f t="shared" si="63"/>
        <v>1057.1399999999999</v>
      </c>
      <c r="AB213" s="167">
        <f t="shared" si="63"/>
        <v>1160.04</v>
      </c>
      <c r="AC213" s="167">
        <f t="shared" si="63"/>
        <v>1280.94</v>
      </c>
      <c r="AD213" s="167">
        <f t="shared" si="63"/>
        <v>1344.9399999999998</v>
      </c>
      <c r="AE213" s="167">
        <f t="shared" si="63"/>
        <v>1415.94</v>
      </c>
      <c r="AF213" s="167">
        <f t="shared" si="63"/>
        <v>1394.44</v>
      </c>
      <c r="AG213" s="167">
        <f t="shared" si="63"/>
        <v>1323.24</v>
      </c>
      <c r="AH213" s="167">
        <f t="shared" si="63"/>
        <v>1273.04</v>
      </c>
      <c r="AI213" s="167">
        <f t="shared" si="63"/>
        <v>1181.94</v>
      </c>
      <c r="AJ213" s="167">
        <f t="shared" si="63"/>
        <v>1112.3399999999999</v>
      </c>
      <c r="AK213" s="167">
        <f t="shared" si="63"/>
        <v>1083.8400000000001</v>
      </c>
      <c r="AL213" s="167">
        <f t="shared" si="63"/>
        <v>1114.44</v>
      </c>
      <c r="AM213" s="167">
        <f t="shared" si="63"/>
        <v>1141.74</v>
      </c>
      <c r="AN213" s="167">
        <f t="shared" si="63"/>
        <v>1132.54</v>
      </c>
      <c r="AO213" s="167">
        <f t="shared" si="63"/>
        <v>1265.6399999999999</v>
      </c>
      <c r="AP213" s="167">
        <f t="shared" si="63"/>
        <v>1473.95</v>
      </c>
      <c r="AQ213" s="167">
        <f t="shared" si="63"/>
        <v>1470.2099999999998</v>
      </c>
      <c r="AR213" s="167">
        <f t="shared" si="63"/>
        <v>1384.34</v>
      </c>
      <c r="AS213" s="167">
        <f t="shared" si="63"/>
        <v>1381.44</v>
      </c>
      <c r="AT213" s="167">
        <f t="shared" si="63"/>
        <v>1306.6399999999999</v>
      </c>
      <c r="AU213" s="167">
        <f t="shared" si="63"/>
        <v>1272.4499999999998</v>
      </c>
      <c r="AV213" s="167">
        <f t="shared" si="63"/>
        <v>1171.8399999999999</v>
      </c>
      <c r="AW213" s="167">
        <f t="shared" si="63"/>
        <v>1009.54</v>
      </c>
      <c r="AX213" s="167">
        <f t="shared" si="63"/>
        <v>909.33999999999992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4">C198</f>
        <v>0.64</v>
      </c>
      <c r="C234" s="170">
        <f t="shared" si="64"/>
        <v>0.64</v>
      </c>
      <c r="D234" s="170">
        <f t="shared" si="64"/>
        <v>0.64</v>
      </c>
      <c r="E234" s="170">
        <f t="shared" si="64"/>
        <v>0.64</v>
      </c>
      <c r="F234" s="170">
        <f t="shared" si="64"/>
        <v>0.64</v>
      </c>
      <c r="G234" s="170">
        <f t="shared" si="64"/>
        <v>0.64</v>
      </c>
      <c r="H234" s="170">
        <f t="shared" si="64"/>
        <v>0.64</v>
      </c>
      <c r="I234" s="170">
        <f t="shared" si="64"/>
        <v>0.64</v>
      </c>
      <c r="J234" s="170">
        <f t="shared" si="64"/>
        <v>0.64</v>
      </c>
      <c r="K234" s="170">
        <f t="shared" si="64"/>
        <v>0.64</v>
      </c>
      <c r="L234" s="170">
        <f t="shared" si="64"/>
        <v>0.64</v>
      </c>
      <c r="M234" s="170">
        <f t="shared" si="64"/>
        <v>0.64</v>
      </c>
      <c r="N234" s="170">
        <f t="shared" si="64"/>
        <v>0.64</v>
      </c>
      <c r="O234" s="170">
        <f t="shared" si="64"/>
        <v>0.64</v>
      </c>
      <c r="P234" s="170">
        <f t="shared" si="64"/>
        <v>0.64</v>
      </c>
      <c r="Q234" s="170">
        <f t="shared" si="64"/>
        <v>0.64</v>
      </c>
      <c r="R234" s="170">
        <f t="shared" si="64"/>
        <v>0.64</v>
      </c>
      <c r="S234" s="170">
        <f t="shared" si="64"/>
        <v>0.64</v>
      </c>
      <c r="T234" s="170">
        <f t="shared" si="64"/>
        <v>0.64</v>
      </c>
      <c r="U234" s="170">
        <f t="shared" si="64"/>
        <v>0.64</v>
      </c>
      <c r="V234" s="170">
        <f t="shared" si="64"/>
        <v>0.64</v>
      </c>
      <c r="W234" s="170">
        <f t="shared" si="64"/>
        <v>0.64</v>
      </c>
      <c r="X234" s="170">
        <f t="shared" si="64"/>
        <v>0.64</v>
      </c>
      <c r="Y234" s="170">
        <f t="shared" si="64"/>
        <v>0.64</v>
      </c>
      <c r="Z234" s="170">
        <f t="shared" si="64"/>
        <v>0.64</v>
      </c>
      <c r="AA234" s="170">
        <f t="shared" si="64"/>
        <v>0.64</v>
      </c>
      <c r="AB234" s="170">
        <f t="shared" si="64"/>
        <v>0.64</v>
      </c>
      <c r="AC234" s="170">
        <f t="shared" si="64"/>
        <v>0.64</v>
      </c>
      <c r="AD234" s="170">
        <f t="shared" si="64"/>
        <v>0.64</v>
      </c>
      <c r="AE234" s="170">
        <f t="shared" si="64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5">IF(C202&lt;100,"",C202-520)</f>
        <v/>
      </c>
      <c r="D235" s="115" t="str">
        <f t="shared" si="65"/>
        <v/>
      </c>
      <c r="E235" s="115" t="str">
        <f t="shared" si="65"/>
        <v/>
      </c>
      <c r="F235" s="115" t="str">
        <f t="shared" si="65"/>
        <v/>
      </c>
      <c r="G235" s="115" t="str">
        <f t="shared" si="65"/>
        <v/>
      </c>
      <c r="H235" s="115" t="str">
        <f t="shared" si="65"/>
        <v/>
      </c>
      <c r="I235" s="115" t="str">
        <f t="shared" si="65"/>
        <v/>
      </c>
      <c r="J235" s="115" t="str">
        <f t="shared" si="65"/>
        <v/>
      </c>
      <c r="K235" s="115" t="str">
        <f t="shared" si="65"/>
        <v/>
      </c>
      <c r="L235" s="115" t="str">
        <f t="shared" si="65"/>
        <v/>
      </c>
      <c r="M235" s="115" t="str">
        <f t="shared" si="65"/>
        <v/>
      </c>
      <c r="N235" s="115" t="str">
        <f t="shared" si="65"/>
        <v/>
      </c>
      <c r="O235" s="115" t="str">
        <f t="shared" si="65"/>
        <v/>
      </c>
      <c r="P235" s="115" t="str">
        <f t="shared" si="65"/>
        <v/>
      </c>
      <c r="Q235" s="115" t="str">
        <f t="shared" si="65"/>
        <v/>
      </c>
      <c r="R235" s="115" t="str">
        <f t="shared" si="65"/>
        <v/>
      </c>
      <c r="S235" s="115" t="str">
        <f t="shared" si="65"/>
        <v/>
      </c>
      <c r="T235" s="115" t="str">
        <f t="shared" si="65"/>
        <v/>
      </c>
      <c r="U235" s="115" t="str">
        <f t="shared" si="65"/>
        <v/>
      </c>
      <c r="V235" s="115" t="str">
        <f t="shared" si="65"/>
        <v/>
      </c>
      <c r="W235" s="115" t="str">
        <f t="shared" si="65"/>
        <v/>
      </c>
      <c r="X235" s="115" t="str">
        <f t="shared" si="65"/>
        <v/>
      </c>
      <c r="Y235" s="115" t="str">
        <f t="shared" si="65"/>
        <v/>
      </c>
      <c r="Z235" s="115" t="str">
        <f t="shared" si="65"/>
        <v/>
      </c>
      <c r="AA235" s="115" t="str">
        <f t="shared" si="65"/>
        <v/>
      </c>
      <c r="AB235" s="115" t="str">
        <f t="shared" si="65"/>
        <v/>
      </c>
      <c r="AC235" s="115" t="str">
        <f t="shared" si="65"/>
        <v/>
      </c>
      <c r="AD235" s="115" t="str">
        <f t="shared" si="65"/>
        <v/>
      </c>
      <c r="AE235" s="115" t="str">
        <f t="shared" si="65"/>
        <v/>
      </c>
      <c r="AF235" s="115" t="str">
        <f t="shared" si="65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6">IF(B203&lt;100,"",B203-620)</f>
        <v/>
      </c>
      <c r="C236" s="115" t="str">
        <f t="shared" si="66"/>
        <v/>
      </c>
      <c r="D236" s="115" t="str">
        <f t="shared" si="66"/>
        <v/>
      </c>
      <c r="E236" s="115" t="str">
        <f t="shared" si="66"/>
        <v/>
      </c>
      <c r="F236" s="115" t="str">
        <f t="shared" si="66"/>
        <v/>
      </c>
      <c r="G236" s="115" t="str">
        <f t="shared" si="66"/>
        <v/>
      </c>
      <c r="H236" s="115" t="str">
        <f t="shared" si="66"/>
        <v/>
      </c>
      <c r="I236" s="115" t="str">
        <f t="shared" si="66"/>
        <v/>
      </c>
      <c r="J236" s="115" t="str">
        <f t="shared" si="66"/>
        <v/>
      </c>
      <c r="K236" s="115" t="str">
        <f t="shared" si="66"/>
        <v/>
      </c>
      <c r="L236" s="115" t="str">
        <f t="shared" si="66"/>
        <v/>
      </c>
      <c r="M236" s="115" t="str">
        <f t="shared" si="66"/>
        <v/>
      </c>
      <c r="N236" s="115" t="str">
        <f t="shared" si="66"/>
        <v/>
      </c>
      <c r="O236" s="115" t="str">
        <f t="shared" si="66"/>
        <v/>
      </c>
      <c r="P236" s="115" t="str">
        <f t="shared" si="66"/>
        <v/>
      </c>
      <c r="Q236" s="115" t="str">
        <f t="shared" si="66"/>
        <v/>
      </c>
      <c r="R236" s="115" t="str">
        <f t="shared" si="66"/>
        <v/>
      </c>
      <c r="S236" s="115" t="str">
        <f t="shared" si="66"/>
        <v/>
      </c>
      <c r="T236" s="115" t="str">
        <f t="shared" si="66"/>
        <v/>
      </c>
      <c r="U236" s="115" t="str">
        <f t="shared" si="66"/>
        <v/>
      </c>
      <c r="V236" s="115" t="str">
        <f t="shared" si="66"/>
        <v/>
      </c>
      <c r="W236" s="115" t="str">
        <f t="shared" si="66"/>
        <v/>
      </c>
      <c r="X236" s="115" t="str">
        <f t="shared" si="66"/>
        <v/>
      </c>
      <c r="Y236" s="115" t="str">
        <f t="shared" si="66"/>
        <v/>
      </c>
      <c r="Z236" s="115" t="str">
        <f t="shared" si="66"/>
        <v/>
      </c>
      <c r="AA236" s="115" t="str">
        <f t="shared" si="66"/>
        <v/>
      </c>
      <c r="AB236" s="115" t="str">
        <f t="shared" si="66"/>
        <v/>
      </c>
      <c r="AC236" s="115" t="str">
        <f t="shared" si="66"/>
        <v/>
      </c>
      <c r="AD236" s="115" t="str">
        <f t="shared" si="66"/>
        <v/>
      </c>
      <c r="AE236" s="115" t="str">
        <f t="shared" si="66"/>
        <v/>
      </c>
      <c r="AF236" s="115" t="str">
        <f t="shared" si="66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7">IF(B204&lt;100,"",B204-330)</f>
        <v/>
      </c>
      <c r="C237" s="115" t="str">
        <f t="shared" si="67"/>
        <v/>
      </c>
      <c r="D237" s="115" t="str">
        <f t="shared" si="67"/>
        <v/>
      </c>
      <c r="E237" s="115" t="str">
        <f t="shared" si="67"/>
        <v/>
      </c>
      <c r="F237" s="115" t="str">
        <f t="shared" si="67"/>
        <v/>
      </c>
      <c r="G237" s="115" t="str">
        <f t="shared" si="67"/>
        <v/>
      </c>
      <c r="H237" s="115" t="str">
        <f t="shared" si="67"/>
        <v/>
      </c>
      <c r="I237" s="115" t="str">
        <f t="shared" si="67"/>
        <v/>
      </c>
      <c r="J237" s="115" t="str">
        <f t="shared" si="67"/>
        <v/>
      </c>
      <c r="K237" s="115" t="str">
        <f t="shared" si="67"/>
        <v/>
      </c>
      <c r="L237" s="115" t="str">
        <f t="shared" si="67"/>
        <v/>
      </c>
      <c r="M237" s="115" t="str">
        <f t="shared" si="67"/>
        <v/>
      </c>
      <c r="N237" s="115" t="str">
        <f t="shared" si="67"/>
        <v/>
      </c>
      <c r="O237" s="115" t="str">
        <f t="shared" si="67"/>
        <v/>
      </c>
      <c r="P237" s="115" t="str">
        <f t="shared" si="67"/>
        <v/>
      </c>
      <c r="Q237" s="115" t="str">
        <f t="shared" si="67"/>
        <v/>
      </c>
      <c r="R237" s="115" t="str">
        <f t="shared" si="67"/>
        <v/>
      </c>
      <c r="S237" s="115" t="str">
        <f t="shared" si="67"/>
        <v/>
      </c>
      <c r="T237" s="115" t="str">
        <f t="shared" si="67"/>
        <v/>
      </c>
      <c r="U237" s="115" t="str">
        <f t="shared" si="67"/>
        <v/>
      </c>
      <c r="V237" s="115" t="str">
        <f t="shared" si="67"/>
        <v/>
      </c>
      <c r="W237" s="115" t="str">
        <f t="shared" si="67"/>
        <v/>
      </c>
      <c r="X237" s="115" t="str">
        <f t="shared" si="67"/>
        <v/>
      </c>
      <c r="Y237" s="115" t="str">
        <f t="shared" si="67"/>
        <v/>
      </c>
      <c r="Z237" s="115" t="str">
        <f t="shared" si="67"/>
        <v/>
      </c>
      <c r="AA237" s="115" t="str">
        <f t="shared" si="67"/>
        <v/>
      </c>
      <c r="AB237" s="115" t="str">
        <f t="shared" si="67"/>
        <v/>
      </c>
      <c r="AC237" s="115" t="str">
        <f t="shared" si="67"/>
        <v/>
      </c>
      <c r="AD237" s="115" t="str">
        <f t="shared" si="67"/>
        <v/>
      </c>
      <c r="AE237" s="115" t="str">
        <f t="shared" si="67"/>
        <v/>
      </c>
      <c r="AF237" s="115" t="str">
        <f t="shared" si="67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8">IF(C205&lt;100,"",C205-1500)</f>
        <v/>
      </c>
      <c r="D238" s="115" t="str">
        <f t="shared" si="68"/>
        <v/>
      </c>
      <c r="E238" s="115" t="str">
        <f t="shared" si="68"/>
        <v/>
      </c>
      <c r="F238" s="115" t="str">
        <f t="shared" si="68"/>
        <v/>
      </c>
      <c r="G238" s="115" t="str">
        <f t="shared" si="68"/>
        <v/>
      </c>
      <c r="H238" s="115" t="str">
        <f t="shared" si="68"/>
        <v/>
      </c>
      <c r="I238" s="115" t="str">
        <f t="shared" si="68"/>
        <v/>
      </c>
      <c r="J238" s="115" t="str">
        <f t="shared" si="68"/>
        <v/>
      </c>
      <c r="K238" s="115" t="str">
        <f t="shared" si="68"/>
        <v/>
      </c>
      <c r="L238" s="115" t="str">
        <f t="shared" si="68"/>
        <v/>
      </c>
      <c r="M238" s="115" t="str">
        <f t="shared" si="68"/>
        <v/>
      </c>
      <c r="N238" s="115" t="str">
        <f t="shared" si="68"/>
        <v/>
      </c>
      <c r="O238" s="115" t="str">
        <f t="shared" si="68"/>
        <v/>
      </c>
      <c r="P238" s="115" t="str">
        <f t="shared" si="68"/>
        <v/>
      </c>
      <c r="Q238" s="115" t="str">
        <f t="shared" si="68"/>
        <v/>
      </c>
      <c r="R238" s="115" t="str">
        <f t="shared" si="68"/>
        <v/>
      </c>
      <c r="S238" s="115" t="str">
        <f t="shared" si="68"/>
        <v/>
      </c>
      <c r="T238" s="115" t="str">
        <f t="shared" si="68"/>
        <v/>
      </c>
      <c r="U238" s="115" t="str">
        <f t="shared" si="68"/>
        <v/>
      </c>
      <c r="V238" s="115" t="str">
        <f t="shared" si="68"/>
        <v/>
      </c>
      <c r="W238" s="115" t="str">
        <f t="shared" si="68"/>
        <v/>
      </c>
      <c r="X238" s="115" t="str">
        <f t="shared" si="68"/>
        <v/>
      </c>
      <c r="Y238" s="115" t="str">
        <f t="shared" si="68"/>
        <v/>
      </c>
      <c r="Z238" s="115" t="str">
        <f t="shared" si="68"/>
        <v/>
      </c>
      <c r="AA238" s="115" t="str">
        <f t="shared" si="68"/>
        <v/>
      </c>
      <c r="AB238" s="115" t="str">
        <f t="shared" si="68"/>
        <v/>
      </c>
      <c r="AC238" s="115" t="str">
        <f t="shared" si="68"/>
        <v/>
      </c>
      <c r="AD238" s="115" t="str">
        <f t="shared" si="68"/>
        <v/>
      </c>
      <c r="AE238" s="115" t="str">
        <f t="shared" si="68"/>
        <v/>
      </c>
      <c r="AF238" s="115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C57:L57 P39:R39 O39:O42 X85:AA91 AA40:AE43 AB81:AF81 B81:R81 C56:AF56 B82:AF83 D193:AF199 B193:B199 C68:AF72 B73:AF80 B9:AF10 B191:AF191 AF57:AF67 B53:B72 O36 AG73 B94:B99 U212:AF212 B84:E91 C53:K55 M37:O37 P40:Q42 R42 W58:W59 R40:Y41 V42:Y42 C58:V67 M53:AF55 Q12:X12 P36:X37 Q45:X45 W62:X67 Y18:AA30 Z40:AA42 M11:AE11 AB84:AF91 AB94:AF99 AB16:AF26 AB28:AF31 Y36:AF36 AB12:AF14">
    <cfRule type="expression" dxfId="2546" priority="322">
      <formula>B$9&gt;=20/24</formula>
    </cfRule>
    <cfRule type="expression" dxfId="2545" priority="323">
      <formula>AND(B$9&gt;=14/24,B$9&lt;20/24)</formula>
    </cfRule>
    <cfRule type="expression" dxfId="2544" priority="324">
      <formula>AND(B$9&gt;=8/24,B$9&lt;14/24)</formula>
    </cfRule>
    <cfRule type="expression" dxfId="2543" priority="325">
      <formula>B$9&lt;8/24</formula>
    </cfRule>
  </conditionalFormatting>
  <conditionalFormatting sqref="AL4:AL6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M57:V57">
    <cfRule type="expression" dxfId="2542" priority="317">
      <formula>M$9&gt;=20/24</formula>
    </cfRule>
    <cfRule type="expression" dxfId="2541" priority="318">
      <formula>AND(M$9&gt;=14/24,M$9&lt;20/24)</formula>
    </cfRule>
    <cfRule type="expression" dxfId="2540" priority="319">
      <formula>AND(M$9&gt;=8/24,M$9&lt;14/24)</formula>
    </cfRule>
    <cfRule type="expression" dxfId="2539" priority="320">
      <formula>M$9&lt;8/24</formula>
    </cfRule>
  </conditionalFormatting>
  <conditionalFormatting sqref="O43:U43">
    <cfRule type="expression" dxfId="2538" priority="313">
      <formula>O$9&gt;=20/24</formula>
    </cfRule>
    <cfRule type="expression" dxfId="2537" priority="314">
      <formula>AND(O$9&gt;=14/24,O$9&lt;20/24)</formula>
    </cfRule>
    <cfRule type="expression" dxfId="2536" priority="315">
      <formula>AND(O$9&gt;=8/24,O$9&lt;14/24)</formula>
    </cfRule>
    <cfRule type="expression" dxfId="2535" priority="316">
      <formula>O$9&lt;8/24</formula>
    </cfRule>
  </conditionalFormatting>
  <conditionalFormatting sqref="AB32:AF32">
    <cfRule type="expression" dxfId="2534" priority="309">
      <formula>AB$9&gt;=20/24</formula>
    </cfRule>
    <cfRule type="expression" dxfId="2533" priority="310">
      <formula>AND(AB$9&gt;=14/24,AB$9&lt;20/24)</formula>
    </cfRule>
    <cfRule type="expression" dxfId="2532" priority="311">
      <formula>AND(AB$9&gt;=8/24,AB$9&lt;14/24)</formula>
    </cfRule>
    <cfRule type="expression" dxfId="2531" priority="312">
      <formula>AB$9&lt;8/24</formula>
    </cfRule>
  </conditionalFormatting>
  <conditionalFormatting sqref="S39:AE39">
    <cfRule type="expression" dxfId="2530" priority="305">
      <formula>S$9&gt;=20/24</formula>
    </cfRule>
    <cfRule type="expression" dxfId="2529" priority="306">
      <formula>AND(S$9&gt;=14/24,S$9&lt;20/24)</formula>
    </cfRule>
    <cfRule type="expression" dxfId="2528" priority="307">
      <formula>AND(S$9&gt;=8/24,S$9&lt;14/24)</formula>
    </cfRule>
    <cfRule type="expression" dxfId="2527" priority="308">
      <formula>S$9&lt;8/24</formula>
    </cfRule>
  </conditionalFormatting>
  <conditionalFormatting sqref="W57:AE57">
    <cfRule type="expression" dxfId="2526" priority="301">
      <formula>W$9&gt;=20/24</formula>
    </cfRule>
    <cfRule type="expression" dxfId="2525" priority="302">
      <formula>AND(W$9&gt;=14/24,W$9&lt;20/24)</formula>
    </cfRule>
    <cfRule type="expression" dxfId="2524" priority="303">
      <formula>AND(W$9&gt;=8/24,W$9&lt;14/24)</formula>
    </cfRule>
    <cfRule type="expression" dxfId="2523" priority="304">
      <formula>W$9&lt;8/24</formula>
    </cfRule>
  </conditionalFormatting>
  <conditionalFormatting sqref="S81:AA81">
    <cfRule type="expression" dxfId="2522" priority="297">
      <formula>S$9&gt;=20/24</formula>
    </cfRule>
    <cfRule type="expression" dxfId="2521" priority="298">
      <formula>AND(S$9&gt;=14/24,S$9&lt;20/24)</formula>
    </cfRule>
    <cfRule type="expression" dxfId="2520" priority="299">
      <formula>AND(S$9&gt;=8/24,S$9&lt;14/24)</formula>
    </cfRule>
    <cfRule type="expression" dxfId="2519" priority="300">
      <formula>S$9&lt;8/24</formula>
    </cfRule>
  </conditionalFormatting>
  <conditionalFormatting sqref="U84:AA84">
    <cfRule type="expression" dxfId="2518" priority="293">
      <formula>U$9&gt;=20/24</formula>
    </cfRule>
    <cfRule type="expression" dxfId="2517" priority="294">
      <formula>AND(U$9&gt;=14/24,U$9&lt;20/24)</formula>
    </cfRule>
    <cfRule type="expression" dxfId="2516" priority="295">
      <formula>AND(U$9&gt;=8/24,U$9&lt;14/24)</formula>
    </cfRule>
    <cfRule type="expression" dxfId="2515" priority="296">
      <formula>U$9&lt;8/24</formula>
    </cfRule>
  </conditionalFormatting>
  <conditionalFormatting sqref="Q45:X45">
    <cfRule type="expression" dxfId="2514" priority="277">
      <formula>Q$9&gt;=20/24</formula>
    </cfRule>
    <cfRule type="expression" dxfId="2513" priority="278">
      <formula>AND(Q$9&gt;=14/24,Q$9&lt;20/24)</formula>
    </cfRule>
    <cfRule type="expression" dxfId="2512" priority="279">
      <formula>AND(Q$9&gt;=8/24,Q$9&lt;14/24)</formula>
    </cfRule>
    <cfRule type="expression" dxfId="2511" priority="280">
      <formula>Q$9&lt;8/24</formula>
    </cfRule>
  </conditionalFormatting>
  <conditionalFormatting sqref="Y37:AE37">
    <cfRule type="expression" dxfId="2510" priority="273">
      <formula>Y$9&gt;=20/24</formula>
    </cfRule>
    <cfRule type="expression" dxfId="2509" priority="274">
      <formula>AND(Y$9&gt;=14/24,Y$9&lt;20/24)</formula>
    </cfRule>
    <cfRule type="expression" dxfId="2508" priority="275">
      <formula>AND(Y$9&gt;=8/24,Y$9&lt;14/24)</formula>
    </cfRule>
    <cfRule type="expression" dxfId="2507" priority="276">
      <formula>Y$9&lt;8/24</formula>
    </cfRule>
  </conditionalFormatting>
  <conditionalFormatting sqref="Y31:AA32 Y35:AF35">
    <cfRule type="expression" dxfId="2506" priority="269">
      <formula>Y$9&gt;=20/24</formula>
    </cfRule>
    <cfRule type="expression" dxfId="2505" priority="270">
      <formula>AND(Y$9&gt;=14/24,Y$9&lt;20/24)</formula>
    </cfRule>
    <cfRule type="expression" dxfId="2504" priority="271">
      <formula>AND(Y$9&gt;=8/24,Y$9&lt;14/24)</formula>
    </cfRule>
    <cfRule type="expression" dxfId="2503" priority="272">
      <formula>Y$9&lt;8/24</formula>
    </cfRule>
  </conditionalFormatting>
  <conditionalFormatting sqref="S42:U42 V43:AA43 Y45:AF48">
    <cfRule type="expression" dxfId="2502" priority="265">
      <formula>S$9&gt;=20/24</formula>
    </cfRule>
    <cfRule type="expression" dxfId="2501" priority="266">
      <formula>AND(S$9&gt;=14/24,S$9&lt;20/24)</formula>
    </cfRule>
    <cfRule type="expression" dxfId="2500" priority="267">
      <formula>AND(S$9&gt;=8/24,S$9&lt;14/24)</formula>
    </cfRule>
    <cfRule type="expression" dxfId="2499" priority="268">
      <formula>S$9&lt;8/24</formula>
    </cfRule>
  </conditionalFormatting>
  <conditionalFormatting sqref="Y49:AF49">
    <cfRule type="expression" dxfId="2498" priority="261">
      <formula>Y$9&gt;=20/24</formula>
    </cfRule>
    <cfRule type="expression" dxfId="2497" priority="262">
      <formula>AND(Y$9&gt;=14/24,Y$9&lt;20/24)</formula>
    </cfRule>
    <cfRule type="expression" dxfId="2496" priority="263">
      <formula>AND(Y$9&gt;=8/24,Y$9&lt;14/24)</formula>
    </cfRule>
    <cfRule type="expression" dxfId="2495" priority="264">
      <formula>Y$9&lt;8/24</formula>
    </cfRule>
  </conditionalFormatting>
  <conditionalFormatting sqref="Y50:AF50">
    <cfRule type="expression" dxfId="2494" priority="257">
      <formula>Y$9&gt;=20/24</formula>
    </cfRule>
    <cfRule type="expression" dxfId="2493" priority="258">
      <formula>AND(Y$9&gt;=14/24,Y$9&lt;20/24)</formula>
    </cfRule>
    <cfRule type="expression" dxfId="2492" priority="259">
      <formula>AND(Y$9&gt;=8/24,Y$9&lt;14/24)</formula>
    </cfRule>
    <cfRule type="expression" dxfId="2491" priority="260">
      <formula>Y$9&lt;8/24</formula>
    </cfRule>
  </conditionalFormatting>
  <conditionalFormatting sqref="X60:Y61 Y62:Y67 Z60:AE67">
    <cfRule type="expression" dxfId="2490" priority="253">
      <formula>X$9&gt;=20/24</formula>
    </cfRule>
    <cfRule type="expression" dxfId="2489" priority="254">
      <formula>AND(X$9&gt;=14/24,X$9&lt;20/24)</formula>
    </cfRule>
    <cfRule type="expression" dxfId="2488" priority="255">
      <formula>AND(X$9&gt;=8/24,X$9&lt;14/24)</formula>
    </cfRule>
    <cfRule type="expression" dxfId="2487" priority="256">
      <formula>X$9&lt;8/24</formula>
    </cfRule>
  </conditionalFormatting>
  <conditionalFormatting sqref="U94:AA97">
    <cfRule type="expression" dxfId="2486" priority="245">
      <formula>U$9&gt;=20/24</formula>
    </cfRule>
    <cfRule type="expression" dxfId="2485" priority="246">
      <formula>AND(U$9&gt;=14/24,U$9&lt;20/24)</formula>
    </cfRule>
    <cfRule type="expression" dxfId="2484" priority="247">
      <formula>AND(U$9&gt;=8/24,U$9&lt;14/24)</formula>
    </cfRule>
    <cfRule type="expression" dxfId="2483" priority="248">
      <formula>U$9&lt;8/24</formula>
    </cfRule>
  </conditionalFormatting>
  <conditionalFormatting sqref="B38:AF38 C51:AG51 O39:S39 G37:N37 C39:N43 O40:P44 Q40:S45 U39:Y41 T39:T45 V42:Y43 U42:U45 Y44:Y50 B52:AF56 Q12:X12 O36:X37 V44:X45 Y18:AA32 C11:AF11 AB12:AF32 Y34:AF37 Z39:AF50">
    <cfRule type="expression" dxfId="2482" priority="244">
      <formula>B11&gt;$AG11</formula>
    </cfRule>
  </conditionalFormatting>
  <conditionalFormatting sqref="A100:A156 A84:A97 A11:A14 A16:A32 A45:A72 A80:A82 A74:A78 A35:A43 A169:A199">
    <cfRule type="expression" dxfId="2481" priority="243">
      <formula>$AH11=0</formula>
    </cfRule>
  </conditionalFormatting>
  <conditionalFormatting sqref="U98:AA98">
    <cfRule type="expression" dxfId="2480" priority="239">
      <formula>U$9&gt;=20/24</formula>
    </cfRule>
    <cfRule type="expression" dxfId="2479" priority="240">
      <formula>AND(U$9&gt;=14/24,U$9&lt;20/24)</formula>
    </cfRule>
    <cfRule type="expression" dxfId="2478" priority="241">
      <formula>AND(U$9&gt;=8/24,U$9&lt;14/24)</formula>
    </cfRule>
    <cfRule type="expression" dxfId="2477" priority="242">
      <formula>U$9&lt;8/24</formula>
    </cfRule>
  </conditionalFormatting>
  <conditionalFormatting sqref="A98">
    <cfRule type="expression" dxfId="2476" priority="238">
      <formula>$AH98=0</formula>
    </cfRule>
  </conditionalFormatting>
  <conditionalFormatting sqref="AL32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2475" priority="221">
      <formula>AB$9&gt;=20/24</formula>
    </cfRule>
    <cfRule type="expression" dxfId="2474" priority="222">
      <formula>AND(AB$9&gt;=14/24,AB$9&lt;20/24)</formula>
    </cfRule>
    <cfRule type="expression" dxfId="2473" priority="223">
      <formula>AND(AB$9&gt;=8/24,AB$9&lt;14/24)</formula>
    </cfRule>
    <cfRule type="expression" dxfId="2472" priority="224">
      <formula>AB$9&lt;8/24</formula>
    </cfRule>
  </conditionalFormatting>
  <conditionalFormatting sqref="Y34:AA34">
    <cfRule type="expression" dxfId="2471" priority="213">
      <formula>Y$9&gt;=20/24</formula>
    </cfRule>
    <cfRule type="expression" dxfId="2470" priority="214">
      <formula>AND(Y$9&gt;=14/24,Y$9&lt;20/24)</formula>
    </cfRule>
    <cfRule type="expression" dxfId="2469" priority="215">
      <formula>AND(Y$9&gt;=8/24,Y$9&lt;14/24)</formula>
    </cfRule>
    <cfRule type="expression" dxfId="2468" priority="216">
      <formula>Y$9&lt;8/24</formula>
    </cfRule>
  </conditionalFormatting>
  <conditionalFormatting sqref="A34">
    <cfRule type="expression" dxfId="2467" priority="212">
      <formula>$AH34=0</formula>
    </cfRule>
  </conditionalFormatting>
  <conditionalFormatting sqref="A83">
    <cfRule type="expression" dxfId="2466" priority="211">
      <formula>$AH83=0</formula>
    </cfRule>
  </conditionalFormatting>
  <conditionalFormatting sqref="AB15:AF15">
    <cfRule type="expression" dxfId="2465" priority="207">
      <formula>AB$9&gt;=20/24</formula>
    </cfRule>
    <cfRule type="expression" dxfId="2464" priority="208">
      <formula>AND(AB$9&gt;=14/24,AB$9&lt;20/24)</formula>
    </cfRule>
    <cfRule type="expression" dxfId="2463" priority="209">
      <formula>AND(AB$9&gt;=8/24,AB$9&lt;14/24)</formula>
    </cfRule>
    <cfRule type="expression" dxfId="2462" priority="210">
      <formula>AB$9&lt;8/24</formula>
    </cfRule>
  </conditionalFormatting>
  <conditionalFormatting sqref="A15">
    <cfRule type="expression" dxfId="2461" priority="201">
      <formula>$AH15=0</formula>
    </cfRule>
  </conditionalFormatting>
  <conditionalFormatting sqref="A163:A168">
    <cfRule type="expression" dxfId="2460" priority="200">
      <formula>$AH163=0</formula>
    </cfRule>
  </conditionalFormatting>
  <conditionalFormatting sqref="A157:A162">
    <cfRule type="expression" dxfId="2459" priority="199">
      <formula>$AH157=0</formula>
    </cfRule>
  </conditionalFormatting>
  <conditionalFormatting sqref="AA44:AF44">
    <cfRule type="expression" dxfId="2458" priority="195">
      <formula>AA$9&gt;=20/24</formula>
    </cfRule>
    <cfRule type="expression" dxfId="2457" priority="196">
      <formula>AND(AA$9&gt;=14/24,AA$9&lt;20/24)</formula>
    </cfRule>
    <cfRule type="expression" dxfId="2456" priority="197">
      <formula>AND(AA$9&gt;=8/24,AA$9&lt;14/24)</formula>
    </cfRule>
    <cfRule type="expression" dxfId="2455" priority="198">
      <formula>AA$9&lt;8/24</formula>
    </cfRule>
  </conditionalFormatting>
  <conditionalFormatting sqref="O44:U44">
    <cfRule type="expression" dxfId="2454" priority="191">
      <formula>O$9&gt;=20/24</formula>
    </cfRule>
    <cfRule type="expression" dxfId="2453" priority="192">
      <formula>AND(O$9&gt;=14/24,O$9&lt;20/24)</formula>
    </cfRule>
    <cfRule type="expression" dxfId="2452" priority="193">
      <formula>AND(O$9&gt;=8/24,O$9&lt;14/24)</formula>
    </cfRule>
    <cfRule type="expression" dxfId="2451" priority="194">
      <formula>O$9&lt;8/24</formula>
    </cfRule>
  </conditionalFormatting>
  <conditionalFormatting sqref="V44:AA44">
    <cfRule type="expression" dxfId="2450" priority="187">
      <formula>V$9&gt;=20/24</formula>
    </cfRule>
    <cfRule type="expression" dxfId="2449" priority="188">
      <formula>AND(V$9&gt;=14/24,V$9&lt;20/24)</formula>
    </cfRule>
    <cfRule type="expression" dxfId="2448" priority="189">
      <formula>AND(V$9&gt;=8/24,V$9&lt;14/24)</formula>
    </cfRule>
    <cfRule type="expression" dxfId="2447" priority="190">
      <formula>V$9&lt;8/24</formula>
    </cfRule>
  </conditionalFormatting>
  <conditionalFormatting sqref="A44">
    <cfRule type="expression" dxfId="2446" priority="186">
      <formula>$AH44=0</formula>
    </cfRule>
  </conditionalFormatting>
  <conditionalFormatting sqref="A79">
    <cfRule type="expression" dxfId="2445" priority="185">
      <formula>$AH79=0</formula>
    </cfRule>
  </conditionalFormatting>
  <conditionalFormatting sqref="A73">
    <cfRule type="expression" dxfId="2444" priority="184">
      <formula>$AH73=0</formula>
    </cfRule>
  </conditionalFormatting>
  <conditionalFormatting sqref="AL34:AL35 AL7:AL31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W60:W61">
    <cfRule type="expression" dxfId="2443" priority="180">
      <formula>W$9&gt;=20/24</formula>
    </cfRule>
    <cfRule type="expression" dxfId="2442" priority="181">
      <formula>AND(W$9&gt;=14/24,W$9&lt;20/24)</formula>
    </cfRule>
    <cfRule type="expression" dxfId="2441" priority="182">
      <formula>AND(W$9&gt;=8/24,W$9&lt;14/24)</formula>
    </cfRule>
    <cfRule type="expression" dxfId="2440" priority="183">
      <formula>W$9&lt;8/24</formula>
    </cfRule>
  </conditionalFormatting>
  <conditionalFormatting sqref="U85:W91">
    <cfRule type="expression" dxfId="2439" priority="176">
      <formula>U$9&gt;=20/24</formula>
    </cfRule>
    <cfRule type="expression" dxfId="2438" priority="177">
      <formula>AND(U$9&gt;=14/24,U$9&lt;20/24)</formula>
    </cfRule>
    <cfRule type="expression" dxfId="2437" priority="178">
      <formula>AND(U$9&gt;=8/24,U$9&lt;14/24)</formula>
    </cfRule>
    <cfRule type="expression" dxfId="2436" priority="179">
      <formula>U$9&lt;8/24</formula>
    </cfRule>
  </conditionalFormatting>
  <conditionalFormatting sqref="F84:R91 S85:T91">
    <cfRule type="expression" dxfId="2435" priority="172">
      <formula>F$9&gt;=20/24</formula>
    </cfRule>
    <cfRule type="expression" dxfId="2434" priority="173">
      <formula>AND(F$9&gt;=14/24,F$9&lt;20/24)</formula>
    </cfRule>
    <cfRule type="expression" dxfId="2433" priority="174">
      <formula>AND(F$9&gt;=8/24,F$9&lt;14/24)</formula>
    </cfRule>
    <cfRule type="expression" dxfId="2432" priority="175">
      <formula>F$9&lt;8/24</formula>
    </cfRule>
  </conditionalFormatting>
  <conditionalFormatting sqref="S84:T84">
    <cfRule type="expression" dxfId="2431" priority="168">
      <formula>S$9&gt;=20/24</formula>
    </cfRule>
    <cfRule type="expression" dxfId="2430" priority="169">
      <formula>AND(S$9&gt;=14/24,S$9&lt;20/24)</formula>
    </cfRule>
    <cfRule type="expression" dxfId="2429" priority="170">
      <formula>AND(S$9&gt;=8/24,S$9&lt;14/24)</formula>
    </cfRule>
    <cfRule type="expression" dxfId="2428" priority="171">
      <formula>S$9&lt;8/24</formula>
    </cfRule>
  </conditionalFormatting>
  <conditionalFormatting sqref="C95:M97 C94:F94">
    <cfRule type="expression" dxfId="2427" priority="164">
      <formula>C$9&gt;=20/24</formula>
    </cfRule>
    <cfRule type="expression" dxfId="2426" priority="165">
      <formula>AND(C$9&gt;=14/24,C$9&lt;20/24)</formula>
    </cfRule>
    <cfRule type="expression" dxfId="2425" priority="166">
      <formula>AND(C$9&gt;=8/24,C$9&lt;14/24)</formula>
    </cfRule>
    <cfRule type="expression" dxfId="2424" priority="167">
      <formula>C$9&lt;8/24</formula>
    </cfRule>
  </conditionalFormatting>
  <conditionalFormatting sqref="N95:R97 O94:R94">
    <cfRule type="expression" dxfId="2423" priority="160">
      <formula>N$9&gt;=20/24</formula>
    </cfRule>
    <cfRule type="expression" dxfId="2422" priority="161">
      <formula>AND(N$9&gt;=14/24,N$9&lt;20/24)</formula>
    </cfRule>
    <cfRule type="expression" dxfId="2421" priority="162">
      <formula>AND(N$9&gt;=8/24,N$9&lt;14/24)</formula>
    </cfRule>
    <cfRule type="expression" dxfId="2420" priority="163">
      <formula>N$9&lt;8/24</formula>
    </cfRule>
  </conditionalFormatting>
  <conditionalFormatting sqref="S94:T97">
    <cfRule type="expression" dxfId="2419" priority="156">
      <formula>S$9&gt;=20/24</formula>
    </cfRule>
    <cfRule type="expression" dxfId="2418" priority="157">
      <formula>AND(S$9&gt;=14/24,S$9&lt;20/24)</formula>
    </cfRule>
    <cfRule type="expression" dxfId="2417" priority="158">
      <formula>AND(S$9&gt;=8/24,S$9&lt;14/24)</formula>
    </cfRule>
    <cfRule type="expression" dxfId="2416" priority="159">
      <formula>S$9&lt;8/24</formula>
    </cfRule>
  </conditionalFormatting>
  <conditionalFormatting sqref="C98:M98">
    <cfRule type="expression" dxfId="2415" priority="152">
      <formula>C$9&gt;=20/24</formula>
    </cfRule>
    <cfRule type="expression" dxfId="2414" priority="153">
      <formula>AND(C$9&gt;=14/24,C$9&lt;20/24)</formula>
    </cfRule>
    <cfRule type="expression" dxfId="2413" priority="154">
      <formula>AND(C$9&gt;=8/24,C$9&lt;14/24)</formula>
    </cfRule>
    <cfRule type="expression" dxfId="2412" priority="155">
      <formula>C$9&lt;8/24</formula>
    </cfRule>
  </conditionalFormatting>
  <conditionalFormatting sqref="N98:R98">
    <cfRule type="expression" dxfId="2411" priority="148">
      <formula>N$9&gt;=20/24</formula>
    </cfRule>
    <cfRule type="expression" dxfId="2410" priority="149">
      <formula>AND(N$9&gt;=14/24,N$9&lt;20/24)</formula>
    </cfRule>
    <cfRule type="expression" dxfId="2409" priority="150">
      <formula>AND(N$9&gt;=8/24,N$9&lt;14/24)</formula>
    </cfRule>
    <cfRule type="expression" dxfId="2408" priority="151">
      <formula>N$9&lt;8/24</formula>
    </cfRule>
  </conditionalFormatting>
  <conditionalFormatting sqref="S98:T98">
    <cfRule type="expression" dxfId="2407" priority="144">
      <formula>S$9&gt;=20/24</formula>
    </cfRule>
    <cfRule type="expression" dxfId="2406" priority="145">
      <formula>AND(S$9&gt;=14/24,S$9&lt;20/24)</formula>
    </cfRule>
    <cfRule type="expression" dxfId="2405" priority="146">
      <formula>AND(S$9&gt;=8/24,S$9&lt;14/24)</formula>
    </cfRule>
    <cfRule type="expression" dxfId="2404" priority="147">
      <formula>S$9&lt;8/24</formula>
    </cfRule>
  </conditionalFormatting>
  <conditionalFormatting sqref="M94:N94">
    <cfRule type="expression" dxfId="2403" priority="140">
      <formula>M$9&gt;=20/24</formula>
    </cfRule>
    <cfRule type="expression" dxfId="2402" priority="141">
      <formula>AND(M$9&gt;=14/24,M$9&lt;20/24)</formula>
    </cfRule>
    <cfRule type="expression" dxfId="2401" priority="142">
      <formula>AND(M$9&gt;=8/24,M$9&lt;14/24)</formula>
    </cfRule>
    <cfRule type="expression" dxfId="2400" priority="143">
      <formula>M$9&lt;8/24</formula>
    </cfRule>
  </conditionalFormatting>
  <conditionalFormatting sqref="G94:L94">
    <cfRule type="expression" dxfId="2399" priority="136">
      <formula>G$9&gt;=20/24</formula>
    </cfRule>
    <cfRule type="expression" dxfId="2398" priority="137">
      <formula>AND(G$9&gt;=14/24,G$9&lt;20/24)</formula>
    </cfRule>
    <cfRule type="expression" dxfId="2397" priority="138">
      <formula>AND(G$9&gt;=8/24,G$9&lt;14/24)</formula>
    </cfRule>
    <cfRule type="expression" dxfId="2396" priority="139">
      <formula>G$9&lt;8/24</formula>
    </cfRule>
  </conditionalFormatting>
  <conditionalFormatting sqref="U94:W94">
    <cfRule type="expression" dxfId="2395" priority="132">
      <formula>U$9&gt;=20/24</formula>
    </cfRule>
    <cfRule type="expression" dxfId="2394" priority="133">
      <formula>AND(U$9&gt;=14/24,U$9&lt;20/24)</formula>
    </cfRule>
    <cfRule type="expression" dxfId="2393" priority="134">
      <formula>AND(U$9&gt;=8/24,U$9&lt;14/24)</formula>
    </cfRule>
    <cfRule type="expression" dxfId="2392" priority="135">
      <formula>U$9&lt;8/24</formula>
    </cfRule>
  </conditionalFormatting>
  <conditionalFormatting sqref="N94:T94">
    <cfRule type="expression" dxfId="2391" priority="128">
      <formula>N$9&gt;=20/24</formula>
    </cfRule>
    <cfRule type="expression" dxfId="2390" priority="129">
      <formula>AND(N$9&gt;=14/24,N$9&lt;20/24)</formula>
    </cfRule>
    <cfRule type="expression" dxfId="2389" priority="130">
      <formula>AND(N$9&gt;=8/24,N$9&lt;14/24)</formula>
    </cfRule>
    <cfRule type="expression" dxfId="2388" priority="131">
      <formula>N$9&lt;8/24</formula>
    </cfRule>
  </conditionalFormatting>
  <conditionalFormatting sqref="U99:AA99">
    <cfRule type="expression" dxfId="2387" priority="124">
      <formula>U$9&gt;=20/24</formula>
    </cfRule>
    <cfRule type="expression" dxfId="2386" priority="125">
      <formula>AND(U$9&gt;=14/24,U$9&lt;20/24)</formula>
    </cfRule>
    <cfRule type="expression" dxfId="2385" priority="126">
      <formula>AND(U$9&gt;=8/24,U$9&lt;14/24)</formula>
    </cfRule>
    <cfRule type="expression" dxfId="2384" priority="127">
      <formula>U$9&lt;8/24</formula>
    </cfRule>
  </conditionalFormatting>
  <conditionalFormatting sqref="C99:M99">
    <cfRule type="expression" dxfId="2383" priority="120">
      <formula>C$9&gt;=20/24</formula>
    </cfRule>
    <cfRule type="expression" dxfId="2382" priority="121">
      <formula>AND(C$9&gt;=14/24,C$9&lt;20/24)</formula>
    </cfRule>
    <cfRule type="expression" dxfId="2381" priority="122">
      <formula>AND(C$9&gt;=8/24,C$9&lt;14/24)</formula>
    </cfRule>
    <cfRule type="expression" dxfId="2380" priority="123">
      <formula>C$9&lt;8/24</formula>
    </cfRule>
  </conditionalFormatting>
  <conditionalFormatting sqref="N99:R99">
    <cfRule type="expression" dxfId="2379" priority="116">
      <formula>N$9&gt;=20/24</formula>
    </cfRule>
    <cfRule type="expression" dxfId="2378" priority="117">
      <formula>AND(N$9&gt;=14/24,N$9&lt;20/24)</formula>
    </cfRule>
    <cfRule type="expression" dxfId="2377" priority="118">
      <formula>AND(N$9&gt;=8/24,N$9&lt;14/24)</formula>
    </cfRule>
    <cfRule type="expression" dxfId="2376" priority="119">
      <formula>N$9&lt;8/24</formula>
    </cfRule>
  </conditionalFormatting>
  <conditionalFormatting sqref="S99:T99">
    <cfRule type="expression" dxfId="2375" priority="112">
      <formula>S$9&gt;=20/24</formula>
    </cfRule>
    <cfRule type="expression" dxfId="2374" priority="113">
      <formula>AND(S$9&gt;=14/24,S$9&lt;20/24)</formula>
    </cfRule>
    <cfRule type="expression" dxfId="2373" priority="114">
      <formula>AND(S$9&gt;=8/24,S$9&lt;14/24)</formula>
    </cfRule>
    <cfRule type="expression" dxfId="2372" priority="115">
      <formula>S$9&lt;8/24</formula>
    </cfRule>
  </conditionalFormatting>
  <conditionalFormatting sqref="Y12:AA16">
    <cfRule type="expression" dxfId="2371" priority="108">
      <formula>Y$9&gt;=20/24</formula>
    </cfRule>
    <cfRule type="expression" dxfId="2370" priority="109">
      <formula>AND(Y$9&gt;=14/24,Y$9&lt;20/24)</formula>
    </cfRule>
    <cfRule type="expression" dxfId="2369" priority="110">
      <formula>AND(Y$9&gt;=8/24,Y$9&lt;14/24)</formula>
    </cfRule>
    <cfRule type="expression" dxfId="2368" priority="111">
      <formula>Y$9&lt;8/24</formula>
    </cfRule>
  </conditionalFormatting>
  <conditionalFormatting sqref="Y17:AA17">
    <cfRule type="expression" dxfId="2367" priority="104">
      <formula>Y$9&gt;=20/24</formula>
    </cfRule>
    <cfRule type="expression" dxfId="2366" priority="105">
      <formula>AND(Y$9&gt;=14/24,Y$9&lt;20/24)</formula>
    </cfRule>
    <cfRule type="expression" dxfId="2365" priority="106">
      <formula>AND(Y$9&gt;=8/24,Y$9&lt;14/24)</formula>
    </cfRule>
    <cfRule type="expression" dxfId="2364" priority="107">
      <formula>Y$9&lt;8/24</formula>
    </cfRule>
  </conditionalFormatting>
  <conditionalFormatting sqref="Y12:AA13">
    <cfRule type="expression" dxfId="2363" priority="100">
      <formula>Y$9&gt;=20/24</formula>
    </cfRule>
    <cfRule type="expression" dxfId="2362" priority="101">
      <formula>AND(Y$9&gt;=14/24,Y$9&lt;20/24)</formula>
    </cfRule>
    <cfRule type="expression" dxfId="2361" priority="102">
      <formula>AND(Y$9&gt;=8/24,Y$9&lt;14/24)</formula>
    </cfRule>
    <cfRule type="expression" dxfId="2360" priority="103">
      <formula>Y$9&lt;8/24</formula>
    </cfRule>
  </conditionalFormatting>
  <conditionalFormatting sqref="AB58:AE59">
    <cfRule type="expression" dxfId="2359" priority="96">
      <formula>AB$9&gt;=20/24</formula>
    </cfRule>
    <cfRule type="expression" dxfId="2358" priority="97">
      <formula>AND(AB$9&gt;=14/24,AB$9&lt;20/24)</formula>
    </cfRule>
    <cfRule type="expression" dxfId="2357" priority="98">
      <formula>AND(AB$9&gt;=8/24,AB$9&lt;14/24)</formula>
    </cfRule>
    <cfRule type="expression" dxfId="2356" priority="99">
      <formula>AB$9&lt;8/24</formula>
    </cfRule>
  </conditionalFormatting>
  <conditionalFormatting sqref="AL33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55" priority="329">
      <formula>C$9&gt;=20/24</formula>
    </cfRule>
    <cfRule type="expression" dxfId="2354" priority="330">
      <formula>AND(C$9&gt;=14/24,C$9&lt;20/24)</formula>
    </cfRule>
    <cfRule type="expression" dxfId="2353" priority="331">
      <formula>AND(C$9&gt;=8/24,C$9&lt;14/24)</formula>
    </cfRule>
    <cfRule type="expression" dxfId="2352" priority="332">
      <formula>C$9&lt;8/24</formula>
    </cfRule>
  </conditionalFormatting>
  <conditionalFormatting sqref="A200">
    <cfRule type="expression" dxfId="2351" priority="333">
      <formula>$AH200=0</formula>
    </cfRule>
  </conditionalFormatting>
  <conditionalFormatting sqref="AG212">
    <cfRule type="expression" dxfId="2350" priority="334">
      <formula>B$9&gt;=20/24</formula>
    </cfRule>
    <cfRule type="expression" dxfId="2349" priority="335">
      <formula>AND(B$9&gt;=14/24,B$9&lt;20/24)</formula>
    </cfRule>
    <cfRule type="expression" dxfId="2348" priority="336">
      <formula>AND(B$9&gt;=8/24,B$9&lt;14/24)</formula>
    </cfRule>
    <cfRule type="expression" dxfId="2347" priority="337">
      <formula>B$9&lt;8/24</formula>
    </cfRule>
  </conditionalFormatting>
  <conditionalFormatting sqref="S8">
    <cfRule type="expression" dxfId="2346" priority="90">
      <formula>U$9&gt;=20/24</formula>
    </cfRule>
    <cfRule type="expression" dxfId="2345" priority="91">
      <formula>AND(U$9&gt;=14/24,U$9&lt;20/24)</formula>
    </cfRule>
    <cfRule type="expression" dxfId="2344" priority="92">
      <formula>AND(U$9&gt;=8/24,U$9&lt;14/24)</formula>
    </cfRule>
    <cfRule type="expression" dxfId="2343" priority="93">
      <formula>U$9&lt;8/24</formula>
    </cfRule>
  </conditionalFormatting>
  <conditionalFormatting sqref="AB8">
    <cfRule type="expression" dxfId="2342" priority="86">
      <formula>AD$9&gt;=20/24</formula>
    </cfRule>
    <cfRule type="expression" dxfId="2341" priority="87">
      <formula>AND(AD$9&gt;=14/24,AD$9&lt;20/24)</formula>
    </cfRule>
    <cfRule type="expression" dxfId="2340" priority="88">
      <formula>AND(AD$9&gt;=8/24,AD$9&lt;14/24)</formula>
    </cfRule>
    <cfRule type="expression" dxfId="2339" priority="89">
      <formula>AD$9&lt;8/24</formula>
    </cfRule>
  </conditionalFormatting>
  <conditionalFormatting sqref="AH212:AX212">
    <cfRule type="expression" dxfId="2338" priority="338">
      <formula>AG$9&gt;=20/24</formula>
    </cfRule>
    <cfRule type="expression" dxfId="2337" priority="339">
      <formula>AND(AG$9&gt;=14/24,AG$9&lt;20/24)</formula>
    </cfRule>
    <cfRule type="expression" dxfId="2336" priority="340">
      <formula>AND(AG$9&gt;=8/24,AG$9&lt;14/24)</formula>
    </cfRule>
    <cfRule type="expression" dxfId="2335" priority="341">
      <formula>AG$9&lt;8/24</formula>
    </cfRule>
  </conditionalFormatting>
  <conditionalFormatting sqref="T212">
    <cfRule type="expression" dxfId="2334" priority="342">
      <formula>AX$9&gt;=20/24</formula>
    </cfRule>
    <cfRule type="expression" dxfId="2333" priority="343">
      <formula>AND(AX$9&gt;=14/24,AX$9&lt;20/24)</formula>
    </cfRule>
    <cfRule type="expression" dxfId="2332" priority="344">
      <formula>AND(AX$9&gt;=8/24,AX$9&lt;14/24)</formula>
    </cfRule>
    <cfRule type="expression" dxfId="2331" priority="345">
      <formula>AX$9&lt;8/24</formula>
    </cfRule>
  </conditionalFormatting>
  <conditionalFormatting sqref="A99">
    <cfRule type="expression" dxfId="2330" priority="85">
      <formula>$AH99=0</formula>
    </cfRule>
  </conditionalFormatting>
  <conditionalFormatting sqref="AB33:AF33">
    <cfRule type="expression" dxfId="2329" priority="77">
      <formula>AB$9&gt;=20/24</formula>
    </cfRule>
    <cfRule type="expression" dxfId="2328" priority="78">
      <formula>AND(AB$9&gt;=14/24,AB$9&lt;20/24)</formula>
    </cfRule>
    <cfRule type="expression" dxfId="2327" priority="79">
      <formula>AND(AB$9&gt;=8/24,AB$9&lt;14/24)</formula>
    </cfRule>
    <cfRule type="expression" dxfId="2326" priority="80">
      <formula>AB$9&lt;8/24</formula>
    </cfRule>
  </conditionalFormatting>
  <conditionalFormatting sqref="Y33:AA33">
    <cfRule type="expression" dxfId="2325" priority="73">
      <formula>Y$9&gt;=20/24</formula>
    </cfRule>
    <cfRule type="expression" dxfId="2324" priority="74">
      <formula>AND(Y$9&gt;=14/24,Y$9&lt;20/24)</formula>
    </cfRule>
    <cfRule type="expression" dxfId="2323" priority="75">
      <formula>AND(Y$9&gt;=8/24,Y$9&lt;14/24)</formula>
    </cfRule>
    <cfRule type="expression" dxfId="2322" priority="76">
      <formula>Y$9&lt;8/24</formula>
    </cfRule>
  </conditionalFormatting>
  <conditionalFormatting sqref="Y33:AF33">
    <cfRule type="expression" dxfId="2321" priority="72">
      <formula>Y33&gt;$AG33</formula>
    </cfRule>
  </conditionalFormatting>
  <conditionalFormatting sqref="B11 B36:N36 B18:X30">
    <cfRule type="expression" dxfId="2320" priority="68">
      <formula>B$9&gt;=20/24</formula>
    </cfRule>
    <cfRule type="expression" dxfId="2319" priority="69">
      <formula>AND(B$9&gt;=14/24,B$9&lt;20/24)</formula>
    </cfRule>
    <cfRule type="expression" dxfId="2318" priority="70">
      <formula>AND(B$9&gt;=8/24,B$9&lt;14/24)</formula>
    </cfRule>
    <cfRule type="expression" dxfId="2317" priority="71">
      <formula>B$9&lt;8/24</formula>
    </cfRule>
  </conditionalFormatting>
  <conditionalFormatting sqref="B37:F37">
    <cfRule type="expression" dxfId="2316" priority="64">
      <formula>B$9&gt;=20/24</formula>
    </cfRule>
    <cfRule type="expression" dxfId="2315" priority="65">
      <formula>AND(B$9&gt;=14/24,B$9&lt;20/24)</formula>
    </cfRule>
    <cfRule type="expression" dxfId="2314" priority="66">
      <formula>AND(B$9&gt;=8/24,B$9&lt;14/24)</formula>
    </cfRule>
    <cfRule type="expression" dxfId="2313" priority="67">
      <formula>B$9&lt;8/24</formula>
    </cfRule>
  </conditionalFormatting>
  <conditionalFormatting sqref="B31:X32 B35:X35">
    <cfRule type="expression" dxfId="2312" priority="60">
      <formula>B$9&gt;=20/24</formula>
    </cfRule>
    <cfRule type="expression" dxfId="2311" priority="61">
      <formula>AND(B$9&gt;=14/24,B$9&lt;20/24)</formula>
    </cfRule>
    <cfRule type="expression" dxfId="2310" priority="62">
      <formula>AND(B$9&gt;=8/24,B$9&lt;14/24)</formula>
    </cfRule>
    <cfRule type="expression" dxfId="2309" priority="63">
      <formula>B$9&lt;8/24</formula>
    </cfRule>
  </conditionalFormatting>
  <conditionalFormatting sqref="B11 B34:F37 G34:N36 O34:X35 B18:X32">
    <cfRule type="expression" dxfId="2308" priority="59">
      <formula>B11&gt;$AG11</formula>
    </cfRule>
  </conditionalFormatting>
  <conditionalFormatting sqref="B34:X34">
    <cfRule type="expression" dxfId="2307" priority="55">
      <formula>B$9&gt;=20/24</formula>
    </cfRule>
    <cfRule type="expression" dxfId="2306" priority="56">
      <formula>AND(B$9&gt;=14/24,B$9&lt;20/24)</formula>
    </cfRule>
    <cfRule type="expression" dxfId="2305" priority="57">
      <formula>AND(B$9&gt;=8/24,B$9&lt;14/24)</formula>
    </cfRule>
    <cfRule type="expression" dxfId="2304" priority="58">
      <formula>B$9&lt;8/24</formula>
    </cfRule>
  </conditionalFormatting>
  <conditionalFormatting sqref="B12:P16 Q13:X16">
    <cfRule type="expression" dxfId="2303" priority="51">
      <formula>B$9&gt;=20/24</formula>
    </cfRule>
    <cfRule type="expression" dxfId="2302" priority="52">
      <formula>AND(B$9&gt;=14/24,B$9&lt;20/24)</formula>
    </cfRule>
    <cfRule type="expression" dxfId="2301" priority="53">
      <formula>AND(B$9&gt;=8/24,B$9&lt;14/24)</formula>
    </cfRule>
    <cfRule type="expression" dxfId="2300" priority="54">
      <formula>B$9&lt;8/24</formula>
    </cfRule>
  </conditionalFormatting>
  <conditionalFormatting sqref="B17:X17">
    <cfRule type="expression" dxfId="2299" priority="47">
      <formula>B$9&gt;=20/24</formula>
    </cfRule>
    <cfRule type="expression" dxfId="2298" priority="48">
      <formula>AND(B$9&gt;=14/24,B$9&lt;20/24)</formula>
    </cfRule>
    <cfRule type="expression" dxfId="2297" priority="49">
      <formula>AND(B$9&gt;=8/24,B$9&lt;14/24)</formula>
    </cfRule>
    <cfRule type="expression" dxfId="2296" priority="50">
      <formula>B$9&lt;8/24</formula>
    </cfRule>
  </conditionalFormatting>
  <conditionalFormatting sqref="B12:P13 Q13:X13">
    <cfRule type="expression" dxfId="2295" priority="43">
      <formula>B$9&gt;=20/24</formula>
    </cfRule>
    <cfRule type="expression" dxfId="2294" priority="44">
      <formula>AND(B$9&gt;=14/24,B$9&lt;20/24)</formula>
    </cfRule>
    <cfRule type="expression" dxfId="2293" priority="45">
      <formula>AND(B$9&gt;=8/24,B$9&lt;14/24)</formula>
    </cfRule>
    <cfRule type="expression" dxfId="2292" priority="46">
      <formula>B$9&lt;8/24</formula>
    </cfRule>
  </conditionalFormatting>
  <conditionalFormatting sqref="B33:X33">
    <cfRule type="expression" dxfId="2291" priority="39">
      <formula>B$9&gt;=20/24</formula>
    </cfRule>
    <cfRule type="expression" dxfId="2290" priority="40">
      <formula>AND(B$9&gt;=14/24,B$9&lt;20/24)</formula>
    </cfRule>
    <cfRule type="expression" dxfId="2289" priority="41">
      <formula>AND(B$9&gt;=8/24,B$9&lt;14/24)</formula>
    </cfRule>
    <cfRule type="expression" dxfId="2288" priority="42">
      <formula>B$9&lt;8/24</formula>
    </cfRule>
  </conditionalFormatting>
  <conditionalFormatting sqref="B33:X33">
    <cfRule type="expression" dxfId="2287" priority="38">
      <formula>B33&gt;$AG33</formula>
    </cfRule>
  </conditionalFormatting>
  <conditionalFormatting sqref="B40:B43">
    <cfRule type="expression" dxfId="2286" priority="34">
      <formula>B$9&gt;=20/24</formula>
    </cfRule>
    <cfRule type="expression" dxfId="2285" priority="35">
      <formula>AND(B$9&gt;=14/24,B$9&lt;20/24)</formula>
    </cfRule>
    <cfRule type="expression" dxfId="2284" priority="36">
      <formula>AND(B$9&gt;=8/24,B$9&lt;14/24)</formula>
    </cfRule>
    <cfRule type="expression" dxfId="2283" priority="37">
      <formula>B$9&lt;8/24</formula>
    </cfRule>
  </conditionalFormatting>
  <conditionalFormatting sqref="B39">
    <cfRule type="expression" dxfId="2282" priority="30">
      <formula>B$9&gt;=20/24</formula>
    </cfRule>
    <cfRule type="expression" dxfId="2281" priority="31">
      <formula>AND(B$9&gt;=14/24,B$9&lt;20/24)</formula>
    </cfRule>
    <cfRule type="expression" dxfId="2280" priority="32">
      <formula>AND(B$9&gt;=8/24,B$9&lt;14/24)</formula>
    </cfRule>
    <cfRule type="expression" dxfId="2279" priority="33">
      <formula>B$9&lt;8/24</formula>
    </cfRule>
  </conditionalFormatting>
  <conditionalFormatting sqref="B43 B45:P48 Q46:X48">
    <cfRule type="expression" dxfId="2278" priority="26">
      <formula>B$9&gt;=20/24</formula>
    </cfRule>
    <cfRule type="expression" dxfId="2277" priority="27">
      <formula>AND(B$9&gt;=14/24,B$9&lt;20/24)</formula>
    </cfRule>
    <cfRule type="expression" dxfId="2276" priority="28">
      <formula>AND(B$9&gt;=8/24,B$9&lt;14/24)</formula>
    </cfRule>
    <cfRule type="expression" dxfId="2275" priority="29">
      <formula>B$9&lt;8/24</formula>
    </cfRule>
  </conditionalFormatting>
  <conditionalFormatting sqref="B49:X49">
    <cfRule type="expression" dxfId="2274" priority="22">
      <formula>B$9&gt;=20/24</formula>
    </cfRule>
    <cfRule type="expression" dxfId="2273" priority="23">
      <formula>AND(B$9&gt;=14/24,B$9&lt;20/24)</formula>
    </cfRule>
    <cfRule type="expression" dxfId="2272" priority="24">
      <formula>AND(B$9&gt;=8/24,B$9&lt;14/24)</formula>
    </cfRule>
    <cfRule type="expression" dxfId="2271" priority="25">
      <formula>B$9&lt;8/24</formula>
    </cfRule>
  </conditionalFormatting>
  <conditionalFormatting sqref="B50:X50">
    <cfRule type="expression" dxfId="2270" priority="18">
      <formula>B$9&gt;=20/24</formula>
    </cfRule>
    <cfRule type="expression" dxfId="2269" priority="19">
      <formula>AND(B$9&gt;=14/24,B$9&lt;20/24)</formula>
    </cfRule>
    <cfRule type="expression" dxfId="2268" priority="20">
      <formula>AND(B$9&gt;=8/24,B$9&lt;14/24)</formula>
    </cfRule>
    <cfRule type="expression" dxfId="2267" priority="21">
      <formula>B$9&lt;8/24</formula>
    </cfRule>
  </conditionalFormatting>
  <conditionalFormatting sqref="B39:B51 C44:N50 O45:P50 Q46:X50">
    <cfRule type="expression" dxfId="2266" priority="17">
      <formula>B39&gt;$AG39</formula>
    </cfRule>
  </conditionalFormatting>
  <conditionalFormatting sqref="B44:N44">
    <cfRule type="expression" dxfId="2265" priority="13">
      <formula>B$9&gt;=20/24</formula>
    </cfRule>
    <cfRule type="expression" dxfId="2264" priority="14">
      <formula>AND(B$9&gt;=14/24,B$9&lt;20/24)</formula>
    </cfRule>
    <cfRule type="expression" dxfId="2263" priority="15">
      <formula>AND(B$9&gt;=8/24,B$9&lt;14/24)</formula>
    </cfRule>
    <cfRule type="expression" dxfId="2262" priority="16">
      <formula>B$9&lt;8/24</formula>
    </cfRule>
  </conditionalFormatting>
  <conditionalFormatting sqref="B44:N44">
    <cfRule type="expression" dxfId="2261" priority="9">
      <formula>B$9&gt;=20/24</formula>
    </cfRule>
    <cfRule type="expression" dxfId="2260" priority="10">
      <formula>AND(B$9&gt;=14/24,B$9&lt;20/24)</formula>
    </cfRule>
    <cfRule type="expression" dxfId="2259" priority="11">
      <formula>AND(B$9&gt;=8/24,B$9&lt;14/24)</formula>
    </cfRule>
    <cfRule type="expression" dxfId="2258" priority="12">
      <formula>B$9&lt;8/24</formula>
    </cfRule>
  </conditionalFormatting>
  <conditionalFormatting sqref="N39:N42">
    <cfRule type="expression" dxfId="2257" priority="5">
      <formula>N$9&gt;=20/24</formula>
    </cfRule>
    <cfRule type="expression" dxfId="2256" priority="6">
      <formula>AND(N$9&gt;=14/24,N$9&lt;20/24)</formula>
    </cfRule>
    <cfRule type="expression" dxfId="2255" priority="7">
      <formula>AND(N$9&gt;=8/24,N$9&lt;14/24)</formula>
    </cfRule>
    <cfRule type="expression" dxfId="2254" priority="8">
      <formula>N$9&lt;8/24</formula>
    </cfRule>
  </conditionalFormatting>
  <conditionalFormatting sqref="N43">
    <cfRule type="expression" dxfId="2253" priority="1">
      <formula>N$9&gt;=20/24</formula>
    </cfRule>
    <cfRule type="expression" dxfId="2252" priority="2">
      <formula>AND(N$9&gt;=14/24,N$9&lt;20/24)</formula>
    </cfRule>
    <cfRule type="expression" dxfId="2251" priority="3">
      <formula>AND(N$9&gt;=8/24,N$9&lt;14/24)</formula>
    </cfRule>
    <cfRule type="expression" dxfId="2250" priority="4">
      <formula>N$9&lt;8/24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5" id="{9D8EC337-38B8-4016-88D4-6B3A9E5E94E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O95" sqref="O9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2078/09/25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154.30000000000001</v>
      </c>
      <c r="C5" s="32">
        <f t="shared" si="0"/>
        <v>158.30000000000001</v>
      </c>
      <c r="D5" s="32">
        <f t="shared" si="0"/>
        <v>161</v>
      </c>
      <c r="E5" s="32">
        <f t="shared" si="0"/>
        <v>187</v>
      </c>
      <c r="F5" s="32">
        <f t="shared" si="0"/>
        <v>212</v>
      </c>
      <c r="G5" s="32">
        <f t="shared" si="0"/>
        <v>237.8</v>
      </c>
      <c r="H5" s="32">
        <f t="shared" si="0"/>
        <v>247.5</v>
      </c>
      <c r="I5" s="32">
        <f t="shared" si="0"/>
        <v>257</v>
      </c>
      <c r="J5" s="32">
        <f t="shared" si="0"/>
        <v>120</v>
      </c>
      <c r="K5" s="32">
        <f t="shared" si="0"/>
        <v>149</v>
      </c>
      <c r="L5" s="32">
        <f t="shared" si="0"/>
        <v>195</v>
      </c>
      <c r="M5" s="32">
        <f t="shared" si="0"/>
        <v>193.3</v>
      </c>
      <c r="N5" s="32">
        <f t="shared" si="0"/>
        <v>393</v>
      </c>
      <c r="O5" s="32">
        <f t="shared" si="0"/>
        <v>412.24</v>
      </c>
      <c r="P5" s="32">
        <f t="shared" si="0"/>
        <v>431.63</v>
      </c>
      <c r="Q5" s="32">
        <f t="shared" si="0"/>
        <v>404</v>
      </c>
      <c r="R5" s="32">
        <f t="shared" si="0"/>
        <v>458.79</v>
      </c>
      <c r="S5" s="32">
        <f t="shared" si="0"/>
        <v>457</v>
      </c>
      <c r="T5" s="32">
        <f t="shared" si="0"/>
        <v>487.8</v>
      </c>
      <c r="U5" s="32">
        <f t="shared" si="0"/>
        <v>361</v>
      </c>
      <c r="V5" s="32">
        <f t="shared" si="0"/>
        <v>286.86</v>
      </c>
      <c r="W5" s="32">
        <f t="shared" si="0"/>
        <v>252.7</v>
      </c>
      <c r="X5" s="32">
        <f t="shared" si="0"/>
        <v>272.18</v>
      </c>
      <c r="Y5" s="32">
        <f t="shared" si="0"/>
        <v>337.50000000000006</v>
      </c>
      <c r="Z5" s="32">
        <f t="shared" si="0"/>
        <v>312.10000000000002</v>
      </c>
      <c r="AA5" s="32">
        <f t="shared" si="0"/>
        <v>291.58</v>
      </c>
      <c r="AB5" s="32">
        <f t="shared" si="0"/>
        <v>316.3</v>
      </c>
      <c r="AC5" s="32">
        <f t="shared" si="0"/>
        <v>281</v>
      </c>
      <c r="AD5" s="32">
        <f t="shared" si="0"/>
        <v>289</v>
      </c>
      <c r="AE5" s="32">
        <f t="shared" si="0"/>
        <v>203</v>
      </c>
      <c r="AF5" s="32">
        <f>B68</f>
        <v>168.9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1422MW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Load=804</v>
      </c>
      <c r="B7" s="37">
        <f>B75</f>
        <v>858.44</v>
      </c>
      <c r="C7" s="37">
        <f t="shared" ref="C7:AF7" si="1">C75</f>
        <v>843.94</v>
      </c>
      <c r="D7" s="37">
        <f t="shared" si="1"/>
        <v>831.44</v>
      </c>
      <c r="E7" s="37">
        <f t="shared" si="1"/>
        <v>804.14</v>
      </c>
      <c r="F7" s="37">
        <f t="shared" si="1"/>
        <v>818.74</v>
      </c>
      <c r="G7" s="37">
        <f t="shared" si="1"/>
        <v>853.44</v>
      </c>
      <c r="H7" s="37">
        <f t="shared" si="1"/>
        <v>918.24</v>
      </c>
      <c r="I7" s="37">
        <f t="shared" si="1"/>
        <v>1026.94</v>
      </c>
      <c r="J7" s="37">
        <f t="shared" si="1"/>
        <v>1139.44</v>
      </c>
      <c r="K7" s="37">
        <f t="shared" si="1"/>
        <v>1327.8400000000001</v>
      </c>
      <c r="L7" s="37">
        <f t="shared" si="1"/>
        <v>1421.5400000000002</v>
      </c>
      <c r="M7" s="37">
        <f t="shared" si="1"/>
        <v>1412.8400000000001</v>
      </c>
      <c r="N7" s="37">
        <f t="shared" si="1"/>
        <v>1404.1399999999999</v>
      </c>
      <c r="O7" s="37">
        <f t="shared" si="1"/>
        <v>1349.54</v>
      </c>
      <c r="P7" s="37">
        <f t="shared" si="1"/>
        <v>1309.68</v>
      </c>
      <c r="Q7" s="37">
        <f t="shared" si="1"/>
        <v>1264.47</v>
      </c>
      <c r="R7" s="37">
        <f t="shared" si="1"/>
        <v>1222.8399999999999</v>
      </c>
      <c r="S7" s="37">
        <f t="shared" si="1"/>
        <v>1253.83</v>
      </c>
      <c r="T7" s="37">
        <f t="shared" si="1"/>
        <v>1203.54</v>
      </c>
      <c r="U7" s="37">
        <f t="shared" si="1"/>
        <v>1298.04</v>
      </c>
      <c r="V7" s="37">
        <f t="shared" si="1"/>
        <v>1340.1399999999999</v>
      </c>
      <c r="W7" s="37">
        <f t="shared" si="1"/>
        <v>1444.4</v>
      </c>
      <c r="X7" s="37">
        <f t="shared" si="1"/>
        <v>1593.94</v>
      </c>
      <c r="Y7" s="37">
        <f t="shared" si="1"/>
        <v>1580.12</v>
      </c>
      <c r="Z7" s="37">
        <f t="shared" si="1"/>
        <v>1511.94</v>
      </c>
      <c r="AA7" s="37">
        <f t="shared" si="1"/>
        <v>1472.74</v>
      </c>
      <c r="AB7" s="37">
        <f t="shared" si="1"/>
        <v>1343.42</v>
      </c>
      <c r="AC7" s="37">
        <f t="shared" si="1"/>
        <v>1296.54</v>
      </c>
      <c r="AD7" s="37">
        <f t="shared" si="1"/>
        <v>1259.1400000000001</v>
      </c>
      <c r="AE7" s="37">
        <f t="shared" si="1"/>
        <v>1104.74</v>
      </c>
      <c r="AF7" s="37">
        <f t="shared" si="1"/>
        <v>938.74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20</v>
      </c>
      <c r="D11" s="49">
        <v>20</v>
      </c>
      <c r="E11" s="49">
        <v>45</v>
      </c>
      <c r="F11" s="49">
        <v>10</v>
      </c>
      <c r="G11" s="49">
        <v>10</v>
      </c>
      <c r="H11" s="49">
        <v>60</v>
      </c>
      <c r="I11" s="49">
        <v>100</v>
      </c>
      <c r="J11" s="49">
        <v>120</v>
      </c>
      <c r="K11" s="49">
        <v>380</v>
      </c>
      <c r="L11" s="49">
        <v>370</v>
      </c>
      <c r="M11" s="50">
        <v>340</v>
      </c>
      <c r="N11" s="50">
        <v>310</v>
      </c>
      <c r="O11" s="50">
        <v>80</v>
      </c>
      <c r="P11" s="50">
        <v>40</v>
      </c>
      <c r="Q11" s="50">
        <v>20</v>
      </c>
      <c r="R11" s="51">
        <v>20</v>
      </c>
      <c r="S11" s="50">
        <v>30</v>
      </c>
      <c r="T11" s="50">
        <v>20</v>
      </c>
      <c r="U11" s="50">
        <v>30</v>
      </c>
      <c r="V11" s="50">
        <v>150</v>
      </c>
      <c r="W11" s="50">
        <v>270</v>
      </c>
      <c r="X11" s="50">
        <v>400</v>
      </c>
      <c r="Y11" s="50">
        <v>365</v>
      </c>
      <c r="Z11" s="50">
        <v>240</v>
      </c>
      <c r="AA11" s="50">
        <v>240</v>
      </c>
      <c r="AB11" s="50">
        <v>150</v>
      </c>
      <c r="AC11" s="50">
        <v>130</v>
      </c>
      <c r="AD11" s="50">
        <v>127</v>
      </c>
      <c r="AE11" s="50">
        <v>80</v>
      </c>
      <c r="AF11" s="49">
        <v>80</v>
      </c>
      <c r="AG11" s="53">
        <v>456</v>
      </c>
      <c r="AH11" s="54">
        <f t="shared" ref="AH11:AH37" si="2">MAX(B11:AF11)</f>
        <v>400</v>
      </c>
      <c r="AI11" s="55">
        <f t="shared" ref="AI11:AI37" si="3"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42</v>
      </c>
      <c r="C12" s="49">
        <v>42</v>
      </c>
      <c r="D12" s="49">
        <v>41</v>
      </c>
      <c r="E12" s="49">
        <v>41</v>
      </c>
      <c r="F12" s="49">
        <v>41</v>
      </c>
      <c r="G12" s="49">
        <v>41</v>
      </c>
      <c r="H12" s="49">
        <v>41</v>
      </c>
      <c r="I12" s="49">
        <v>41</v>
      </c>
      <c r="J12" s="49">
        <v>41</v>
      </c>
      <c r="K12" s="49">
        <v>41</v>
      </c>
      <c r="L12" s="49">
        <v>41</v>
      </c>
      <c r="M12" s="49">
        <v>41</v>
      </c>
      <c r="N12" s="49">
        <v>41</v>
      </c>
      <c r="O12" s="49">
        <v>41</v>
      </c>
      <c r="P12" s="49">
        <v>41</v>
      </c>
      <c r="Q12" s="49">
        <v>41</v>
      </c>
      <c r="R12" s="49">
        <v>41</v>
      </c>
      <c r="S12" s="49">
        <v>41</v>
      </c>
      <c r="T12" s="49">
        <v>41</v>
      </c>
      <c r="U12" s="49">
        <v>41</v>
      </c>
      <c r="V12" s="49">
        <v>41</v>
      </c>
      <c r="W12" s="49">
        <v>41</v>
      </c>
      <c r="X12" s="58">
        <v>41</v>
      </c>
      <c r="Y12" s="58">
        <v>41</v>
      </c>
      <c r="Z12" s="58">
        <v>41</v>
      </c>
      <c r="AA12" s="58">
        <v>41</v>
      </c>
      <c r="AB12" s="58">
        <v>41</v>
      </c>
      <c r="AC12" s="58">
        <v>41</v>
      </c>
      <c r="AD12" s="58">
        <v>41</v>
      </c>
      <c r="AE12" s="58">
        <v>41</v>
      </c>
      <c r="AF12" s="58">
        <v>41</v>
      </c>
      <c r="AG12" s="59">
        <v>60</v>
      </c>
      <c r="AH12" s="54">
        <f t="shared" si="2"/>
        <v>42</v>
      </c>
      <c r="AI12" s="55">
        <f t="shared" si="3"/>
        <v>41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24.1</v>
      </c>
      <c r="C13" s="49">
        <v>24.1</v>
      </c>
      <c r="D13" s="49">
        <v>24.8</v>
      </c>
      <c r="E13" s="49">
        <v>24.8</v>
      </c>
      <c r="F13" s="49">
        <v>24.8</v>
      </c>
      <c r="G13" s="49">
        <v>24.8</v>
      </c>
      <c r="H13" s="49">
        <v>24.8</v>
      </c>
      <c r="I13" s="49">
        <v>24.8</v>
      </c>
      <c r="J13" s="49">
        <v>24.8</v>
      </c>
      <c r="K13" s="49">
        <v>24.8</v>
      </c>
      <c r="L13" s="49">
        <v>24.8</v>
      </c>
      <c r="M13" s="49">
        <v>24.8</v>
      </c>
      <c r="N13" s="49">
        <v>24.8</v>
      </c>
      <c r="O13" s="49">
        <v>24.8</v>
      </c>
      <c r="P13" s="49">
        <v>24.3</v>
      </c>
      <c r="Q13" s="49">
        <v>24.3</v>
      </c>
      <c r="R13" s="49">
        <v>24.3</v>
      </c>
      <c r="S13" s="49">
        <v>24.3</v>
      </c>
      <c r="T13" s="49">
        <v>24.3</v>
      </c>
      <c r="U13" s="49">
        <v>24.3</v>
      </c>
      <c r="V13" s="49">
        <v>24.3</v>
      </c>
      <c r="W13" s="49">
        <v>24.3</v>
      </c>
      <c r="X13" s="58">
        <v>24.3</v>
      </c>
      <c r="Y13" s="58">
        <v>24.3</v>
      </c>
      <c r="Z13" s="58">
        <v>24.3</v>
      </c>
      <c r="AA13" s="58">
        <v>24.3</v>
      </c>
      <c r="AB13" s="58">
        <v>24.3</v>
      </c>
      <c r="AC13" s="58">
        <v>24.3</v>
      </c>
      <c r="AD13" s="58">
        <v>24.3</v>
      </c>
      <c r="AE13" s="58">
        <v>24.3</v>
      </c>
      <c r="AF13" s="58">
        <v>24.3</v>
      </c>
      <c r="AG13" s="59">
        <v>52.4</v>
      </c>
      <c r="AH13" s="54">
        <f t="shared" si="2"/>
        <v>24.8</v>
      </c>
      <c r="AI13" s="55">
        <f t="shared" si="3"/>
        <v>24.1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46</v>
      </c>
      <c r="C14" s="49">
        <v>46</v>
      </c>
      <c r="D14" s="49">
        <v>46.1</v>
      </c>
      <c r="E14" s="49">
        <v>46.1</v>
      </c>
      <c r="F14" s="49">
        <v>46.1</v>
      </c>
      <c r="G14" s="49">
        <v>46.1</v>
      </c>
      <c r="H14" s="49">
        <v>46.1</v>
      </c>
      <c r="I14" s="49">
        <v>46.1</v>
      </c>
      <c r="J14" s="49">
        <v>46.1</v>
      </c>
      <c r="K14" s="49">
        <v>46.1</v>
      </c>
      <c r="L14" s="49">
        <v>46.1</v>
      </c>
      <c r="M14" s="50">
        <v>46.1</v>
      </c>
      <c r="N14" s="50">
        <v>46.1</v>
      </c>
      <c r="O14" s="50">
        <v>46.1</v>
      </c>
      <c r="P14" s="50">
        <v>45.4</v>
      </c>
      <c r="Q14" s="50">
        <v>45.4</v>
      </c>
      <c r="R14" s="50">
        <v>45.4</v>
      </c>
      <c r="S14" s="50">
        <v>45.4</v>
      </c>
      <c r="T14" s="50">
        <v>45.4</v>
      </c>
      <c r="U14" s="50">
        <v>45.4</v>
      </c>
      <c r="V14" s="50">
        <v>45.4</v>
      </c>
      <c r="W14" s="50">
        <v>45.4</v>
      </c>
      <c r="X14" s="60">
        <v>45.4</v>
      </c>
      <c r="Y14" s="60">
        <v>45.4</v>
      </c>
      <c r="Z14" s="60">
        <v>45.4</v>
      </c>
      <c r="AA14" s="60">
        <v>45.4</v>
      </c>
      <c r="AB14" s="60">
        <v>45.4</v>
      </c>
      <c r="AC14" s="60">
        <v>45.4</v>
      </c>
      <c r="AD14" s="60">
        <v>45.4</v>
      </c>
      <c r="AE14" s="60">
        <v>45.4</v>
      </c>
      <c r="AF14" s="60">
        <v>45.4</v>
      </c>
      <c r="AG14" s="59">
        <v>50</v>
      </c>
      <c r="AH14" s="54">
        <f t="shared" si="2"/>
        <v>46.1</v>
      </c>
      <c r="AI14" s="55">
        <f t="shared" si="3"/>
        <v>45.4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22.8</v>
      </c>
      <c r="C15" s="61">
        <v>22.8</v>
      </c>
      <c r="D15" s="61">
        <v>23.2</v>
      </c>
      <c r="E15" s="61">
        <v>23.2</v>
      </c>
      <c r="F15" s="61">
        <v>23.2</v>
      </c>
      <c r="G15" s="61">
        <v>23.8</v>
      </c>
      <c r="H15" s="61">
        <v>23.8</v>
      </c>
      <c r="I15" s="61">
        <v>23.8</v>
      </c>
      <c r="J15" s="61">
        <v>23.8</v>
      </c>
      <c r="K15" s="61">
        <v>23.8</v>
      </c>
      <c r="L15" s="61">
        <v>23.8</v>
      </c>
      <c r="M15" s="50">
        <v>23.8</v>
      </c>
      <c r="N15" s="50">
        <v>23.8</v>
      </c>
      <c r="O15" s="50">
        <v>23.8</v>
      </c>
      <c r="P15" s="50">
        <v>23.8</v>
      </c>
      <c r="Q15" s="50">
        <v>23.8</v>
      </c>
      <c r="R15" s="50">
        <v>23.8</v>
      </c>
      <c r="S15" s="50">
        <v>23.8</v>
      </c>
      <c r="T15" s="50">
        <v>23.8</v>
      </c>
      <c r="U15" s="50">
        <v>23.8</v>
      </c>
      <c r="V15" s="50">
        <v>23.8</v>
      </c>
      <c r="W15" s="50">
        <v>23.8</v>
      </c>
      <c r="X15" s="60">
        <v>23.8</v>
      </c>
      <c r="Y15" s="60">
        <v>23.8</v>
      </c>
      <c r="Z15" s="60">
        <v>23.8</v>
      </c>
      <c r="AA15" s="60">
        <v>23.8</v>
      </c>
      <c r="AB15" s="60">
        <v>23.8</v>
      </c>
      <c r="AC15" s="60">
        <v>23.8</v>
      </c>
      <c r="AD15" s="60">
        <v>23.8</v>
      </c>
      <c r="AE15" s="60">
        <v>23.8</v>
      </c>
      <c r="AF15" s="60">
        <v>23.8</v>
      </c>
      <c r="AG15" s="62">
        <v>45</v>
      </c>
      <c r="AH15" s="54">
        <f t="shared" si="2"/>
        <v>23.8</v>
      </c>
      <c r="AI15" s="55">
        <f t="shared" si="3"/>
        <v>22.8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11.5</v>
      </c>
      <c r="C19" s="49">
        <v>11.5</v>
      </c>
      <c r="D19" s="49">
        <v>11.2</v>
      </c>
      <c r="E19" s="49">
        <v>11.2</v>
      </c>
      <c r="F19" s="49">
        <v>11.2</v>
      </c>
      <c r="G19" s="49">
        <v>11.2</v>
      </c>
      <c r="H19" s="49">
        <v>11.2</v>
      </c>
      <c r="I19" s="49">
        <v>11.2</v>
      </c>
      <c r="J19" s="49">
        <v>11.2</v>
      </c>
      <c r="K19" s="49">
        <v>11.2</v>
      </c>
      <c r="L19" s="49">
        <v>11.2</v>
      </c>
      <c r="M19" s="50">
        <v>11.2</v>
      </c>
      <c r="N19" s="50">
        <v>11.2</v>
      </c>
      <c r="O19" s="50">
        <v>11.2</v>
      </c>
      <c r="P19" s="50">
        <v>3</v>
      </c>
      <c r="Q19" s="50">
        <v>3</v>
      </c>
      <c r="R19" s="50">
        <v>3</v>
      </c>
      <c r="S19" s="50">
        <v>3</v>
      </c>
      <c r="T19" s="50">
        <v>3</v>
      </c>
      <c r="U19" s="50">
        <v>3</v>
      </c>
      <c r="V19" s="50">
        <v>3</v>
      </c>
      <c r="W19" s="50">
        <v>3</v>
      </c>
      <c r="X19" s="50">
        <v>3</v>
      </c>
      <c r="Y19" s="50">
        <v>3</v>
      </c>
      <c r="Z19" s="50">
        <v>3</v>
      </c>
      <c r="AA19" s="50">
        <v>3</v>
      </c>
      <c r="AB19" s="50">
        <v>3</v>
      </c>
      <c r="AC19" s="50">
        <v>3</v>
      </c>
      <c r="AD19" s="50">
        <v>3</v>
      </c>
      <c r="AE19" s="50">
        <v>3</v>
      </c>
      <c r="AF19" s="50">
        <v>3</v>
      </c>
      <c r="AG19" s="59">
        <v>30</v>
      </c>
      <c r="AH19" s="54">
        <f t="shared" si="2"/>
        <v>11.5</v>
      </c>
      <c r="AI19" s="55">
        <f t="shared" si="3"/>
        <v>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14.9</v>
      </c>
      <c r="C22" s="49">
        <v>14.9</v>
      </c>
      <c r="D22" s="49">
        <v>14.9</v>
      </c>
      <c r="E22" s="49">
        <v>14.9</v>
      </c>
      <c r="F22" s="49">
        <v>14.9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49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13</v>
      </c>
      <c r="Y22" s="50">
        <v>13</v>
      </c>
      <c r="Z22" s="50">
        <v>13</v>
      </c>
      <c r="AA22" s="50">
        <v>13</v>
      </c>
      <c r="AB22" s="50">
        <v>13</v>
      </c>
      <c r="AC22" s="50">
        <v>13</v>
      </c>
      <c r="AD22" s="50">
        <v>13</v>
      </c>
      <c r="AE22" s="50">
        <v>13</v>
      </c>
      <c r="AF22" s="50">
        <v>13</v>
      </c>
      <c r="AG22" s="59">
        <v>25</v>
      </c>
      <c r="AH22" s="54">
        <f t="shared" si="2"/>
        <v>15</v>
      </c>
      <c r="AI22" s="55">
        <f t="shared" si="3"/>
        <v>11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14.1</v>
      </c>
      <c r="C24" s="49">
        <v>14.1</v>
      </c>
      <c r="D24" s="49">
        <v>13</v>
      </c>
      <c r="E24" s="49">
        <v>13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9">
        <v>25</v>
      </c>
      <c r="AH24" s="54">
        <f t="shared" si="2"/>
        <v>14.1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9.5</v>
      </c>
      <c r="C26" s="49">
        <v>9.5</v>
      </c>
      <c r="D26" s="49">
        <v>9.5</v>
      </c>
      <c r="E26" s="49">
        <v>9.5</v>
      </c>
      <c r="F26" s="49">
        <v>9.5</v>
      </c>
      <c r="G26" s="49">
        <v>9.5</v>
      </c>
      <c r="H26" s="49">
        <v>9.5</v>
      </c>
      <c r="I26" s="49">
        <v>9.5</v>
      </c>
      <c r="J26" s="49">
        <v>9.5</v>
      </c>
      <c r="K26" s="49">
        <v>9.5</v>
      </c>
      <c r="L26" s="49">
        <v>9.5</v>
      </c>
      <c r="M26" s="50">
        <v>9.5</v>
      </c>
      <c r="N26" s="50">
        <v>9.5</v>
      </c>
      <c r="O26" s="50">
        <v>9.5</v>
      </c>
      <c r="P26" s="50">
        <v>9.5</v>
      </c>
      <c r="Q26" s="50">
        <v>9.5</v>
      </c>
      <c r="R26" s="50">
        <v>9.5</v>
      </c>
      <c r="S26" s="50">
        <v>9.5</v>
      </c>
      <c r="T26" s="50">
        <v>9.5</v>
      </c>
      <c r="U26" s="50">
        <v>9.5</v>
      </c>
      <c r="V26" s="50">
        <v>9.5</v>
      </c>
      <c r="W26" s="50">
        <v>9.5</v>
      </c>
      <c r="X26" s="50">
        <v>9.5</v>
      </c>
      <c r="Y26" s="50">
        <v>9.5</v>
      </c>
      <c r="Z26" s="50">
        <v>9.5</v>
      </c>
      <c r="AA26" s="50">
        <v>9.5</v>
      </c>
      <c r="AB26" s="50">
        <v>9.5</v>
      </c>
      <c r="AC26" s="50">
        <v>9.5</v>
      </c>
      <c r="AD26" s="50">
        <v>9.5</v>
      </c>
      <c r="AE26" s="50">
        <v>9.5</v>
      </c>
      <c r="AF26" s="50">
        <v>9.5</v>
      </c>
      <c r="AG26" s="59">
        <v>20</v>
      </c>
      <c r="AH26" s="54">
        <f t="shared" si="2"/>
        <v>9.5</v>
      </c>
      <c r="AI26" s="55">
        <f t="shared" si="3"/>
        <v>9.5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19.1+35.8</f>
        <v>54.9</v>
      </c>
      <c r="C37" s="61">
        <f>19.1+35.9</f>
        <v>55</v>
      </c>
      <c r="D37" s="61">
        <f>19.1+35.6</f>
        <v>54.7</v>
      </c>
      <c r="E37" s="61">
        <v>55.3</v>
      </c>
      <c r="F37" s="61">
        <v>56.1</v>
      </c>
      <c r="G37" s="61">
        <v>56.1</v>
      </c>
      <c r="H37" s="61">
        <v>54.1</v>
      </c>
      <c r="I37" s="61">
        <v>54.1</v>
      </c>
      <c r="J37" s="61">
        <v>54.1</v>
      </c>
      <c r="K37" s="61">
        <v>54.1</v>
      </c>
      <c r="L37" s="61">
        <v>54.1</v>
      </c>
      <c r="M37" s="70">
        <f>30.7+17.1</f>
        <v>47.8</v>
      </c>
      <c r="N37" s="70">
        <f>30.7+17.1</f>
        <v>47.8</v>
      </c>
      <c r="O37" s="70">
        <f>30.7+17.1</f>
        <v>47.8</v>
      </c>
      <c r="P37" s="70">
        <f>19+36.4</f>
        <v>55.4</v>
      </c>
      <c r="Q37" s="70">
        <f>36.4+19.1</f>
        <v>55.5</v>
      </c>
      <c r="R37" s="70">
        <v>55.4</v>
      </c>
      <c r="S37" s="70">
        <v>55.4</v>
      </c>
      <c r="T37" s="70">
        <v>53.6</v>
      </c>
      <c r="U37" s="70">
        <v>54.2</v>
      </c>
      <c r="V37" s="70">
        <v>52.5</v>
      </c>
      <c r="W37" s="70">
        <v>49.9</v>
      </c>
      <c r="X37" s="70">
        <v>47.7</v>
      </c>
      <c r="Y37" s="70">
        <v>46</v>
      </c>
      <c r="Z37" s="70">
        <v>46</v>
      </c>
      <c r="AA37" s="70">
        <v>47.9</v>
      </c>
      <c r="AB37" s="70">
        <f>32+17</f>
        <v>49</v>
      </c>
      <c r="AC37" s="70">
        <f>32+17</f>
        <v>49</v>
      </c>
      <c r="AD37" s="70">
        <f>32+17</f>
        <v>49</v>
      </c>
      <c r="AE37" s="70">
        <f>32+17</f>
        <v>49</v>
      </c>
      <c r="AF37" s="70">
        <f>32+17</f>
        <v>49</v>
      </c>
      <c r="AG37" s="67">
        <v>240</v>
      </c>
      <c r="AH37" s="54">
        <f t="shared" si="2"/>
        <v>56.1</v>
      </c>
      <c r="AI37" s="55">
        <f t="shared" si="3"/>
        <v>46</v>
      </c>
      <c r="AK37" s="56"/>
    </row>
    <row r="38" spans="1:88" ht="15.75" thickBot="1" x14ac:dyDescent="0.3">
      <c r="A38" s="71" t="s">
        <v>46</v>
      </c>
      <c r="B38" s="72">
        <f>SUM(B11:B36)</f>
        <v>469.6</v>
      </c>
      <c r="C38" s="72">
        <f t="shared" ref="C38:AE38" si="4">SUM(C11:C36)</f>
        <v>469.6</v>
      </c>
      <c r="D38" s="72">
        <f t="shared" si="4"/>
        <v>468.4</v>
      </c>
      <c r="E38" s="72">
        <f t="shared" si="4"/>
        <v>493.4</v>
      </c>
      <c r="F38" s="72">
        <f t="shared" si="4"/>
        <v>457.4</v>
      </c>
      <c r="G38" s="72">
        <f t="shared" si="4"/>
        <v>458.1</v>
      </c>
      <c r="H38" s="72">
        <f t="shared" si="4"/>
        <v>508.1</v>
      </c>
      <c r="I38" s="72">
        <f t="shared" si="4"/>
        <v>548.1</v>
      </c>
      <c r="J38" s="72">
        <f t="shared" si="4"/>
        <v>568.1</v>
      </c>
      <c r="K38" s="72">
        <f t="shared" si="4"/>
        <v>828.10000000000014</v>
      </c>
      <c r="L38" s="72">
        <f t="shared" si="4"/>
        <v>818.10000000000014</v>
      </c>
      <c r="M38" s="72">
        <f t="shared" si="4"/>
        <v>786.10000000000014</v>
      </c>
      <c r="N38" s="72">
        <f t="shared" si="4"/>
        <v>756.1</v>
      </c>
      <c r="O38" s="72">
        <f t="shared" si="4"/>
        <v>526.1</v>
      </c>
      <c r="P38" s="72">
        <f t="shared" si="4"/>
        <v>476.7</v>
      </c>
      <c r="Q38" s="72">
        <f t="shared" si="4"/>
        <v>456.7</v>
      </c>
      <c r="R38" s="72">
        <f t="shared" si="4"/>
        <v>456.7</v>
      </c>
      <c r="S38" s="72">
        <f t="shared" si="4"/>
        <v>462.7</v>
      </c>
      <c r="T38" s="72">
        <f t="shared" si="4"/>
        <v>452.7</v>
      </c>
      <c r="U38" s="72">
        <f t="shared" si="4"/>
        <v>462.7</v>
      </c>
      <c r="V38" s="72">
        <f t="shared" si="4"/>
        <v>582.70000000000005</v>
      </c>
      <c r="W38" s="72">
        <f t="shared" si="4"/>
        <v>702.7</v>
      </c>
      <c r="X38" s="72">
        <f t="shared" si="4"/>
        <v>834.7</v>
      </c>
      <c r="Y38" s="72">
        <f t="shared" si="4"/>
        <v>799.7</v>
      </c>
      <c r="Z38" s="72">
        <f t="shared" si="4"/>
        <v>674.7</v>
      </c>
      <c r="AA38" s="72">
        <f t="shared" si="4"/>
        <v>674.7</v>
      </c>
      <c r="AB38" s="72">
        <f t="shared" si="4"/>
        <v>584.70000000000005</v>
      </c>
      <c r="AC38" s="72">
        <f t="shared" si="4"/>
        <v>564.70000000000005</v>
      </c>
      <c r="AD38" s="72">
        <f t="shared" si="4"/>
        <v>561.70000000000005</v>
      </c>
      <c r="AE38" s="72">
        <f t="shared" si="4"/>
        <v>514.70000000000005</v>
      </c>
      <c r="AF38" s="72">
        <f>SUM(AF11:AF36)</f>
        <v>514.70000000000005</v>
      </c>
      <c r="AG38" s="67">
        <f>SUM(AG11:AG37)</f>
        <v>1492.8299999999997</v>
      </c>
      <c r="AH38" s="54">
        <f t="shared" ref="AH38:AH75" si="5">MAX(B38:AF38)</f>
        <v>834.7</v>
      </c>
      <c r="AI38" s="55">
        <f t="shared" ref="AI38:AI75" si="6">MIN(B38:AF38)</f>
        <v>452.7</v>
      </c>
      <c r="AK38" s="56"/>
    </row>
    <row r="39" spans="1:88" x14ac:dyDescent="0.25">
      <c r="A39" s="57" t="s">
        <v>47</v>
      </c>
      <c r="B39" s="49">
        <v>32.700000000000003</v>
      </c>
      <c r="C39" s="61">
        <v>32.799999999999997</v>
      </c>
      <c r="D39" s="61">
        <v>32.700000000000003</v>
      </c>
      <c r="E39" s="61">
        <v>0</v>
      </c>
      <c r="F39" s="61">
        <v>0</v>
      </c>
      <c r="G39" s="61">
        <v>0</v>
      </c>
      <c r="H39" s="61">
        <v>0</v>
      </c>
      <c r="I39" s="61">
        <v>31</v>
      </c>
      <c r="J39" s="61">
        <v>62</v>
      </c>
      <c r="K39" s="61">
        <v>97</v>
      </c>
      <c r="L39" s="61">
        <v>97</v>
      </c>
      <c r="M39" s="61">
        <v>97</v>
      </c>
      <c r="N39" s="50">
        <v>145</v>
      </c>
      <c r="O39" s="50">
        <v>135</v>
      </c>
      <c r="P39" s="50">
        <v>131.6</v>
      </c>
      <c r="Q39" s="50">
        <v>131.9</v>
      </c>
      <c r="R39" s="50">
        <v>131.6</v>
      </c>
      <c r="S39" s="50">
        <v>116.7</v>
      </c>
      <c r="T39" s="50">
        <v>81.099999999999994</v>
      </c>
      <c r="U39" s="50">
        <v>81.2</v>
      </c>
      <c r="V39" s="50">
        <v>101.4</v>
      </c>
      <c r="W39" s="50">
        <v>131.6</v>
      </c>
      <c r="X39" s="50">
        <v>145.4</v>
      </c>
      <c r="Y39" s="50">
        <v>145</v>
      </c>
      <c r="Z39" s="50">
        <v>145</v>
      </c>
      <c r="AA39" s="50">
        <v>145</v>
      </c>
      <c r="AB39" s="50">
        <v>144</v>
      </c>
      <c r="AC39" s="50">
        <v>144</v>
      </c>
      <c r="AD39" s="50">
        <v>144</v>
      </c>
      <c r="AE39" s="50">
        <v>70</v>
      </c>
      <c r="AF39" s="49">
        <v>30</v>
      </c>
      <c r="AG39" s="62">
        <v>144</v>
      </c>
      <c r="AH39" s="54">
        <f t="shared" si="5"/>
        <v>145.4</v>
      </c>
      <c r="AI39" s="55">
        <f t="shared" si="6"/>
        <v>0</v>
      </c>
      <c r="AK39" s="56"/>
    </row>
    <row r="40" spans="1:88" x14ac:dyDescent="0.25">
      <c r="A40" s="66" t="s">
        <v>48</v>
      </c>
      <c r="B40" s="61">
        <v>24.9</v>
      </c>
      <c r="C40" s="61">
        <v>24.9</v>
      </c>
      <c r="D40" s="61">
        <v>22.7</v>
      </c>
      <c r="E40" s="61">
        <v>0</v>
      </c>
      <c r="F40" s="61">
        <v>0</v>
      </c>
      <c r="G40" s="61">
        <v>35</v>
      </c>
      <c r="H40" s="61">
        <v>24</v>
      </c>
      <c r="I40" s="61">
        <v>35</v>
      </c>
      <c r="J40" s="61">
        <v>60</v>
      </c>
      <c r="K40" s="61">
        <v>70</v>
      </c>
      <c r="L40" s="61">
        <v>70</v>
      </c>
      <c r="M40" s="61">
        <v>70</v>
      </c>
      <c r="N40" s="73">
        <v>69.400000000000006</v>
      </c>
      <c r="O40" s="73">
        <v>69</v>
      </c>
      <c r="P40" s="73">
        <v>69.599999999999994</v>
      </c>
      <c r="Q40" s="73">
        <v>60.4</v>
      </c>
      <c r="R40" s="73">
        <v>45.7</v>
      </c>
      <c r="S40" s="73">
        <v>45.1</v>
      </c>
      <c r="T40" s="73">
        <v>24.8</v>
      </c>
      <c r="U40" s="73">
        <v>34.5</v>
      </c>
      <c r="V40" s="73">
        <v>60.3</v>
      </c>
      <c r="W40" s="73">
        <v>69.7</v>
      </c>
      <c r="X40" s="73">
        <v>69.7</v>
      </c>
      <c r="Y40" s="73">
        <v>70.2</v>
      </c>
      <c r="Z40" s="73">
        <v>70.2</v>
      </c>
      <c r="AA40" s="73">
        <v>70.2</v>
      </c>
      <c r="AB40" s="73">
        <v>70.400000000000006</v>
      </c>
      <c r="AC40" s="73">
        <v>45</v>
      </c>
      <c r="AD40" s="73">
        <v>46</v>
      </c>
      <c r="AE40" s="73">
        <v>35</v>
      </c>
      <c r="AF40" s="61">
        <v>26</v>
      </c>
      <c r="AG40" s="67">
        <v>70</v>
      </c>
      <c r="AH40" s="54">
        <f t="shared" si="5"/>
        <v>70.400000000000006</v>
      </c>
      <c r="AI40" s="55">
        <f t="shared" si="6"/>
        <v>0</v>
      </c>
      <c r="AK40" s="56"/>
    </row>
    <row r="41" spans="1:88" x14ac:dyDescent="0.25">
      <c r="A41" s="66" t="s">
        <v>49</v>
      </c>
      <c r="B41" s="61">
        <v>46</v>
      </c>
      <c r="C41" s="61">
        <v>46</v>
      </c>
      <c r="D41" s="61">
        <v>33</v>
      </c>
      <c r="E41" s="61">
        <v>33.4</v>
      </c>
      <c r="F41" s="61">
        <v>48</v>
      </c>
      <c r="G41" s="61">
        <v>22</v>
      </c>
      <c r="H41" s="61">
        <v>17</v>
      </c>
      <c r="I41" s="61">
        <v>23</v>
      </c>
      <c r="J41" s="61">
        <v>46</v>
      </c>
      <c r="K41" s="61">
        <v>66.400000000000006</v>
      </c>
      <c r="L41" s="61">
        <v>66.400000000000006</v>
      </c>
      <c r="M41" s="61">
        <v>66.400000000000006</v>
      </c>
      <c r="N41" s="73">
        <v>67</v>
      </c>
      <c r="O41" s="73">
        <v>59</v>
      </c>
      <c r="P41" s="73">
        <v>55.7</v>
      </c>
      <c r="Q41" s="73">
        <v>45.3</v>
      </c>
      <c r="R41" s="73">
        <v>45.7</v>
      </c>
      <c r="S41" s="73">
        <v>38.200000000000003</v>
      </c>
      <c r="T41" s="73">
        <v>38.6</v>
      </c>
      <c r="U41" s="73">
        <v>45.9</v>
      </c>
      <c r="V41" s="73">
        <v>46</v>
      </c>
      <c r="W41" s="73">
        <v>63.8</v>
      </c>
      <c r="X41" s="73">
        <v>66.7</v>
      </c>
      <c r="Y41" s="73">
        <v>67.3</v>
      </c>
      <c r="Z41" s="73">
        <v>67.3</v>
      </c>
      <c r="AA41" s="73">
        <v>67.3</v>
      </c>
      <c r="AB41" s="73">
        <v>66.599999999999994</v>
      </c>
      <c r="AC41" s="73">
        <v>66.7</v>
      </c>
      <c r="AD41" s="73">
        <v>66.599999999999994</v>
      </c>
      <c r="AE41" s="73">
        <v>70</v>
      </c>
      <c r="AF41" s="61">
        <v>34</v>
      </c>
      <c r="AG41" s="67">
        <v>69</v>
      </c>
      <c r="AH41" s="54">
        <f t="shared" si="5"/>
        <v>70</v>
      </c>
      <c r="AI41" s="55">
        <f t="shared" si="6"/>
        <v>17</v>
      </c>
      <c r="AK41" s="56"/>
    </row>
    <row r="42" spans="1:88" x14ac:dyDescent="0.25">
      <c r="A42" s="66" t="s">
        <v>50</v>
      </c>
      <c r="B42" s="61">
        <v>61.2</v>
      </c>
      <c r="C42" s="61">
        <v>61.2</v>
      </c>
      <c r="D42" s="61">
        <v>61.2</v>
      </c>
      <c r="E42" s="61">
        <v>61.2</v>
      </c>
      <c r="F42" s="61">
        <v>61.2</v>
      </c>
      <c r="G42" s="61">
        <v>61.2</v>
      </c>
      <c r="H42" s="61">
        <v>61.2</v>
      </c>
      <c r="I42" s="61">
        <v>61.2</v>
      </c>
      <c r="J42" s="61">
        <v>61.2</v>
      </c>
      <c r="K42" s="61">
        <v>61.2</v>
      </c>
      <c r="L42" s="61">
        <v>61.2</v>
      </c>
      <c r="M42" s="61">
        <v>61.2</v>
      </c>
      <c r="N42" s="61">
        <v>61.2</v>
      </c>
      <c r="O42" s="61">
        <v>61.2</v>
      </c>
      <c r="P42" s="73">
        <v>61.2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60.9</v>
      </c>
      <c r="AD42" s="73">
        <v>60.9</v>
      </c>
      <c r="AE42" s="73">
        <v>60.9</v>
      </c>
      <c r="AF42" s="73">
        <v>60.9</v>
      </c>
      <c r="AG42" s="67">
        <v>60</v>
      </c>
      <c r="AH42" s="54">
        <f t="shared" si="5"/>
        <v>61.2</v>
      </c>
      <c r="AI42" s="55">
        <f t="shared" si="6"/>
        <v>60.7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15</v>
      </c>
      <c r="I43" s="61">
        <v>26</v>
      </c>
      <c r="J43" s="61">
        <v>30</v>
      </c>
      <c r="K43" s="61">
        <v>30</v>
      </c>
      <c r="L43" s="61">
        <v>30</v>
      </c>
      <c r="M43" s="61">
        <v>30</v>
      </c>
      <c r="N43" s="61">
        <v>23.4</v>
      </c>
      <c r="O43" s="61">
        <v>23.4</v>
      </c>
      <c r="P43" s="50">
        <v>15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10</v>
      </c>
      <c r="X43" s="50">
        <v>25</v>
      </c>
      <c r="Y43" s="50">
        <v>30</v>
      </c>
      <c r="Z43" s="50">
        <v>30</v>
      </c>
      <c r="AA43" s="50">
        <v>23.6</v>
      </c>
      <c r="AB43" s="50">
        <v>23.6</v>
      </c>
      <c r="AC43" s="73">
        <v>24</v>
      </c>
      <c r="AD43" s="73">
        <v>24</v>
      </c>
      <c r="AE43" s="73">
        <v>10</v>
      </c>
      <c r="AF43" s="73">
        <v>15</v>
      </c>
      <c r="AG43" s="67">
        <v>30</v>
      </c>
      <c r="AH43" s="54">
        <f t="shared" si="5"/>
        <v>30</v>
      </c>
      <c r="AI43" s="55">
        <f t="shared" si="6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5"/>
        <v>0</v>
      </c>
      <c r="AI44" s="55">
        <f t="shared" si="6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5"/>
        <v>18</v>
      </c>
      <c r="AI45" s="55">
        <f t="shared" si="6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61">
        <v>3.2</v>
      </c>
      <c r="N46" s="61">
        <v>3.2</v>
      </c>
      <c r="O46" s="61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50">
        <v>3.2</v>
      </c>
      <c r="AG46" s="67">
        <v>15</v>
      </c>
      <c r="AH46" s="54">
        <f t="shared" si="5"/>
        <v>3.2</v>
      </c>
      <c r="AI46" s="55">
        <f t="shared" si="6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5"/>
        <v>13</v>
      </c>
      <c r="AI47" s="55">
        <f t="shared" si="6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61">
        <v>6.4</v>
      </c>
      <c r="D48" s="61">
        <v>6.4</v>
      </c>
      <c r="E48" s="61">
        <v>6.4</v>
      </c>
      <c r="F48" s="61">
        <v>6.4</v>
      </c>
      <c r="G48" s="61">
        <v>6.4</v>
      </c>
      <c r="H48" s="61">
        <v>6.4</v>
      </c>
      <c r="I48" s="61">
        <v>6.4</v>
      </c>
      <c r="J48" s="61">
        <v>6.4</v>
      </c>
      <c r="K48" s="61">
        <v>6.4</v>
      </c>
      <c r="L48" s="61">
        <v>6.4</v>
      </c>
      <c r="M48" s="61">
        <v>6.4</v>
      </c>
      <c r="N48" s="61">
        <v>6.4</v>
      </c>
      <c r="O48" s="61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5"/>
        <v>6.4</v>
      </c>
      <c r="AI48" s="55">
        <f t="shared" si="6"/>
        <v>6.4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61">
        <v>6.6</v>
      </c>
      <c r="N49" s="61">
        <v>6.6</v>
      </c>
      <c r="O49" s="61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50">
        <v>6.6</v>
      </c>
      <c r="AG49" s="67">
        <v>10.050000000000001</v>
      </c>
      <c r="AH49" s="54">
        <f t="shared" si="5"/>
        <v>6.6</v>
      </c>
      <c r="AI49" s="55">
        <f t="shared" si="6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61">
        <v>4.4000000000000004</v>
      </c>
      <c r="N50" s="61">
        <v>4.4000000000000004</v>
      </c>
      <c r="O50" s="61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50">
        <v>4.4000000000000004</v>
      </c>
      <c r="AG50" s="67">
        <v>6.2</v>
      </c>
      <c r="AH50" s="54">
        <f t="shared" si="5"/>
        <v>4.4000000000000004</v>
      </c>
      <c r="AI50" s="55">
        <f t="shared" si="6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5"/>
        <v>3.54</v>
      </c>
      <c r="AI51" s="55">
        <f t="shared" si="6"/>
        <v>3.54</v>
      </c>
      <c r="AK51" s="56"/>
    </row>
    <row r="52" spans="1:37" ht="15.75" thickBot="1" x14ac:dyDescent="0.3">
      <c r="A52" s="71" t="s">
        <v>60</v>
      </c>
      <c r="B52" s="72">
        <f>SUM(B39:B51)</f>
        <v>219.94</v>
      </c>
      <c r="C52" s="72">
        <f t="shared" ref="C52:AF52" si="8">SUM(C39:C51)</f>
        <v>220.03999999999996</v>
      </c>
      <c r="D52" s="72">
        <f t="shared" si="8"/>
        <v>204.74</v>
      </c>
      <c r="E52" s="72">
        <f t="shared" si="8"/>
        <v>149.74</v>
      </c>
      <c r="F52" s="72">
        <f t="shared" si="8"/>
        <v>174.33999999999997</v>
      </c>
      <c r="G52" s="72">
        <f t="shared" si="8"/>
        <v>183.33999999999997</v>
      </c>
      <c r="H52" s="72">
        <f t="shared" si="8"/>
        <v>172.33999999999997</v>
      </c>
      <c r="I52" s="72">
        <f t="shared" si="8"/>
        <v>231.33999999999997</v>
      </c>
      <c r="J52" s="72">
        <f t="shared" si="8"/>
        <v>314.33999999999997</v>
      </c>
      <c r="K52" s="72">
        <f t="shared" si="8"/>
        <v>379.74</v>
      </c>
      <c r="L52" s="72">
        <f t="shared" si="8"/>
        <v>379.74</v>
      </c>
      <c r="M52" s="72">
        <f t="shared" si="8"/>
        <v>379.74</v>
      </c>
      <c r="N52" s="72">
        <f t="shared" si="8"/>
        <v>421.13999999999993</v>
      </c>
      <c r="O52" s="72">
        <f t="shared" si="8"/>
        <v>402.73999999999995</v>
      </c>
      <c r="P52" s="72">
        <f t="shared" si="8"/>
        <v>388.23999999999995</v>
      </c>
      <c r="Q52" s="72">
        <f t="shared" si="8"/>
        <v>353.64</v>
      </c>
      <c r="R52" s="72">
        <f t="shared" si="8"/>
        <v>339.03999999999996</v>
      </c>
      <c r="S52" s="72">
        <f t="shared" si="8"/>
        <v>316.03999999999996</v>
      </c>
      <c r="T52" s="72">
        <f t="shared" si="8"/>
        <v>260.54000000000002</v>
      </c>
      <c r="U52" s="72">
        <f t="shared" si="8"/>
        <v>277.64</v>
      </c>
      <c r="V52" s="72">
        <f t="shared" si="8"/>
        <v>333.73999999999995</v>
      </c>
      <c r="W52" s="72">
        <f t="shared" si="8"/>
        <v>391.14</v>
      </c>
      <c r="X52" s="72">
        <f t="shared" si="8"/>
        <v>422.84</v>
      </c>
      <c r="Y52" s="72">
        <f t="shared" si="8"/>
        <v>428.34</v>
      </c>
      <c r="Z52" s="72">
        <f t="shared" si="8"/>
        <v>428.34</v>
      </c>
      <c r="AA52" s="72">
        <f t="shared" si="8"/>
        <v>421.94</v>
      </c>
      <c r="AB52" s="72">
        <f t="shared" si="8"/>
        <v>420.44</v>
      </c>
      <c r="AC52" s="72">
        <f t="shared" si="8"/>
        <v>395.73999999999995</v>
      </c>
      <c r="AD52" s="72">
        <f t="shared" si="8"/>
        <v>396.64</v>
      </c>
      <c r="AE52" s="72">
        <f t="shared" si="8"/>
        <v>301.03999999999996</v>
      </c>
      <c r="AF52" s="72">
        <f t="shared" si="8"/>
        <v>221.04</v>
      </c>
      <c r="AG52" s="78">
        <f>SUM(AG39:AG51)</f>
        <v>489.91</v>
      </c>
      <c r="AH52" s="54">
        <f t="shared" si="5"/>
        <v>428.34</v>
      </c>
      <c r="AI52" s="55">
        <f t="shared" si="6"/>
        <v>149.74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50</v>
      </c>
      <c r="M53" s="79">
        <v>30</v>
      </c>
      <c r="N53" s="79">
        <v>20</v>
      </c>
      <c r="O53" s="79">
        <v>20.5</v>
      </c>
      <c r="P53" s="79">
        <v>19.600000000000001</v>
      </c>
      <c r="Q53" s="50">
        <v>13.7</v>
      </c>
      <c r="R53" s="50">
        <v>14</v>
      </c>
      <c r="S53" s="50">
        <v>10.4</v>
      </c>
      <c r="T53" s="50">
        <v>20.5</v>
      </c>
      <c r="U53" s="50">
        <v>43.8</v>
      </c>
      <c r="V53" s="50">
        <v>39.6</v>
      </c>
      <c r="W53" s="50">
        <v>39.700000000000003</v>
      </c>
      <c r="X53" s="50">
        <v>51.5</v>
      </c>
      <c r="Y53" s="50">
        <v>49.6</v>
      </c>
      <c r="Z53" s="50">
        <v>44.9</v>
      </c>
      <c r="AA53" s="50">
        <v>40</v>
      </c>
      <c r="AB53" s="50">
        <v>29.5</v>
      </c>
      <c r="AC53" s="50">
        <v>10.7</v>
      </c>
      <c r="AD53" s="50">
        <v>10.7</v>
      </c>
      <c r="AE53" s="50">
        <v>0</v>
      </c>
      <c r="AF53" s="50">
        <v>0</v>
      </c>
      <c r="AG53" s="62">
        <v>60</v>
      </c>
      <c r="AH53" s="54">
        <f t="shared" si="5"/>
        <v>51.5</v>
      </c>
      <c r="AI53" s="55">
        <f t="shared" si="6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17.7</v>
      </c>
      <c r="M54" s="79">
        <v>15</v>
      </c>
      <c r="N54" s="79">
        <v>9.6</v>
      </c>
      <c r="O54" s="79">
        <v>5.2</v>
      </c>
      <c r="P54" s="79">
        <v>9.5</v>
      </c>
      <c r="Q54" s="73">
        <v>6.5</v>
      </c>
      <c r="R54" s="73">
        <v>6.7</v>
      </c>
      <c r="S54" s="50">
        <v>4.3</v>
      </c>
      <c r="T54" s="50">
        <v>9.4</v>
      </c>
      <c r="U54" s="50">
        <v>19.100000000000001</v>
      </c>
      <c r="V54" s="73">
        <v>16.899999999999999</v>
      </c>
      <c r="W54" s="73">
        <v>17.600000000000001</v>
      </c>
      <c r="X54" s="73">
        <v>23.6</v>
      </c>
      <c r="Y54" s="73">
        <v>22.2</v>
      </c>
      <c r="Z54" s="73">
        <v>19.399999999999999</v>
      </c>
      <c r="AA54" s="73">
        <v>17.600000000000001</v>
      </c>
      <c r="AB54" s="73">
        <v>12.6</v>
      </c>
      <c r="AC54" s="73">
        <v>6.7</v>
      </c>
      <c r="AD54" s="73">
        <v>6.7</v>
      </c>
      <c r="AE54" s="73">
        <v>0</v>
      </c>
      <c r="AF54" s="73">
        <v>0</v>
      </c>
      <c r="AG54" s="67">
        <v>32</v>
      </c>
      <c r="AH54" s="54">
        <f t="shared" si="5"/>
        <v>23.6</v>
      </c>
      <c r="AI54" s="55">
        <f t="shared" si="6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7</v>
      </c>
      <c r="M55" s="81">
        <v>7</v>
      </c>
      <c r="N55" s="81">
        <v>4</v>
      </c>
      <c r="O55" s="81">
        <v>2</v>
      </c>
      <c r="P55" s="81">
        <v>3.4</v>
      </c>
      <c r="Q55" s="80">
        <v>2.2999999999999998</v>
      </c>
      <c r="R55" s="80">
        <v>2.4</v>
      </c>
      <c r="S55" s="50">
        <v>1.6</v>
      </c>
      <c r="T55" s="50">
        <v>3.4</v>
      </c>
      <c r="U55" s="50">
        <v>7</v>
      </c>
      <c r="V55" s="80">
        <v>6.2</v>
      </c>
      <c r="W55" s="80">
        <v>6.4</v>
      </c>
      <c r="X55" s="80">
        <v>8.6</v>
      </c>
      <c r="Y55" s="80">
        <v>8.1</v>
      </c>
      <c r="Z55" s="80">
        <v>7.1</v>
      </c>
      <c r="AA55" s="80">
        <v>6.4</v>
      </c>
      <c r="AB55" s="80">
        <v>4.5999999999999996</v>
      </c>
      <c r="AC55" s="80">
        <v>2.4</v>
      </c>
      <c r="AD55" s="80">
        <v>2.4</v>
      </c>
      <c r="AE55" s="80">
        <v>0</v>
      </c>
      <c r="AF55" s="80">
        <v>0</v>
      </c>
      <c r="AG55" s="82">
        <v>14</v>
      </c>
      <c r="AH55" s="54">
        <f t="shared" si="5"/>
        <v>8.6</v>
      </c>
      <c r="AI55" s="55">
        <f t="shared" si="6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9">SUM(D53:D55)</f>
        <v>0</v>
      </c>
      <c r="E56" s="72">
        <f t="shared" si="9"/>
        <v>0</v>
      </c>
      <c r="F56" s="72">
        <f t="shared" si="9"/>
        <v>0</v>
      </c>
      <c r="G56" s="72">
        <f t="shared" si="9"/>
        <v>0</v>
      </c>
      <c r="H56" s="72">
        <f t="shared" si="9"/>
        <v>0</v>
      </c>
      <c r="I56" s="72">
        <f t="shared" si="9"/>
        <v>0</v>
      </c>
      <c r="J56" s="72">
        <f t="shared" si="9"/>
        <v>0</v>
      </c>
      <c r="K56" s="72">
        <f t="shared" si="9"/>
        <v>0</v>
      </c>
      <c r="L56" s="72">
        <f t="shared" si="9"/>
        <v>74.7</v>
      </c>
      <c r="M56" s="72">
        <f t="shared" si="9"/>
        <v>52</v>
      </c>
      <c r="N56" s="72">
        <f t="shared" si="9"/>
        <v>33.6</v>
      </c>
      <c r="O56" s="72">
        <f t="shared" si="9"/>
        <v>27.7</v>
      </c>
      <c r="P56" s="72">
        <f t="shared" si="9"/>
        <v>32.5</v>
      </c>
      <c r="Q56" s="72">
        <f t="shared" si="9"/>
        <v>22.5</v>
      </c>
      <c r="R56" s="72">
        <f t="shared" si="9"/>
        <v>23.099999999999998</v>
      </c>
      <c r="S56" s="72">
        <f t="shared" si="9"/>
        <v>16.3</v>
      </c>
      <c r="T56" s="72">
        <f t="shared" si="9"/>
        <v>33.299999999999997</v>
      </c>
      <c r="U56" s="72">
        <f t="shared" si="9"/>
        <v>69.900000000000006</v>
      </c>
      <c r="V56" s="72">
        <f t="shared" si="9"/>
        <v>62.7</v>
      </c>
      <c r="W56" s="72">
        <f t="shared" si="9"/>
        <v>63.7</v>
      </c>
      <c r="X56" s="72">
        <f t="shared" si="9"/>
        <v>83.699999999999989</v>
      </c>
      <c r="Y56" s="72">
        <f t="shared" si="9"/>
        <v>79.899999999999991</v>
      </c>
      <c r="Z56" s="72">
        <f t="shared" si="9"/>
        <v>71.399999999999991</v>
      </c>
      <c r="AA56" s="72">
        <f t="shared" si="9"/>
        <v>64</v>
      </c>
      <c r="AB56" s="72">
        <f t="shared" si="9"/>
        <v>46.7</v>
      </c>
      <c r="AC56" s="72">
        <f t="shared" si="9"/>
        <v>19.799999999999997</v>
      </c>
      <c r="AD56" s="72">
        <f t="shared" si="9"/>
        <v>19.799999999999997</v>
      </c>
      <c r="AE56" s="72">
        <f t="shared" si="9"/>
        <v>0</v>
      </c>
      <c r="AF56" s="72">
        <f t="shared" si="9"/>
        <v>0</v>
      </c>
      <c r="AG56" s="78">
        <f>SUM(AG53:AG55)</f>
        <v>106</v>
      </c>
      <c r="AH56" s="54">
        <f t="shared" si="5"/>
        <v>83.699999999999989</v>
      </c>
      <c r="AI56" s="55">
        <f t="shared" si="6"/>
        <v>0</v>
      </c>
      <c r="AK56" s="56"/>
    </row>
    <row r="57" spans="1:37" x14ac:dyDescent="0.25">
      <c r="A57" s="57" t="s">
        <v>65</v>
      </c>
      <c r="B57" s="50">
        <v>59.7</v>
      </c>
      <c r="C57" s="50">
        <v>61.7</v>
      </c>
      <c r="D57" s="50">
        <v>57.2</v>
      </c>
      <c r="E57" s="50">
        <v>61</v>
      </c>
      <c r="F57" s="50">
        <v>53</v>
      </c>
      <c r="G57" s="50">
        <v>57</v>
      </c>
      <c r="H57" s="50">
        <v>62</v>
      </c>
      <c r="I57" s="50">
        <v>61</v>
      </c>
      <c r="J57" s="50">
        <v>72</v>
      </c>
      <c r="K57" s="50">
        <v>70</v>
      </c>
      <c r="L57" s="50">
        <v>69</v>
      </c>
      <c r="M57" s="50">
        <v>66</v>
      </c>
      <c r="N57" s="50">
        <v>66.3</v>
      </c>
      <c r="O57" s="50">
        <v>66</v>
      </c>
      <c r="P57" s="50">
        <v>68.540000000000006</v>
      </c>
      <c r="Q57" s="50">
        <v>65.430000000000007</v>
      </c>
      <c r="R57" s="50">
        <v>52</v>
      </c>
      <c r="S57" s="50">
        <v>70.790000000000006</v>
      </c>
      <c r="T57" s="50">
        <v>69</v>
      </c>
      <c r="U57" s="50">
        <v>66</v>
      </c>
      <c r="V57" s="50">
        <v>65</v>
      </c>
      <c r="W57" s="50">
        <v>70.86</v>
      </c>
      <c r="X57" s="50">
        <v>69.5</v>
      </c>
      <c r="Y57" s="50">
        <v>73.680000000000007</v>
      </c>
      <c r="Z57" s="50">
        <v>70.3</v>
      </c>
      <c r="AA57" s="50">
        <v>71</v>
      </c>
      <c r="AB57" s="50">
        <v>63.58</v>
      </c>
      <c r="AC57" s="50">
        <v>61.3</v>
      </c>
      <c r="AD57" s="50">
        <v>61</v>
      </c>
      <c r="AE57" s="50">
        <v>59</v>
      </c>
      <c r="AF57" s="50">
        <v>63</v>
      </c>
      <c r="AG57" s="62"/>
      <c r="AH57" s="54">
        <f t="shared" si="5"/>
        <v>73.680000000000007</v>
      </c>
      <c r="AI57" s="55">
        <f t="shared" si="6"/>
        <v>52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66</v>
      </c>
      <c r="W58" s="50">
        <v>71.400000000000006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5"/>
        <v>71.400000000000006</v>
      </c>
      <c r="AI58" s="55">
        <f t="shared" si="6"/>
        <v>0</v>
      </c>
      <c r="AK58" s="56"/>
    </row>
    <row r="59" spans="1:37" x14ac:dyDescent="0.25">
      <c r="A59" s="66" t="s">
        <v>67</v>
      </c>
      <c r="B59" s="73">
        <v>109.2</v>
      </c>
      <c r="C59" s="73">
        <v>92.6</v>
      </c>
      <c r="D59" s="73">
        <v>101.1</v>
      </c>
      <c r="E59" s="73">
        <v>100</v>
      </c>
      <c r="F59" s="73">
        <v>134</v>
      </c>
      <c r="G59" s="73">
        <v>155</v>
      </c>
      <c r="H59" s="50">
        <v>175.8</v>
      </c>
      <c r="I59" s="50">
        <v>186.5</v>
      </c>
      <c r="J59" s="50">
        <v>185</v>
      </c>
      <c r="K59" s="50">
        <v>50</v>
      </c>
      <c r="L59" s="50">
        <v>40</v>
      </c>
      <c r="M59" s="73">
        <v>86</v>
      </c>
      <c r="N59" s="73">
        <v>80</v>
      </c>
      <c r="O59" s="73">
        <v>280</v>
      </c>
      <c r="P59" s="73">
        <v>298.7</v>
      </c>
      <c r="Q59" s="73">
        <v>319.2</v>
      </c>
      <c r="R59" s="73">
        <v>309</v>
      </c>
      <c r="S59" s="73">
        <v>345</v>
      </c>
      <c r="T59" s="73">
        <v>345</v>
      </c>
      <c r="U59" s="73">
        <v>324.3</v>
      </c>
      <c r="V59" s="73">
        <v>105</v>
      </c>
      <c r="W59" s="73">
        <v>33</v>
      </c>
      <c r="X59" s="84">
        <v>55.5</v>
      </c>
      <c r="Y59" s="84">
        <v>79.3</v>
      </c>
      <c r="Z59" s="84">
        <v>154.80000000000001</v>
      </c>
      <c r="AA59" s="84">
        <v>161.69999999999999</v>
      </c>
      <c r="AB59" s="73">
        <v>228</v>
      </c>
      <c r="AC59" s="73">
        <v>255</v>
      </c>
      <c r="AD59" s="73">
        <v>220</v>
      </c>
      <c r="AE59" s="73">
        <v>230</v>
      </c>
      <c r="AF59" s="73">
        <v>140</v>
      </c>
      <c r="AG59" s="85"/>
      <c r="AH59" s="54">
        <f t="shared" si="5"/>
        <v>345</v>
      </c>
      <c r="AI59" s="55">
        <f t="shared" si="6"/>
        <v>33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40</v>
      </c>
      <c r="M60" s="73">
        <v>43</v>
      </c>
      <c r="N60" s="73">
        <v>47</v>
      </c>
      <c r="O60" s="73">
        <v>47</v>
      </c>
      <c r="P60" s="73">
        <v>45</v>
      </c>
      <c r="Q60" s="73">
        <v>47</v>
      </c>
      <c r="R60" s="73">
        <v>43</v>
      </c>
      <c r="S60" s="73">
        <v>43</v>
      </c>
      <c r="T60" s="73">
        <v>43</v>
      </c>
      <c r="U60" s="73">
        <v>43</v>
      </c>
      <c r="V60" s="73">
        <v>43</v>
      </c>
      <c r="W60" s="73">
        <v>43</v>
      </c>
      <c r="X60" s="73">
        <v>45.6</v>
      </c>
      <c r="Y60" s="73">
        <v>45.6</v>
      </c>
      <c r="Z60" s="73">
        <v>45.6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5"/>
        <v>47</v>
      </c>
      <c r="AI60" s="55">
        <f t="shared" si="6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54.5</v>
      </c>
      <c r="V61" s="50">
        <v>82</v>
      </c>
      <c r="W61" s="50">
        <v>68.599999999999994</v>
      </c>
      <c r="X61" s="50">
        <v>82.1</v>
      </c>
      <c r="Y61" s="50">
        <v>73.599999999999994</v>
      </c>
      <c r="Z61" s="50">
        <v>66.8</v>
      </c>
      <c r="AA61" s="50">
        <v>79.400000000000006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5"/>
        <v>82.1</v>
      </c>
      <c r="AI61" s="55">
        <f t="shared" si="6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60">
        <v>0</v>
      </c>
      <c r="Q62" s="50">
        <v>0</v>
      </c>
      <c r="R62" s="50">
        <v>0</v>
      </c>
      <c r="S62" s="50">
        <v>0</v>
      </c>
      <c r="T62" s="50">
        <v>0</v>
      </c>
      <c r="U62" s="5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85"/>
      <c r="AH62" s="54">
        <f t="shared" si="5"/>
        <v>0</v>
      </c>
      <c r="AI62" s="55">
        <f t="shared" si="6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60">
        <v>0</v>
      </c>
      <c r="Q63" s="50">
        <v>0</v>
      </c>
      <c r="R63" s="50">
        <v>0</v>
      </c>
      <c r="S63" s="50">
        <v>0</v>
      </c>
      <c r="T63" s="50">
        <v>0</v>
      </c>
      <c r="U63" s="5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50">
        <v>0</v>
      </c>
      <c r="AC63" s="50">
        <v>0</v>
      </c>
      <c r="AD63" s="50">
        <v>0</v>
      </c>
      <c r="AE63" s="50">
        <v>0</v>
      </c>
      <c r="AF63" s="50">
        <v>0</v>
      </c>
      <c r="AG63" s="85"/>
      <c r="AH63" s="54">
        <f t="shared" si="5"/>
        <v>0</v>
      </c>
      <c r="AI63" s="55">
        <f t="shared" si="6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85"/>
      <c r="AH64" s="54">
        <f t="shared" si="5"/>
        <v>0</v>
      </c>
      <c r="AI64" s="55">
        <f t="shared" si="6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85"/>
      <c r="AH65" s="54">
        <f t="shared" si="5"/>
        <v>0</v>
      </c>
      <c r="AI65" s="55">
        <f t="shared" si="6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63">
        <v>0</v>
      </c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87"/>
      <c r="AH66" s="54">
        <f t="shared" si="5"/>
        <v>0</v>
      </c>
      <c r="AI66" s="55">
        <f t="shared" si="6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63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87"/>
      <c r="AH67" s="54">
        <f t="shared" si="5"/>
        <v>0</v>
      </c>
      <c r="AI67" s="55">
        <f t="shared" si="6"/>
        <v>0</v>
      </c>
      <c r="AK67" s="56"/>
    </row>
    <row r="68" spans="1:88" ht="15.75" thickBot="1" x14ac:dyDescent="0.3">
      <c r="A68" s="71" t="s">
        <v>76</v>
      </c>
      <c r="B68" s="72">
        <f>SUM(B57:B67)</f>
        <v>168.9</v>
      </c>
      <c r="C68" s="72">
        <f>SUM(C57:C67)</f>
        <v>154.30000000000001</v>
      </c>
      <c r="D68" s="72">
        <f t="shared" ref="D68:AF68" si="10">SUM(D57:D67)</f>
        <v>158.30000000000001</v>
      </c>
      <c r="E68" s="72">
        <f t="shared" si="10"/>
        <v>161</v>
      </c>
      <c r="F68" s="72">
        <f t="shared" si="10"/>
        <v>187</v>
      </c>
      <c r="G68" s="72">
        <f t="shared" si="10"/>
        <v>212</v>
      </c>
      <c r="H68" s="72">
        <f t="shared" si="10"/>
        <v>237.8</v>
      </c>
      <c r="I68" s="72">
        <f t="shared" si="10"/>
        <v>247.5</v>
      </c>
      <c r="J68" s="72">
        <f t="shared" si="10"/>
        <v>257</v>
      </c>
      <c r="K68" s="72">
        <f t="shared" si="10"/>
        <v>120</v>
      </c>
      <c r="L68" s="72">
        <f t="shared" si="10"/>
        <v>149</v>
      </c>
      <c r="M68" s="72">
        <f t="shared" si="10"/>
        <v>195</v>
      </c>
      <c r="N68" s="72">
        <f t="shared" si="10"/>
        <v>193.3</v>
      </c>
      <c r="O68" s="72">
        <f t="shared" si="10"/>
        <v>393</v>
      </c>
      <c r="P68" s="72">
        <f t="shared" si="10"/>
        <v>412.24</v>
      </c>
      <c r="Q68" s="72">
        <f t="shared" si="10"/>
        <v>431.63</v>
      </c>
      <c r="R68" s="72">
        <f t="shared" si="10"/>
        <v>404</v>
      </c>
      <c r="S68" s="72">
        <f t="shared" si="10"/>
        <v>458.79</v>
      </c>
      <c r="T68" s="72">
        <f t="shared" si="10"/>
        <v>457</v>
      </c>
      <c r="U68" s="72">
        <f t="shared" si="10"/>
        <v>487.8</v>
      </c>
      <c r="V68" s="72">
        <f t="shared" si="10"/>
        <v>361</v>
      </c>
      <c r="W68" s="72">
        <f t="shared" si="10"/>
        <v>286.86</v>
      </c>
      <c r="X68" s="72">
        <f t="shared" si="10"/>
        <v>252.7</v>
      </c>
      <c r="Y68" s="72">
        <f t="shared" si="10"/>
        <v>272.18</v>
      </c>
      <c r="Z68" s="72">
        <f t="shared" si="10"/>
        <v>337.50000000000006</v>
      </c>
      <c r="AA68" s="72">
        <f t="shared" si="10"/>
        <v>312.10000000000002</v>
      </c>
      <c r="AB68" s="72">
        <f t="shared" si="10"/>
        <v>291.58</v>
      </c>
      <c r="AC68" s="72">
        <f t="shared" si="10"/>
        <v>316.3</v>
      </c>
      <c r="AD68" s="72">
        <f t="shared" si="10"/>
        <v>281</v>
      </c>
      <c r="AE68" s="72">
        <f t="shared" si="10"/>
        <v>289</v>
      </c>
      <c r="AF68" s="72">
        <f t="shared" si="10"/>
        <v>203</v>
      </c>
      <c r="AG68" s="78">
        <f>SUM(AG57:AG67)</f>
        <v>0</v>
      </c>
      <c r="AH68" s="54">
        <f t="shared" si="5"/>
        <v>487.8</v>
      </c>
      <c r="AI68" s="55">
        <f t="shared" si="6"/>
        <v>120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5"/>
        <v>0</v>
      </c>
      <c r="AI69" s="55">
        <f t="shared" si="6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5"/>
        <v>0</v>
      </c>
      <c r="AI70" s="55">
        <f t="shared" si="6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5"/>
        <v>0</v>
      </c>
      <c r="AI71" s="55">
        <f t="shared" si="6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1">SUM(D69:D71)</f>
        <v>0</v>
      </c>
      <c r="E72" s="72">
        <f t="shared" si="11"/>
        <v>0</v>
      </c>
      <c r="F72" s="72">
        <f t="shared" si="11"/>
        <v>0</v>
      </c>
      <c r="G72" s="72">
        <f t="shared" si="11"/>
        <v>0</v>
      </c>
      <c r="H72" s="72">
        <f t="shared" si="11"/>
        <v>0</v>
      </c>
      <c r="I72" s="72">
        <f t="shared" si="11"/>
        <v>0</v>
      </c>
      <c r="J72" s="72">
        <f t="shared" si="11"/>
        <v>0</v>
      </c>
      <c r="K72" s="72">
        <f t="shared" si="11"/>
        <v>0</v>
      </c>
      <c r="L72" s="72">
        <f t="shared" si="11"/>
        <v>0</v>
      </c>
      <c r="M72" s="72">
        <f t="shared" si="11"/>
        <v>0</v>
      </c>
      <c r="N72" s="72">
        <f t="shared" si="11"/>
        <v>0</v>
      </c>
      <c r="O72" s="72">
        <f t="shared" si="11"/>
        <v>0</v>
      </c>
      <c r="P72" s="72">
        <f t="shared" si="11"/>
        <v>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2">
        <f t="shared" si="11"/>
        <v>0</v>
      </c>
      <c r="U72" s="72">
        <f t="shared" si="11"/>
        <v>0</v>
      </c>
      <c r="V72" s="72">
        <f t="shared" si="11"/>
        <v>0</v>
      </c>
      <c r="W72" s="72">
        <f t="shared" si="11"/>
        <v>0</v>
      </c>
      <c r="X72" s="72">
        <f t="shared" si="11"/>
        <v>0</v>
      </c>
      <c r="Y72" s="72">
        <f t="shared" si="11"/>
        <v>0</v>
      </c>
      <c r="Z72" s="72">
        <f t="shared" si="11"/>
        <v>0</v>
      </c>
      <c r="AA72" s="72">
        <f t="shared" si="11"/>
        <v>0</v>
      </c>
      <c r="AB72" s="72">
        <f t="shared" si="11"/>
        <v>0</v>
      </c>
      <c r="AC72" s="72">
        <f t="shared" si="11"/>
        <v>0</v>
      </c>
      <c r="AD72" s="72">
        <f t="shared" si="11"/>
        <v>0</v>
      </c>
      <c r="AE72" s="72">
        <f t="shared" si="11"/>
        <v>0</v>
      </c>
      <c r="AF72" s="72">
        <f t="shared" si="11"/>
        <v>0</v>
      </c>
      <c r="AG72" s="78">
        <f>SUM(AG69:AG71)</f>
        <v>55.4</v>
      </c>
      <c r="AH72" s="54">
        <f t="shared" si="5"/>
        <v>0</v>
      </c>
      <c r="AI72" s="55">
        <f t="shared" si="6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858.44</v>
      </c>
      <c r="C73" s="89">
        <f>C68+C56+C52+C38+C72</f>
        <v>843.94</v>
      </c>
      <c r="D73" s="89">
        <f t="shared" ref="D73:AG73" si="12">D68+D56+D52+D38+D72</f>
        <v>831.44</v>
      </c>
      <c r="E73" s="89">
        <f t="shared" si="12"/>
        <v>804.14</v>
      </c>
      <c r="F73" s="89">
        <f t="shared" si="12"/>
        <v>818.74</v>
      </c>
      <c r="G73" s="89">
        <f t="shared" si="12"/>
        <v>853.44</v>
      </c>
      <c r="H73" s="89">
        <f>H68+H56+H52+H38+H72</f>
        <v>918.24</v>
      </c>
      <c r="I73" s="89">
        <f t="shared" si="12"/>
        <v>1026.94</v>
      </c>
      <c r="J73" s="89">
        <f t="shared" si="12"/>
        <v>1139.44</v>
      </c>
      <c r="K73" s="89">
        <f t="shared" si="12"/>
        <v>1327.8400000000001</v>
      </c>
      <c r="L73" s="89">
        <f t="shared" si="12"/>
        <v>1421.5400000000002</v>
      </c>
      <c r="M73" s="89">
        <f t="shared" si="12"/>
        <v>1412.8400000000001</v>
      </c>
      <c r="N73" s="89">
        <f t="shared" si="12"/>
        <v>1404.1399999999999</v>
      </c>
      <c r="O73" s="89">
        <f t="shared" si="12"/>
        <v>1349.54</v>
      </c>
      <c r="P73" s="89">
        <f t="shared" si="12"/>
        <v>1309.68</v>
      </c>
      <c r="Q73" s="89">
        <f t="shared" si="12"/>
        <v>1264.47</v>
      </c>
      <c r="R73" s="89">
        <f t="shared" si="12"/>
        <v>1222.8399999999999</v>
      </c>
      <c r="S73" s="89">
        <f t="shared" si="12"/>
        <v>1253.83</v>
      </c>
      <c r="T73" s="89">
        <f t="shared" si="12"/>
        <v>1203.54</v>
      </c>
      <c r="U73" s="89">
        <f t="shared" si="12"/>
        <v>1298.04</v>
      </c>
      <c r="V73" s="89">
        <f t="shared" si="12"/>
        <v>1340.1399999999999</v>
      </c>
      <c r="W73" s="89">
        <f t="shared" si="12"/>
        <v>1444.4</v>
      </c>
      <c r="X73" s="89">
        <f t="shared" si="12"/>
        <v>1593.94</v>
      </c>
      <c r="Y73" s="89">
        <f t="shared" si="12"/>
        <v>1580.12</v>
      </c>
      <c r="Z73" s="89">
        <f t="shared" si="12"/>
        <v>1511.94</v>
      </c>
      <c r="AA73" s="89">
        <f t="shared" si="12"/>
        <v>1472.74</v>
      </c>
      <c r="AB73" s="89">
        <f t="shared" si="12"/>
        <v>1343.42</v>
      </c>
      <c r="AC73" s="89">
        <f t="shared" si="12"/>
        <v>1296.54</v>
      </c>
      <c r="AD73" s="89">
        <f t="shared" si="12"/>
        <v>1259.1400000000001</v>
      </c>
      <c r="AE73" s="89">
        <f t="shared" si="12"/>
        <v>1104.74</v>
      </c>
      <c r="AF73" s="89">
        <f t="shared" si="12"/>
        <v>938.74</v>
      </c>
      <c r="AG73" s="89">
        <f t="shared" si="12"/>
        <v>2144.14</v>
      </c>
      <c r="AH73" s="54">
        <f t="shared" si="5"/>
        <v>1593.94</v>
      </c>
      <c r="AI73" s="55">
        <f t="shared" si="6"/>
        <v>804.14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5"/>
        <v>0</v>
      </c>
      <c r="AI74" s="55">
        <f t="shared" si="6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858.44</v>
      </c>
      <c r="C75" s="89">
        <f>C73+C74</f>
        <v>843.94</v>
      </c>
      <c r="D75" s="89">
        <f t="shared" ref="D75:AF75" si="13">D72+D68+D56+D52+D38+D74</f>
        <v>831.44</v>
      </c>
      <c r="E75" s="89">
        <f t="shared" si="13"/>
        <v>804.14</v>
      </c>
      <c r="F75" s="89">
        <f t="shared" si="13"/>
        <v>818.74</v>
      </c>
      <c r="G75" s="89">
        <f t="shared" si="13"/>
        <v>853.44</v>
      </c>
      <c r="H75" s="89">
        <f t="shared" si="13"/>
        <v>918.24</v>
      </c>
      <c r="I75" s="89">
        <f t="shared" si="13"/>
        <v>1026.94</v>
      </c>
      <c r="J75" s="89">
        <f t="shared" si="13"/>
        <v>1139.44</v>
      </c>
      <c r="K75" s="89">
        <f t="shared" si="13"/>
        <v>1327.8400000000001</v>
      </c>
      <c r="L75" s="89">
        <f t="shared" si="13"/>
        <v>1421.5400000000002</v>
      </c>
      <c r="M75" s="89">
        <f t="shared" si="13"/>
        <v>1412.8400000000001</v>
      </c>
      <c r="N75" s="89">
        <f t="shared" si="13"/>
        <v>1404.1399999999999</v>
      </c>
      <c r="O75" s="89">
        <f t="shared" si="13"/>
        <v>1349.54</v>
      </c>
      <c r="P75" s="89">
        <f t="shared" si="13"/>
        <v>1309.68</v>
      </c>
      <c r="Q75" s="89">
        <f t="shared" si="13"/>
        <v>1264.47</v>
      </c>
      <c r="R75" s="89">
        <f t="shared" si="13"/>
        <v>1222.8399999999999</v>
      </c>
      <c r="S75" s="89">
        <f t="shared" si="13"/>
        <v>1253.83</v>
      </c>
      <c r="T75" s="89">
        <f t="shared" si="13"/>
        <v>1203.54</v>
      </c>
      <c r="U75" s="89">
        <f t="shared" si="13"/>
        <v>1298.04</v>
      </c>
      <c r="V75" s="89">
        <f t="shared" si="13"/>
        <v>1340.1399999999999</v>
      </c>
      <c r="W75" s="89">
        <f t="shared" si="13"/>
        <v>1444.4</v>
      </c>
      <c r="X75" s="89">
        <f t="shared" si="13"/>
        <v>1593.94</v>
      </c>
      <c r="Y75" s="89">
        <f t="shared" si="13"/>
        <v>1580.12</v>
      </c>
      <c r="Z75" s="89">
        <f t="shared" si="13"/>
        <v>1511.94</v>
      </c>
      <c r="AA75" s="89">
        <f t="shared" si="13"/>
        <v>1472.74</v>
      </c>
      <c r="AB75" s="89">
        <f t="shared" si="13"/>
        <v>1343.42</v>
      </c>
      <c r="AC75" s="89">
        <f t="shared" si="13"/>
        <v>1296.54</v>
      </c>
      <c r="AD75" s="89">
        <f t="shared" si="13"/>
        <v>1259.1400000000001</v>
      </c>
      <c r="AE75" s="89">
        <f t="shared" si="13"/>
        <v>1104.74</v>
      </c>
      <c r="AF75" s="89">
        <f t="shared" si="13"/>
        <v>938.74</v>
      </c>
      <c r="AG75" s="78">
        <f>AG72+AG68+AG56+AG52+AG38+AG74</f>
        <v>2144.14</v>
      </c>
      <c r="AH75" s="54">
        <f t="shared" si="5"/>
        <v>1593.94</v>
      </c>
      <c r="AI75" s="55">
        <f t="shared" si="6"/>
        <v>804.14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58">
        <f t="shared" si="14"/>
        <v>0</v>
      </c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58">
        <f t="shared" si="17"/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58">
        <f t="shared" si="18"/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58">
        <f t="shared" si="19"/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58">
        <f t="shared" si="20"/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2">
        <f t="shared" si="21"/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1716.88</v>
      </c>
      <c r="C83" s="72">
        <f t="shared" ref="C83:AG83" si="22">SUM(C70:C82)</f>
        <v>1687.88</v>
      </c>
      <c r="D83" s="72">
        <f t="shared" si="22"/>
        <v>1662.88</v>
      </c>
      <c r="E83" s="72">
        <f t="shared" si="22"/>
        <v>1608.28</v>
      </c>
      <c r="F83" s="72">
        <f t="shared" si="22"/>
        <v>1637.48</v>
      </c>
      <c r="G83" s="72">
        <f t="shared" si="22"/>
        <v>1706.88</v>
      </c>
      <c r="H83" s="72">
        <f t="shared" si="22"/>
        <v>1836.48</v>
      </c>
      <c r="I83" s="72">
        <f t="shared" si="22"/>
        <v>2053.88</v>
      </c>
      <c r="J83" s="72">
        <f t="shared" si="22"/>
        <v>2278.88</v>
      </c>
      <c r="K83" s="72">
        <f t="shared" si="22"/>
        <v>2655.6800000000003</v>
      </c>
      <c r="L83" s="72">
        <f t="shared" si="22"/>
        <v>2843.0800000000004</v>
      </c>
      <c r="M83" s="72">
        <f t="shared" si="22"/>
        <v>2825.6800000000003</v>
      </c>
      <c r="N83" s="72">
        <f t="shared" si="22"/>
        <v>2808.2799999999997</v>
      </c>
      <c r="O83" s="72">
        <f t="shared" si="22"/>
        <v>2699.08</v>
      </c>
      <c r="P83" s="72">
        <f t="shared" si="22"/>
        <v>2619.36</v>
      </c>
      <c r="Q83" s="72">
        <f t="shared" si="22"/>
        <v>2528.94</v>
      </c>
      <c r="R83" s="72">
        <f t="shared" si="22"/>
        <v>2445.6799999999998</v>
      </c>
      <c r="S83" s="72">
        <f t="shared" si="22"/>
        <v>2507.66</v>
      </c>
      <c r="T83" s="72">
        <f t="shared" si="22"/>
        <v>2407.08</v>
      </c>
      <c r="U83" s="72">
        <f t="shared" si="22"/>
        <v>2596.08</v>
      </c>
      <c r="V83" s="72">
        <f t="shared" si="22"/>
        <v>2680.2799999999997</v>
      </c>
      <c r="W83" s="72">
        <f t="shared" si="22"/>
        <v>2888.8</v>
      </c>
      <c r="X83" s="72">
        <f t="shared" si="22"/>
        <v>3187.88</v>
      </c>
      <c r="Y83" s="72">
        <f t="shared" si="22"/>
        <v>3160.24</v>
      </c>
      <c r="Z83" s="72">
        <f t="shared" si="22"/>
        <v>3023.88</v>
      </c>
      <c r="AA83" s="72">
        <f t="shared" si="22"/>
        <v>2945.48</v>
      </c>
      <c r="AB83" s="72">
        <f t="shared" si="22"/>
        <v>2686.84</v>
      </c>
      <c r="AC83" s="72">
        <f t="shared" si="22"/>
        <v>2593.08</v>
      </c>
      <c r="AD83" s="72">
        <f t="shared" si="22"/>
        <v>2518.2800000000002</v>
      </c>
      <c r="AE83" s="72">
        <f t="shared" si="22"/>
        <v>2209.48</v>
      </c>
      <c r="AF83" s="72">
        <f t="shared" si="22"/>
        <v>1877.48</v>
      </c>
      <c r="AG83" s="78">
        <f t="shared" si="22"/>
        <v>4360.08</v>
      </c>
      <c r="AH83" s="54">
        <f t="shared" si="15"/>
        <v>3187.88</v>
      </c>
      <c r="AI83" s="55">
        <f t="shared" si="16"/>
        <v>1608.28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50.012999999999998</v>
      </c>
      <c r="C84" s="95">
        <v>50.005000000000003</v>
      </c>
      <c r="D84" s="95">
        <v>50.006999999999998</v>
      </c>
      <c r="E84" s="95">
        <v>49.981000000000002</v>
      </c>
      <c r="F84" s="95">
        <v>50.048999999999999</v>
      </c>
      <c r="G84" s="95">
        <v>49.978000000000002</v>
      </c>
      <c r="H84" s="95">
        <v>50.067999999999998</v>
      </c>
      <c r="I84" s="95">
        <v>50</v>
      </c>
      <c r="J84" s="95">
        <v>50</v>
      </c>
      <c r="K84" s="95">
        <v>49.948</v>
      </c>
      <c r="L84" s="95">
        <v>49.996000000000002</v>
      </c>
      <c r="M84" s="95">
        <v>49.941000000000003</v>
      </c>
      <c r="N84" s="95">
        <v>49.918999999999997</v>
      </c>
      <c r="O84" s="95">
        <v>50.015999999999998</v>
      </c>
      <c r="P84" s="95">
        <v>49.99</v>
      </c>
      <c r="Q84" s="95">
        <v>49.99</v>
      </c>
      <c r="R84" s="95">
        <v>49.970999999999997</v>
      </c>
      <c r="S84" s="95">
        <v>50.024000000000001</v>
      </c>
      <c r="T84" s="95">
        <v>50.024000000000001</v>
      </c>
      <c r="U84" s="95">
        <v>50.012</v>
      </c>
      <c r="V84" s="95">
        <v>49.997999999999998</v>
      </c>
      <c r="W84" s="95">
        <v>50.121000000000002</v>
      </c>
      <c r="X84" s="95">
        <v>50.021000000000001</v>
      </c>
      <c r="Y84" s="95">
        <v>50.021999999999998</v>
      </c>
      <c r="Z84" s="95">
        <v>50.040999999999997</v>
      </c>
      <c r="AA84" s="95">
        <v>49.923999999999999</v>
      </c>
      <c r="AB84" s="95">
        <v>50.026000000000003</v>
      </c>
      <c r="AC84" s="95">
        <v>50.07</v>
      </c>
      <c r="AD84" s="95">
        <v>49.93</v>
      </c>
      <c r="AE84" s="95">
        <v>50.04</v>
      </c>
      <c r="AF84" s="95">
        <v>50.01</v>
      </c>
      <c r="AG84" s="96"/>
      <c r="AH84" s="54">
        <f t="shared" si="15"/>
        <v>50.121000000000002</v>
      </c>
      <c r="AI84" s="55">
        <f t="shared" si="16"/>
        <v>49.918999999999997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129.1</v>
      </c>
      <c r="C85" s="73">
        <v>128.4</v>
      </c>
      <c r="D85" s="73">
        <v>128.1</v>
      </c>
      <c r="E85" s="73">
        <v>128.1</v>
      </c>
      <c r="F85" s="73">
        <v>128.1</v>
      </c>
      <c r="G85" s="73">
        <v>128.1</v>
      </c>
      <c r="H85" s="73">
        <v>127.5</v>
      </c>
      <c r="I85" s="73">
        <v>124.6</v>
      </c>
      <c r="J85" s="73">
        <v>125</v>
      </c>
      <c r="K85" s="73">
        <v>124</v>
      </c>
      <c r="L85" s="73">
        <v>124</v>
      </c>
      <c r="M85" s="73">
        <v>120.6</v>
      </c>
      <c r="N85" s="73">
        <v>122.5</v>
      </c>
      <c r="O85" s="73">
        <v>121.6</v>
      </c>
      <c r="P85" s="73">
        <v>122.4</v>
      </c>
      <c r="Q85" s="73">
        <v>122</v>
      </c>
      <c r="R85" s="73">
        <v>124</v>
      </c>
      <c r="S85" s="73">
        <v>123.5</v>
      </c>
      <c r="T85" s="73">
        <v>125.7</v>
      </c>
      <c r="U85" s="98">
        <v>125.6</v>
      </c>
      <c r="V85" s="98">
        <v>126.2</v>
      </c>
      <c r="W85" s="98">
        <v>126.1</v>
      </c>
      <c r="X85" s="98">
        <v>122.6</v>
      </c>
      <c r="Y85" s="98">
        <v>123.7</v>
      </c>
      <c r="Z85" s="98">
        <v>125.5</v>
      </c>
      <c r="AA85" s="98">
        <v>125.8</v>
      </c>
      <c r="AB85" s="73">
        <v>124.2</v>
      </c>
      <c r="AC85" s="73">
        <v>124.9</v>
      </c>
      <c r="AD85" s="73">
        <v>124.7</v>
      </c>
      <c r="AE85" s="73">
        <v>124.7</v>
      </c>
      <c r="AF85" s="73">
        <v>127</v>
      </c>
      <c r="AG85" s="99"/>
      <c r="AH85" s="54">
        <f t="shared" si="15"/>
        <v>129.1</v>
      </c>
      <c r="AI85" s="55">
        <f t="shared" si="16"/>
        <v>120.6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133</v>
      </c>
      <c r="C86" s="73">
        <v>132.30000000000001</v>
      </c>
      <c r="D86" s="73">
        <v>132.4</v>
      </c>
      <c r="E86" s="73">
        <v>132.4</v>
      </c>
      <c r="F86" s="73">
        <v>132.4</v>
      </c>
      <c r="G86" s="73">
        <v>132.4</v>
      </c>
      <c r="H86" s="73">
        <v>130.9</v>
      </c>
      <c r="I86" s="73">
        <v>128.6</v>
      </c>
      <c r="J86" s="73">
        <v>128</v>
      </c>
      <c r="K86" s="73">
        <v>127</v>
      </c>
      <c r="L86" s="73">
        <v>127</v>
      </c>
      <c r="M86" s="73">
        <v>123.7</v>
      </c>
      <c r="N86" s="73">
        <v>124.5</v>
      </c>
      <c r="O86" s="73">
        <v>123.2</v>
      </c>
      <c r="P86" s="73">
        <v>124.4</v>
      </c>
      <c r="Q86" s="73">
        <v>124.8</v>
      </c>
      <c r="R86" s="73">
        <v>126</v>
      </c>
      <c r="S86" s="73">
        <v>125.8</v>
      </c>
      <c r="T86" s="73">
        <v>127.2</v>
      </c>
      <c r="U86" s="98">
        <v>127.5</v>
      </c>
      <c r="V86" s="98">
        <v>128</v>
      </c>
      <c r="W86" s="98">
        <v>126.8</v>
      </c>
      <c r="X86" s="98">
        <v>124.2</v>
      </c>
      <c r="Y86" s="98">
        <v>124.9</v>
      </c>
      <c r="Z86" s="98">
        <v>126.8</v>
      </c>
      <c r="AA86" s="98">
        <v>127.4</v>
      </c>
      <c r="AB86" s="73">
        <v>126.4</v>
      </c>
      <c r="AC86" s="73">
        <v>127.9</v>
      </c>
      <c r="AD86" s="73">
        <v>127.7</v>
      </c>
      <c r="AE86" s="73">
        <v>127.7</v>
      </c>
      <c r="AF86" s="73">
        <v>130.69999999999999</v>
      </c>
      <c r="AG86" s="99"/>
      <c r="AH86" s="54">
        <f t="shared" si="15"/>
        <v>133</v>
      </c>
      <c r="AI86" s="55">
        <f t="shared" si="16"/>
        <v>123.2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130.9</v>
      </c>
      <c r="C87" s="73">
        <v>130.9</v>
      </c>
      <c r="D87" s="73">
        <v>130.6</v>
      </c>
      <c r="E87" s="73">
        <v>130.6</v>
      </c>
      <c r="F87" s="73">
        <v>130.6</v>
      </c>
      <c r="G87" s="73">
        <v>130.6</v>
      </c>
      <c r="H87" s="73">
        <v>129</v>
      </c>
      <c r="I87" s="73">
        <v>128.6</v>
      </c>
      <c r="J87" s="73">
        <v>127</v>
      </c>
      <c r="K87" s="73">
        <v>127</v>
      </c>
      <c r="L87" s="73">
        <v>127</v>
      </c>
      <c r="M87" s="73">
        <v>127.9</v>
      </c>
      <c r="N87" s="73">
        <v>127.8</v>
      </c>
      <c r="O87" s="73">
        <v>129.69999999999999</v>
      </c>
      <c r="P87" s="73">
        <v>126.9</v>
      </c>
      <c r="Q87" s="73">
        <v>132</v>
      </c>
      <c r="R87" s="73">
        <v>129</v>
      </c>
      <c r="S87" s="73">
        <v>127.8</v>
      </c>
      <c r="T87" s="73">
        <v>129</v>
      </c>
      <c r="U87" s="73">
        <v>128.6</v>
      </c>
      <c r="V87" s="73">
        <v>132</v>
      </c>
      <c r="W87" s="73">
        <v>128.19999999999999</v>
      </c>
      <c r="X87" s="98">
        <v>127.7</v>
      </c>
      <c r="Y87" s="98">
        <v>130.19999999999999</v>
      </c>
      <c r="Z87" s="98">
        <v>129.6</v>
      </c>
      <c r="AA87" s="98">
        <v>130.9</v>
      </c>
      <c r="AB87" s="73">
        <v>128.5</v>
      </c>
      <c r="AC87" s="73">
        <v>131.80000000000001</v>
      </c>
      <c r="AD87" s="73">
        <v>132.80000000000001</v>
      </c>
      <c r="AE87" s="73">
        <v>132.80000000000001</v>
      </c>
      <c r="AF87" s="73">
        <v>131</v>
      </c>
      <c r="AG87" s="99"/>
      <c r="AH87" s="54">
        <f t="shared" si="15"/>
        <v>132.80000000000001</v>
      </c>
      <c r="AI87" s="55">
        <f t="shared" si="16"/>
        <v>126.9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133.80000000000001</v>
      </c>
      <c r="C88" s="73">
        <v>133.9</v>
      </c>
      <c r="D88" s="73">
        <v>133.6</v>
      </c>
      <c r="E88" s="73">
        <v>133.6</v>
      </c>
      <c r="F88" s="73">
        <v>133.6</v>
      </c>
      <c r="G88" s="73">
        <v>132.80000000000001</v>
      </c>
      <c r="H88" s="73">
        <v>132</v>
      </c>
      <c r="I88" s="73">
        <v>131</v>
      </c>
      <c r="J88" s="73">
        <v>129</v>
      </c>
      <c r="K88" s="73">
        <v>128</v>
      </c>
      <c r="L88" s="73">
        <v>128</v>
      </c>
      <c r="M88" s="73">
        <v>131.9</v>
      </c>
      <c r="N88" s="73">
        <v>131.5</v>
      </c>
      <c r="O88" s="73">
        <v>133.5</v>
      </c>
      <c r="P88" s="73">
        <v>130.30000000000001</v>
      </c>
      <c r="Q88" s="73">
        <v>135.6</v>
      </c>
      <c r="R88" s="73">
        <v>132.6</v>
      </c>
      <c r="S88" s="73">
        <v>131.30000000000001</v>
      </c>
      <c r="T88" s="73">
        <v>132.1</v>
      </c>
      <c r="U88" s="73">
        <v>131.1</v>
      </c>
      <c r="V88" s="73">
        <v>133.5</v>
      </c>
      <c r="W88" s="73">
        <v>131.1</v>
      </c>
      <c r="X88" s="98">
        <v>131.9</v>
      </c>
      <c r="Y88" s="98">
        <v>134.9</v>
      </c>
      <c r="Z88" s="98">
        <v>133.19999999999999</v>
      </c>
      <c r="AA88" s="98">
        <v>134.6</v>
      </c>
      <c r="AB88" s="73">
        <v>133.5</v>
      </c>
      <c r="AC88" s="73">
        <v>136.69999999999999</v>
      </c>
      <c r="AD88" s="73">
        <v>136.9</v>
      </c>
      <c r="AE88" s="73">
        <v>136.9</v>
      </c>
      <c r="AF88" s="73">
        <v>134.80000000000001</v>
      </c>
      <c r="AG88" s="99"/>
      <c r="AH88" s="54">
        <f t="shared" si="15"/>
        <v>136.9</v>
      </c>
      <c r="AI88" s="55">
        <f t="shared" si="16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132.1</v>
      </c>
      <c r="C89" s="101">
        <v>132.9</v>
      </c>
      <c r="D89" s="101">
        <v>132.6</v>
      </c>
      <c r="E89" s="101">
        <v>132.6</v>
      </c>
      <c r="F89" s="101">
        <v>132.6</v>
      </c>
      <c r="G89" s="101">
        <v>130.6</v>
      </c>
      <c r="H89" s="101">
        <v>129.69999999999999</v>
      </c>
      <c r="I89" s="101">
        <v>129</v>
      </c>
      <c r="J89" s="101">
        <v>128</v>
      </c>
      <c r="K89" s="101">
        <v>134</v>
      </c>
      <c r="L89" s="101">
        <v>134</v>
      </c>
      <c r="M89" s="101">
        <v>132.19999999999999</v>
      </c>
      <c r="N89" s="101">
        <v>131.69999999999999</v>
      </c>
      <c r="O89" s="101">
        <v>132.6</v>
      </c>
      <c r="P89" s="101">
        <v>133.30000000000001</v>
      </c>
      <c r="Q89" s="101">
        <v>131.69999999999999</v>
      </c>
      <c r="R89" s="101">
        <v>134.80000000000001</v>
      </c>
      <c r="S89" s="101">
        <v>133.5</v>
      </c>
      <c r="T89" s="101">
        <v>129</v>
      </c>
      <c r="U89" s="101">
        <v>131.80000000000001</v>
      </c>
      <c r="V89" s="101">
        <v>133.1</v>
      </c>
      <c r="W89" s="101">
        <v>137.5</v>
      </c>
      <c r="X89" s="98">
        <v>130.5</v>
      </c>
      <c r="Y89" s="98">
        <v>134</v>
      </c>
      <c r="Z89" s="98">
        <v>134.69999999999999</v>
      </c>
      <c r="AA89" s="98">
        <v>133.6</v>
      </c>
      <c r="AB89" s="101">
        <v>133.30000000000001</v>
      </c>
      <c r="AC89" s="101">
        <v>133.19999999999999</v>
      </c>
      <c r="AD89" s="101">
        <v>133</v>
      </c>
      <c r="AE89" s="101">
        <v>133</v>
      </c>
      <c r="AF89" s="101">
        <v>130</v>
      </c>
      <c r="AG89" s="102"/>
      <c r="AH89" s="54">
        <f t="shared" si="15"/>
        <v>137.5</v>
      </c>
      <c r="AI89" s="55">
        <f t="shared" si="16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138.6</v>
      </c>
      <c r="C90" s="73">
        <v>138</v>
      </c>
      <c r="D90" s="73">
        <v>139.9</v>
      </c>
      <c r="E90" s="73">
        <v>139.9</v>
      </c>
      <c r="F90" s="73">
        <v>139.9</v>
      </c>
      <c r="G90" s="73">
        <v>139.9</v>
      </c>
      <c r="H90" s="73">
        <v>138.69999999999999</v>
      </c>
      <c r="I90" s="73">
        <v>136</v>
      </c>
      <c r="J90" s="73">
        <v>132</v>
      </c>
      <c r="K90" s="73">
        <v>132</v>
      </c>
      <c r="L90" s="73">
        <v>132</v>
      </c>
      <c r="M90" s="73">
        <v>130</v>
      </c>
      <c r="N90" s="73">
        <v>129.69999999999999</v>
      </c>
      <c r="O90" s="73">
        <v>128.4</v>
      </c>
      <c r="P90" s="73">
        <v>132.6</v>
      </c>
      <c r="Q90" s="73">
        <v>137.6</v>
      </c>
      <c r="R90" s="73">
        <v>135.5</v>
      </c>
      <c r="S90" s="73">
        <v>129.1</v>
      </c>
      <c r="T90" s="73">
        <v>133.19999999999999</v>
      </c>
      <c r="U90" s="73">
        <v>134</v>
      </c>
      <c r="V90" s="73">
        <v>132.30000000000001</v>
      </c>
      <c r="W90" s="73">
        <v>131.9</v>
      </c>
      <c r="X90" s="98">
        <v>128.9</v>
      </c>
      <c r="Y90" s="98">
        <v>131.69999999999999</v>
      </c>
      <c r="Z90" s="98">
        <v>135.1</v>
      </c>
      <c r="AA90" s="98">
        <v>136.6</v>
      </c>
      <c r="AB90" s="73">
        <v>132.69999999999999</v>
      </c>
      <c r="AC90" s="73">
        <v>133.30000000000001</v>
      </c>
      <c r="AD90" s="73">
        <v>133.6</v>
      </c>
      <c r="AE90" s="73">
        <v>133.6</v>
      </c>
      <c r="AF90" s="73">
        <v>133.6</v>
      </c>
      <c r="AG90" s="99"/>
      <c r="AH90" s="54">
        <f t="shared" si="15"/>
        <v>139.9</v>
      </c>
      <c r="AI90" s="55">
        <f t="shared" si="16"/>
        <v>128.4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67.599999999999994</v>
      </c>
      <c r="C91" s="103">
        <v>67.3</v>
      </c>
      <c r="D91" s="103">
        <v>67.3</v>
      </c>
      <c r="E91" s="103">
        <v>67.3</v>
      </c>
      <c r="F91" s="103">
        <v>67.3</v>
      </c>
      <c r="G91" s="103">
        <v>67.3</v>
      </c>
      <c r="H91" s="103">
        <v>66</v>
      </c>
      <c r="I91" s="103">
        <v>65</v>
      </c>
      <c r="J91" s="103">
        <v>65</v>
      </c>
      <c r="K91" s="103">
        <v>64.400000000000006</v>
      </c>
      <c r="L91" s="103">
        <v>64.599999999999994</v>
      </c>
      <c r="M91" s="103">
        <v>63.1</v>
      </c>
      <c r="N91" s="103">
        <v>63.4</v>
      </c>
      <c r="O91" s="103">
        <v>62.3</v>
      </c>
      <c r="P91" s="103">
        <v>62.7</v>
      </c>
      <c r="Q91" s="103">
        <v>63</v>
      </c>
      <c r="R91" s="103">
        <v>63.6</v>
      </c>
      <c r="S91" s="103">
        <v>63.8</v>
      </c>
      <c r="T91" s="103">
        <v>63.9</v>
      </c>
      <c r="U91" s="103">
        <v>64.400000000000006</v>
      </c>
      <c r="V91" s="103">
        <v>64.7</v>
      </c>
      <c r="W91" s="103">
        <v>63.9</v>
      </c>
      <c r="X91" s="103">
        <v>63.1</v>
      </c>
      <c r="Y91" s="103">
        <v>63.1</v>
      </c>
      <c r="Z91" s="103">
        <v>64.099999999999994</v>
      </c>
      <c r="AA91" s="103">
        <v>64.7</v>
      </c>
      <c r="AB91" s="103">
        <v>64.3</v>
      </c>
      <c r="AC91" s="103">
        <v>65.2</v>
      </c>
      <c r="AD91" s="103">
        <v>64.7</v>
      </c>
      <c r="AE91" s="103">
        <v>64.7</v>
      </c>
      <c r="AF91" s="103">
        <v>66.2</v>
      </c>
      <c r="AG91" s="104"/>
      <c r="AH91" s="54">
        <f t="shared" si="15"/>
        <v>67.599999999999994</v>
      </c>
      <c r="AI91" s="55">
        <f t="shared" si="16"/>
        <v>62.3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183.43999999999997</v>
      </c>
      <c r="C93" s="110">
        <f>SUM(C15,C18,C21:C22,C42,C44:C45,C47,C49,C94:C97,C102,C108,C114,C123,C125,C137,C144,C147:C148,C155,C157,C159,C163:C165,C167:C169,C174,C180:C181,C183:C185,C193,C198)</f>
        <v>171.14</v>
      </c>
      <c r="D93" s="110">
        <f t="shared" ref="D93:AD93" si="23">SUM(D15,D18,D21:D22,D42,D44:D45,D47,D49,D94:D97,D102,D108,D114,D123,D125,D137,D144,D147:D148,D155,D157,D159,D163:D165,D167:D169,D174,D180:D181,D183:D185,D193,D198)</f>
        <v>166.43999999999997</v>
      </c>
      <c r="E93" s="110">
        <f t="shared" si="23"/>
        <v>163.34</v>
      </c>
      <c r="F93" s="110">
        <f t="shared" si="23"/>
        <v>168.23999999999998</v>
      </c>
      <c r="G93" s="109">
        <f t="shared" si="23"/>
        <v>190.94</v>
      </c>
      <c r="H93" s="109">
        <f t="shared" si="23"/>
        <v>222.53999999999996</v>
      </c>
      <c r="I93" s="109">
        <f t="shared" si="23"/>
        <v>253.73999999999998</v>
      </c>
      <c r="J93" s="109">
        <f t="shared" si="23"/>
        <v>299.24</v>
      </c>
      <c r="K93" s="109">
        <f t="shared" si="23"/>
        <v>405.24</v>
      </c>
      <c r="L93" s="109">
        <f t="shared" si="23"/>
        <v>406.24</v>
      </c>
      <c r="M93" s="109">
        <f t="shared" si="23"/>
        <v>424.94000000000005</v>
      </c>
      <c r="N93" s="109">
        <f t="shared" si="23"/>
        <v>396.54</v>
      </c>
      <c r="O93" s="109">
        <f t="shared" si="23"/>
        <v>389.34000000000003</v>
      </c>
      <c r="P93" s="109">
        <f t="shared" si="23"/>
        <v>382.74</v>
      </c>
      <c r="Q93" s="109">
        <f t="shared" si="23"/>
        <v>355.54</v>
      </c>
      <c r="R93" s="109">
        <f t="shared" si="23"/>
        <v>368.34000000000003</v>
      </c>
      <c r="S93" s="109">
        <f t="shared" si="23"/>
        <v>363.94</v>
      </c>
      <c r="T93" s="109">
        <f t="shared" si="23"/>
        <v>367.44</v>
      </c>
      <c r="U93" s="109">
        <f t="shared" si="23"/>
        <v>395.54</v>
      </c>
      <c r="V93" s="109">
        <f t="shared" si="23"/>
        <v>395.74</v>
      </c>
      <c r="W93" s="109">
        <f t="shared" si="23"/>
        <v>441.94000000000005</v>
      </c>
      <c r="X93" s="109">
        <f t="shared" si="23"/>
        <v>474.84000000000003</v>
      </c>
      <c r="Y93" s="109">
        <f t="shared" si="23"/>
        <v>482.64</v>
      </c>
      <c r="Z93" s="109">
        <f t="shared" si="23"/>
        <v>470.94</v>
      </c>
      <c r="AA93" s="109">
        <f t="shared" si="23"/>
        <v>466.04000000000008</v>
      </c>
      <c r="AB93" s="109">
        <f t="shared" si="23"/>
        <v>438.54</v>
      </c>
      <c r="AC93" s="109">
        <f t="shared" si="23"/>
        <v>393.64</v>
      </c>
      <c r="AD93" s="109">
        <f t="shared" si="23"/>
        <v>393.64</v>
      </c>
      <c r="AE93" s="109">
        <f>SUM(AE15,AE18,AE21:AE22,AE42,AE44:AE45,AE47,AE49,AE94:AE97,AE102,AE108,AE114,AE123,AE125,AE137,AE144,AE147:AE148,AE155,AE157,AE159,AE163:AE165,AE167:AE169,AE174,AE180:AE181,AE183:AE185,AE193,AE198)</f>
        <v>294.64</v>
      </c>
      <c r="AF93" s="109">
        <f>SUM(AF15,AF18,AF21:AF22,AF42,AF44:AF45,AF47,AF49,AF94:AF97,AF102,AF108,AF114,AF123,AF125,AF137,AF144,AF147:AF148,AF155,AF157,AF159,AF163:AF165,AF167:AF169,AF174,AF180:AF181,AF183:AF185,AF193,AF198)</f>
        <v>230.63999999999996</v>
      </c>
      <c r="AG93" s="111"/>
      <c r="AH93" s="54">
        <f>MAX(C93:AF93)</f>
        <v>482.64</v>
      </c>
      <c r="AI93" s="55">
        <f>MIN(C93:AF93)</f>
        <v>163.34</v>
      </c>
    </row>
    <row r="94" spans="1:88" x14ac:dyDescent="0.25">
      <c r="A94" s="112" t="s">
        <v>98</v>
      </c>
      <c r="B94" s="175">
        <v>25.6</v>
      </c>
      <c r="C94" s="58">
        <v>30.2</v>
      </c>
      <c r="D94" s="58">
        <v>24</v>
      </c>
      <c r="E94" s="58">
        <v>5.3</v>
      </c>
      <c r="F94" s="58">
        <v>4.4000000000000004</v>
      </c>
      <c r="G94" s="114">
        <v>7.3</v>
      </c>
      <c r="H94" s="114">
        <v>0</v>
      </c>
      <c r="I94" s="114">
        <v>16.899999999999999</v>
      </c>
      <c r="J94" s="114">
        <v>40.299999999999997</v>
      </c>
      <c r="K94" s="114">
        <v>61.9</v>
      </c>
      <c r="L94" s="114">
        <v>55.2</v>
      </c>
      <c r="M94" s="113">
        <v>76</v>
      </c>
      <c r="N94" s="114">
        <v>88</v>
      </c>
      <c r="O94" s="114">
        <v>85.4</v>
      </c>
      <c r="P94" s="114">
        <v>86.8</v>
      </c>
      <c r="Q94" s="114">
        <v>72.2</v>
      </c>
      <c r="R94" s="114">
        <v>70</v>
      </c>
      <c r="S94" s="114">
        <v>55.1</v>
      </c>
      <c r="T94" s="114">
        <v>40</v>
      </c>
      <c r="U94" s="113">
        <v>36.299999999999997</v>
      </c>
      <c r="V94" s="113">
        <v>49.6</v>
      </c>
      <c r="W94" s="113">
        <v>70.400000000000006</v>
      </c>
      <c r="X94" s="114">
        <v>62</v>
      </c>
      <c r="Y94" s="114">
        <v>68.8</v>
      </c>
      <c r="Z94" s="114">
        <v>71.5</v>
      </c>
      <c r="AA94" s="114">
        <v>67</v>
      </c>
      <c r="AB94" s="113">
        <v>71.2</v>
      </c>
      <c r="AC94" s="113">
        <v>64</v>
      </c>
      <c r="AD94" s="113">
        <v>73</v>
      </c>
      <c r="AE94" s="113">
        <v>33</v>
      </c>
      <c r="AF94" s="113">
        <v>15</v>
      </c>
      <c r="AG94" s="115">
        <v>75</v>
      </c>
      <c r="AH94" s="54">
        <f t="shared" ref="AH94:AH99" si="24">IF(ABS(MAX(C94:AF94))&gt;ABS(MIN(C94:AF94)),MAX(C94:AF94),MIN(C94:AF94))</f>
        <v>88</v>
      </c>
      <c r="AI94" s="116">
        <f t="shared" ref="AI94:AI99" si="25">INDEX($C$9:$AF$9,1,MATCH(AH94,C94:AF94,0))</f>
        <v>0.375</v>
      </c>
    </row>
    <row r="95" spans="1:88" x14ac:dyDescent="0.25">
      <c r="A95" s="117" t="s">
        <v>99</v>
      </c>
      <c r="B95" s="176">
        <v>-58.4</v>
      </c>
      <c r="C95" s="60">
        <v>-66.8</v>
      </c>
      <c r="D95" s="60">
        <v>-66.7</v>
      </c>
      <c r="E95" s="60">
        <v>-63.6</v>
      </c>
      <c r="F95" s="60">
        <v>-60.8</v>
      </c>
      <c r="G95" s="60">
        <v>-49.6</v>
      </c>
      <c r="H95" s="60">
        <v>-38.9</v>
      </c>
      <c r="I95" s="60">
        <v>-31</v>
      </c>
      <c r="J95" s="60">
        <v>-20.5</v>
      </c>
      <c r="K95" s="60">
        <v>12</v>
      </c>
      <c r="L95" s="60">
        <v>19</v>
      </c>
      <c r="M95" s="60">
        <v>23</v>
      </c>
      <c r="N95" s="60">
        <v>2.6</v>
      </c>
      <c r="O95" s="60">
        <v>6</v>
      </c>
      <c r="P95" s="60">
        <v>1.7</v>
      </c>
      <c r="Q95" s="60">
        <v>-9.6</v>
      </c>
      <c r="R95" s="60">
        <v>7.2</v>
      </c>
      <c r="S95" s="60">
        <v>1.9</v>
      </c>
      <c r="T95" s="60">
        <v>22.4</v>
      </c>
      <c r="U95" s="60">
        <v>31</v>
      </c>
      <c r="V95" s="60">
        <v>23.8</v>
      </c>
      <c r="W95" s="60">
        <v>55</v>
      </c>
      <c r="X95" s="60">
        <v>71</v>
      </c>
      <c r="Y95" s="60">
        <v>70</v>
      </c>
      <c r="Z95" s="60">
        <v>63.6</v>
      </c>
      <c r="AA95" s="60">
        <v>72</v>
      </c>
      <c r="AB95" s="73">
        <f>17+15</f>
        <v>32</v>
      </c>
      <c r="AC95" s="73">
        <v>14</v>
      </c>
      <c r="AD95" s="73">
        <v>10</v>
      </c>
      <c r="AE95" s="73">
        <v>-18</v>
      </c>
      <c r="AF95" s="73">
        <v>-40</v>
      </c>
      <c r="AG95" s="115">
        <v>240</v>
      </c>
      <c r="AH95" s="54">
        <f t="shared" si="24"/>
        <v>72</v>
      </c>
      <c r="AI95" s="116">
        <f t="shared" si="25"/>
        <v>0.8125</v>
      </c>
    </row>
    <row r="96" spans="1:88" x14ac:dyDescent="0.25">
      <c r="A96" s="117" t="s">
        <v>100</v>
      </c>
      <c r="B96" s="176">
        <v>-0.2</v>
      </c>
      <c r="C96" s="60">
        <v>-6.6</v>
      </c>
      <c r="D96" s="60">
        <v>-7</v>
      </c>
      <c r="E96" s="60">
        <v>-3.8</v>
      </c>
      <c r="F96" s="60">
        <v>-2.5</v>
      </c>
      <c r="G96" s="60">
        <v>-2.4</v>
      </c>
      <c r="H96" s="60">
        <v>0</v>
      </c>
      <c r="I96" s="60">
        <v>0</v>
      </c>
      <c r="J96" s="60">
        <v>13.6</v>
      </c>
      <c r="K96" s="60">
        <v>21.4</v>
      </c>
      <c r="L96" s="60">
        <v>44.4</v>
      </c>
      <c r="M96" s="60">
        <v>33</v>
      </c>
      <c r="N96" s="60">
        <v>29</v>
      </c>
      <c r="O96" s="60">
        <v>29</v>
      </c>
      <c r="P96" s="60">
        <v>28.6</v>
      </c>
      <c r="Q96" s="60">
        <v>22.7</v>
      </c>
      <c r="R96" s="60">
        <v>19.5</v>
      </c>
      <c r="S96" s="60">
        <v>29.5</v>
      </c>
      <c r="T96" s="60">
        <v>29.2</v>
      </c>
      <c r="U96" s="60">
        <v>52.8</v>
      </c>
      <c r="V96" s="60">
        <v>49.3</v>
      </c>
      <c r="W96" s="60">
        <v>53.3</v>
      </c>
      <c r="X96" s="60">
        <v>62.3</v>
      </c>
      <c r="Y96" s="60">
        <v>60.7</v>
      </c>
      <c r="Z96" s="60">
        <v>56.9</v>
      </c>
      <c r="AA96" s="60">
        <v>52.7</v>
      </c>
      <c r="AB96" s="73">
        <v>42.7</v>
      </c>
      <c r="AC96" s="73">
        <v>25</v>
      </c>
      <c r="AD96" s="73">
        <v>25</v>
      </c>
      <c r="AE96" s="73">
        <v>8</v>
      </c>
      <c r="AF96" s="73">
        <v>7</v>
      </c>
      <c r="AG96" s="115">
        <v>60</v>
      </c>
      <c r="AH96" s="54">
        <f t="shared" si="24"/>
        <v>62.3</v>
      </c>
      <c r="AI96" s="116">
        <f t="shared" si="25"/>
        <v>0.75</v>
      </c>
    </row>
    <row r="97" spans="1:37" x14ac:dyDescent="0.25">
      <c r="A97" s="118" t="s">
        <v>101</v>
      </c>
      <c r="B97" s="177">
        <v>26.6</v>
      </c>
      <c r="C97" s="63">
        <v>24.5</v>
      </c>
      <c r="D97" s="63">
        <v>25.9</v>
      </c>
      <c r="E97" s="63">
        <v>35.200000000000003</v>
      </c>
      <c r="F97" s="63">
        <v>36.9</v>
      </c>
      <c r="G97" s="63">
        <v>44.7</v>
      </c>
      <c r="H97" s="63">
        <v>70.5</v>
      </c>
      <c r="I97" s="63">
        <v>76.900000000000006</v>
      </c>
      <c r="J97" s="63">
        <v>74.900000000000006</v>
      </c>
      <c r="K97" s="63">
        <v>119</v>
      </c>
      <c r="L97" s="63">
        <v>96.7</v>
      </c>
      <c r="M97" s="63">
        <v>102</v>
      </c>
      <c r="N97" s="63">
        <v>86</v>
      </c>
      <c r="O97" s="63">
        <v>78</v>
      </c>
      <c r="P97" s="63">
        <v>74.7</v>
      </c>
      <c r="Q97" s="63">
        <v>79.599999999999994</v>
      </c>
      <c r="R97" s="63">
        <v>81</v>
      </c>
      <c r="S97" s="63">
        <v>90.8</v>
      </c>
      <c r="T97" s="63">
        <v>89.2</v>
      </c>
      <c r="U97" s="63">
        <v>88.8</v>
      </c>
      <c r="V97" s="63">
        <v>86.4</v>
      </c>
      <c r="W97" s="63">
        <v>76.599999999999994</v>
      </c>
      <c r="X97" s="63">
        <v>90.9</v>
      </c>
      <c r="Y97" s="63">
        <v>94.7</v>
      </c>
      <c r="Z97" s="63">
        <v>90.5</v>
      </c>
      <c r="AA97" s="63">
        <v>85.9</v>
      </c>
      <c r="AB97" s="119">
        <v>104.2</v>
      </c>
      <c r="AC97" s="119">
        <v>102</v>
      </c>
      <c r="AD97" s="119">
        <v>97</v>
      </c>
      <c r="AE97" s="119">
        <v>83</v>
      </c>
      <c r="AF97" s="119">
        <v>60</v>
      </c>
      <c r="AG97" s="120">
        <v>120</v>
      </c>
      <c r="AH97" s="54">
        <f t="shared" si="24"/>
        <v>119</v>
      </c>
      <c r="AI97" s="116">
        <f t="shared" si="25"/>
        <v>0.29166666666666669</v>
      </c>
    </row>
    <row r="98" spans="1:37" x14ac:dyDescent="0.25">
      <c r="A98" s="118" t="s">
        <v>102</v>
      </c>
      <c r="B98" s="177">
        <v>38.799999999999997</v>
      </c>
      <c r="C98" s="63">
        <v>35.299999999999997</v>
      </c>
      <c r="D98" s="63">
        <v>36.9</v>
      </c>
      <c r="E98" s="63">
        <v>45.6</v>
      </c>
      <c r="F98" s="63">
        <v>47.6</v>
      </c>
      <c r="G98" s="63">
        <v>50.1</v>
      </c>
      <c r="H98" s="63">
        <v>68.900000000000006</v>
      </c>
      <c r="I98" s="63">
        <v>75.8</v>
      </c>
      <c r="J98" s="63">
        <v>70.3</v>
      </c>
      <c r="K98" s="63">
        <v>99</v>
      </c>
      <c r="L98" s="63">
        <v>87</v>
      </c>
      <c r="M98" s="63">
        <v>96</v>
      </c>
      <c r="N98" s="63">
        <v>69</v>
      </c>
      <c r="O98" s="63">
        <v>81</v>
      </c>
      <c r="P98" s="63">
        <v>71.5</v>
      </c>
      <c r="Q98" s="63">
        <v>83</v>
      </c>
      <c r="R98" s="63">
        <v>79</v>
      </c>
      <c r="S98" s="63">
        <v>88.5</v>
      </c>
      <c r="T98" s="63">
        <v>76.400000000000006</v>
      </c>
      <c r="U98" s="63">
        <v>72</v>
      </c>
      <c r="V98" s="63">
        <v>63.8</v>
      </c>
      <c r="W98" s="63">
        <v>70.5</v>
      </c>
      <c r="X98" s="63">
        <v>88.8</v>
      </c>
      <c r="Y98" s="63">
        <v>83.5</v>
      </c>
      <c r="Z98" s="63">
        <v>72.900000000000006</v>
      </c>
      <c r="AA98" s="63">
        <v>86.6</v>
      </c>
      <c r="AB98" s="119">
        <v>85.7</v>
      </c>
      <c r="AC98" s="119">
        <v>90</v>
      </c>
      <c r="AD98" s="119">
        <v>84</v>
      </c>
      <c r="AE98" s="119">
        <v>82</v>
      </c>
      <c r="AF98" s="119">
        <v>65</v>
      </c>
      <c r="AG98" s="120"/>
      <c r="AH98" s="54">
        <f t="shared" si="24"/>
        <v>99</v>
      </c>
      <c r="AI98" s="116">
        <f t="shared" si="25"/>
        <v>0.29166666666666669</v>
      </c>
    </row>
    <row r="99" spans="1:37" ht="15.75" thickBot="1" x14ac:dyDescent="0.3">
      <c r="A99" s="118" t="s">
        <v>217</v>
      </c>
      <c r="B99" s="177">
        <v>49.3</v>
      </c>
      <c r="C99" s="63">
        <v>44.1</v>
      </c>
      <c r="D99" s="63">
        <v>43</v>
      </c>
      <c r="E99" s="63">
        <v>51</v>
      </c>
      <c r="F99" s="63">
        <v>50.8</v>
      </c>
      <c r="G99" s="63">
        <v>53.3</v>
      </c>
      <c r="H99" s="63">
        <v>55.4</v>
      </c>
      <c r="I99" s="63">
        <v>47.2</v>
      </c>
      <c r="J99" s="63">
        <v>47.4</v>
      </c>
      <c r="K99" s="63">
        <v>52</v>
      </c>
      <c r="L99" s="63">
        <v>23.3</v>
      </c>
      <c r="M99" s="63">
        <v>4</v>
      </c>
      <c r="N99" s="63">
        <v>-5</v>
      </c>
      <c r="O99" s="63">
        <v>-3</v>
      </c>
      <c r="P99" s="63">
        <v>-9.1</v>
      </c>
      <c r="Q99" s="63">
        <v>1.7</v>
      </c>
      <c r="R99" s="63">
        <v>-5</v>
      </c>
      <c r="S99" s="63">
        <v>8.6999999999999993</v>
      </c>
      <c r="T99" s="63">
        <v>20.9</v>
      </c>
      <c r="U99" s="63">
        <v>34.700000000000003</v>
      </c>
      <c r="V99" s="63">
        <v>20</v>
      </c>
      <c r="W99" s="63">
        <v>12.2</v>
      </c>
      <c r="X99" s="63">
        <v>23</v>
      </c>
      <c r="Y99" s="63">
        <v>16</v>
      </c>
      <c r="Z99" s="63">
        <v>14.1</v>
      </c>
      <c r="AA99" s="63">
        <v>35</v>
      </c>
      <c r="AB99" s="119">
        <v>25.3</v>
      </c>
      <c r="AC99" s="119">
        <v>21.6</v>
      </c>
      <c r="AD99" s="119">
        <v>18</v>
      </c>
      <c r="AE99" s="119">
        <v>45</v>
      </c>
      <c r="AF99" s="119">
        <v>50.6</v>
      </c>
      <c r="AG99" s="121"/>
      <c r="AH99" s="54">
        <f t="shared" si="24"/>
        <v>55.4</v>
      </c>
      <c r="AI99" s="116">
        <f t="shared" si="25"/>
        <v>0.22916666666666666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6">AF101</f>
        <v>9.9</v>
      </c>
      <c r="C101" s="53">
        <v>9.9</v>
      </c>
      <c r="D101" s="127">
        <f t="shared" ref="D101:S106" si="27">C101</f>
        <v>9.9</v>
      </c>
      <c r="E101" s="127">
        <f t="shared" si="27"/>
        <v>9.9</v>
      </c>
      <c r="F101" s="127">
        <f t="shared" si="27"/>
        <v>9.9</v>
      </c>
      <c r="G101" s="127">
        <f t="shared" si="27"/>
        <v>9.9</v>
      </c>
      <c r="H101" s="127">
        <f t="shared" si="27"/>
        <v>9.9</v>
      </c>
      <c r="I101" s="127">
        <f t="shared" si="27"/>
        <v>9.9</v>
      </c>
      <c r="J101" s="127">
        <f t="shared" si="27"/>
        <v>9.9</v>
      </c>
      <c r="K101" s="127">
        <f t="shared" si="27"/>
        <v>9.9</v>
      </c>
      <c r="L101" s="127">
        <f t="shared" si="27"/>
        <v>9.9</v>
      </c>
      <c r="M101" s="127">
        <f t="shared" si="27"/>
        <v>9.9</v>
      </c>
      <c r="N101" s="127">
        <f t="shared" si="27"/>
        <v>9.9</v>
      </c>
      <c r="O101" s="127">
        <f t="shared" si="27"/>
        <v>9.9</v>
      </c>
      <c r="P101" s="127">
        <f t="shared" si="27"/>
        <v>9.9</v>
      </c>
      <c r="Q101" s="127">
        <f t="shared" si="27"/>
        <v>9.9</v>
      </c>
      <c r="R101" s="127">
        <f t="shared" si="27"/>
        <v>9.9</v>
      </c>
      <c r="S101" s="127">
        <f t="shared" si="27"/>
        <v>9.9</v>
      </c>
      <c r="T101" s="127">
        <f t="shared" ref="T101:AF106" si="28">S101</f>
        <v>9.9</v>
      </c>
      <c r="U101" s="127">
        <f t="shared" si="28"/>
        <v>9.9</v>
      </c>
      <c r="V101" s="127">
        <f t="shared" si="28"/>
        <v>9.9</v>
      </c>
      <c r="W101" s="127">
        <f t="shared" si="28"/>
        <v>9.9</v>
      </c>
      <c r="X101" s="127">
        <f t="shared" si="28"/>
        <v>9.9</v>
      </c>
      <c r="Y101" s="127">
        <f t="shared" si="28"/>
        <v>9.9</v>
      </c>
      <c r="Z101" s="127">
        <f t="shared" si="28"/>
        <v>9.9</v>
      </c>
      <c r="AA101" s="127">
        <f t="shared" si="28"/>
        <v>9.9</v>
      </c>
      <c r="AB101" s="127">
        <f t="shared" si="28"/>
        <v>9.9</v>
      </c>
      <c r="AC101" s="127">
        <f t="shared" si="28"/>
        <v>9.9</v>
      </c>
      <c r="AD101" s="127">
        <f t="shared" si="28"/>
        <v>9.9</v>
      </c>
      <c r="AE101" s="127">
        <f t="shared" si="28"/>
        <v>9.9</v>
      </c>
      <c r="AF101" s="127">
        <f t="shared" si="28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6"/>
        <v>9.6</v>
      </c>
      <c r="C102" s="130">
        <v>9.6</v>
      </c>
      <c r="D102" s="129">
        <f t="shared" si="27"/>
        <v>9.6</v>
      </c>
      <c r="E102" s="129">
        <f t="shared" si="27"/>
        <v>9.6</v>
      </c>
      <c r="F102" s="129">
        <f t="shared" si="27"/>
        <v>9.6</v>
      </c>
      <c r="G102" s="129">
        <f t="shared" si="27"/>
        <v>9.6</v>
      </c>
      <c r="H102" s="129">
        <f t="shared" si="27"/>
        <v>9.6</v>
      </c>
      <c r="I102" s="129">
        <f t="shared" si="27"/>
        <v>9.6</v>
      </c>
      <c r="J102" s="129">
        <f t="shared" si="27"/>
        <v>9.6</v>
      </c>
      <c r="K102" s="129">
        <f t="shared" si="27"/>
        <v>9.6</v>
      </c>
      <c r="L102" s="129">
        <f t="shared" si="27"/>
        <v>9.6</v>
      </c>
      <c r="M102" s="129">
        <f t="shared" si="27"/>
        <v>9.6</v>
      </c>
      <c r="N102" s="129">
        <f t="shared" si="27"/>
        <v>9.6</v>
      </c>
      <c r="O102" s="129">
        <f t="shared" si="27"/>
        <v>9.6</v>
      </c>
      <c r="P102" s="129">
        <f t="shared" si="27"/>
        <v>9.6</v>
      </c>
      <c r="Q102" s="129">
        <f t="shared" si="27"/>
        <v>9.6</v>
      </c>
      <c r="R102" s="129">
        <f t="shared" si="27"/>
        <v>9.6</v>
      </c>
      <c r="S102" s="129">
        <f t="shared" si="27"/>
        <v>9.6</v>
      </c>
      <c r="T102" s="129">
        <f t="shared" si="28"/>
        <v>9.6</v>
      </c>
      <c r="U102" s="129">
        <f t="shared" si="28"/>
        <v>9.6</v>
      </c>
      <c r="V102" s="129">
        <f t="shared" si="28"/>
        <v>9.6</v>
      </c>
      <c r="W102" s="129">
        <f t="shared" si="28"/>
        <v>9.6</v>
      </c>
      <c r="X102" s="129">
        <f t="shared" si="28"/>
        <v>9.6</v>
      </c>
      <c r="Y102" s="129">
        <f t="shared" si="28"/>
        <v>9.6</v>
      </c>
      <c r="Z102" s="129">
        <f t="shared" si="28"/>
        <v>9.6</v>
      </c>
      <c r="AA102" s="129">
        <f t="shared" si="28"/>
        <v>9.6</v>
      </c>
      <c r="AB102" s="129">
        <f t="shared" si="28"/>
        <v>9.6</v>
      </c>
      <c r="AC102" s="129">
        <f t="shared" si="28"/>
        <v>9.6</v>
      </c>
      <c r="AD102" s="129">
        <f t="shared" si="28"/>
        <v>9.6</v>
      </c>
      <c r="AE102" s="129">
        <f t="shared" si="28"/>
        <v>9.6</v>
      </c>
      <c r="AF102" s="129">
        <f t="shared" si="28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6"/>
        <v>9.98</v>
      </c>
      <c r="C103" s="130">
        <v>9.98</v>
      </c>
      <c r="D103" s="129">
        <f t="shared" si="27"/>
        <v>9.98</v>
      </c>
      <c r="E103" s="129">
        <f t="shared" si="27"/>
        <v>9.98</v>
      </c>
      <c r="F103" s="129">
        <f t="shared" si="27"/>
        <v>9.98</v>
      </c>
      <c r="G103" s="129">
        <f t="shared" si="27"/>
        <v>9.98</v>
      </c>
      <c r="H103" s="129">
        <f t="shared" si="27"/>
        <v>9.98</v>
      </c>
      <c r="I103" s="129">
        <f t="shared" si="27"/>
        <v>9.98</v>
      </c>
      <c r="J103" s="129">
        <f t="shared" si="27"/>
        <v>9.98</v>
      </c>
      <c r="K103" s="129">
        <f t="shared" si="27"/>
        <v>9.98</v>
      </c>
      <c r="L103" s="129">
        <f t="shared" si="27"/>
        <v>9.98</v>
      </c>
      <c r="M103" s="129">
        <f t="shared" si="27"/>
        <v>9.98</v>
      </c>
      <c r="N103" s="129">
        <f t="shared" si="27"/>
        <v>9.98</v>
      </c>
      <c r="O103" s="129">
        <f t="shared" si="27"/>
        <v>9.98</v>
      </c>
      <c r="P103" s="129">
        <f t="shared" si="27"/>
        <v>9.98</v>
      </c>
      <c r="Q103" s="129">
        <f t="shared" si="27"/>
        <v>9.98</v>
      </c>
      <c r="R103" s="129">
        <f t="shared" si="27"/>
        <v>9.98</v>
      </c>
      <c r="S103" s="129">
        <f t="shared" si="27"/>
        <v>9.98</v>
      </c>
      <c r="T103" s="129">
        <f t="shared" si="28"/>
        <v>9.98</v>
      </c>
      <c r="U103" s="129">
        <f t="shared" si="28"/>
        <v>9.98</v>
      </c>
      <c r="V103" s="129">
        <f t="shared" si="28"/>
        <v>9.98</v>
      </c>
      <c r="W103" s="129">
        <f t="shared" si="28"/>
        <v>9.98</v>
      </c>
      <c r="X103" s="129">
        <f t="shared" si="28"/>
        <v>9.98</v>
      </c>
      <c r="Y103" s="129">
        <f t="shared" si="28"/>
        <v>9.98</v>
      </c>
      <c r="Z103" s="129">
        <f t="shared" si="28"/>
        <v>9.98</v>
      </c>
      <c r="AA103" s="129">
        <f t="shared" si="28"/>
        <v>9.98</v>
      </c>
      <c r="AB103" s="129">
        <f t="shared" si="28"/>
        <v>9.98</v>
      </c>
      <c r="AC103" s="129">
        <f t="shared" si="28"/>
        <v>9.98</v>
      </c>
      <c r="AD103" s="129">
        <f t="shared" si="28"/>
        <v>9.98</v>
      </c>
      <c r="AE103" s="129">
        <f t="shared" si="28"/>
        <v>9.98</v>
      </c>
      <c r="AF103" s="129">
        <f t="shared" si="28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6"/>
        <v>9.1</v>
      </c>
      <c r="C104" s="130">
        <v>9.1</v>
      </c>
      <c r="D104" s="129">
        <f t="shared" si="27"/>
        <v>9.1</v>
      </c>
      <c r="E104" s="129">
        <f t="shared" si="27"/>
        <v>9.1</v>
      </c>
      <c r="F104" s="129">
        <f t="shared" si="27"/>
        <v>9.1</v>
      </c>
      <c r="G104" s="129">
        <f t="shared" si="27"/>
        <v>9.1</v>
      </c>
      <c r="H104" s="129">
        <f t="shared" si="27"/>
        <v>9.1</v>
      </c>
      <c r="I104" s="129">
        <f t="shared" si="27"/>
        <v>9.1</v>
      </c>
      <c r="J104" s="129">
        <f t="shared" si="27"/>
        <v>9.1</v>
      </c>
      <c r="K104" s="129">
        <f t="shared" si="27"/>
        <v>9.1</v>
      </c>
      <c r="L104" s="129">
        <f t="shared" si="27"/>
        <v>9.1</v>
      </c>
      <c r="M104" s="129">
        <f t="shared" si="27"/>
        <v>9.1</v>
      </c>
      <c r="N104" s="129">
        <f t="shared" si="27"/>
        <v>9.1</v>
      </c>
      <c r="O104" s="129">
        <f t="shared" si="27"/>
        <v>9.1</v>
      </c>
      <c r="P104" s="129">
        <f t="shared" si="27"/>
        <v>9.1</v>
      </c>
      <c r="Q104" s="129">
        <f t="shared" si="27"/>
        <v>9.1</v>
      </c>
      <c r="R104" s="129">
        <f t="shared" si="27"/>
        <v>9.1</v>
      </c>
      <c r="S104" s="129">
        <f t="shared" si="27"/>
        <v>9.1</v>
      </c>
      <c r="T104" s="129">
        <f t="shared" si="28"/>
        <v>9.1</v>
      </c>
      <c r="U104" s="129">
        <f t="shared" si="28"/>
        <v>9.1</v>
      </c>
      <c r="V104" s="129">
        <f t="shared" si="28"/>
        <v>9.1</v>
      </c>
      <c r="W104" s="129">
        <f t="shared" si="28"/>
        <v>9.1</v>
      </c>
      <c r="X104" s="129">
        <f t="shared" si="28"/>
        <v>9.1</v>
      </c>
      <c r="Y104" s="129">
        <f t="shared" si="28"/>
        <v>9.1</v>
      </c>
      <c r="Z104" s="129">
        <f t="shared" si="28"/>
        <v>9.1</v>
      </c>
      <c r="AA104" s="129">
        <f t="shared" si="28"/>
        <v>9.1</v>
      </c>
      <c r="AB104" s="129">
        <f t="shared" si="28"/>
        <v>9.1</v>
      </c>
      <c r="AC104" s="129">
        <f t="shared" si="28"/>
        <v>9.1</v>
      </c>
      <c r="AD104" s="129">
        <f t="shared" si="28"/>
        <v>9.1</v>
      </c>
      <c r="AE104" s="129">
        <f t="shared" si="28"/>
        <v>9.1</v>
      </c>
      <c r="AF104" s="129">
        <f t="shared" si="28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6"/>
        <v>9.18</v>
      </c>
      <c r="C105" s="130">
        <v>9.18</v>
      </c>
      <c r="D105" s="129">
        <f t="shared" si="27"/>
        <v>9.18</v>
      </c>
      <c r="E105" s="129">
        <f t="shared" si="27"/>
        <v>9.18</v>
      </c>
      <c r="F105" s="129">
        <f t="shared" si="27"/>
        <v>9.18</v>
      </c>
      <c r="G105" s="129">
        <f t="shared" si="27"/>
        <v>9.18</v>
      </c>
      <c r="H105" s="129">
        <f t="shared" si="27"/>
        <v>9.18</v>
      </c>
      <c r="I105" s="129">
        <f t="shared" si="27"/>
        <v>9.18</v>
      </c>
      <c r="J105" s="129">
        <f t="shared" si="27"/>
        <v>9.18</v>
      </c>
      <c r="K105" s="129">
        <f t="shared" si="27"/>
        <v>9.18</v>
      </c>
      <c r="L105" s="129">
        <f t="shared" si="27"/>
        <v>9.18</v>
      </c>
      <c r="M105" s="129">
        <f t="shared" si="27"/>
        <v>9.18</v>
      </c>
      <c r="N105" s="129">
        <f t="shared" si="27"/>
        <v>9.18</v>
      </c>
      <c r="O105" s="129">
        <f t="shared" si="27"/>
        <v>9.18</v>
      </c>
      <c r="P105" s="129">
        <f t="shared" si="27"/>
        <v>9.18</v>
      </c>
      <c r="Q105" s="129">
        <f t="shared" si="27"/>
        <v>9.18</v>
      </c>
      <c r="R105" s="129">
        <f t="shared" si="27"/>
        <v>9.18</v>
      </c>
      <c r="S105" s="129">
        <f t="shared" si="27"/>
        <v>9.18</v>
      </c>
      <c r="T105" s="129">
        <f t="shared" si="28"/>
        <v>9.18</v>
      </c>
      <c r="U105" s="129">
        <f t="shared" si="28"/>
        <v>9.18</v>
      </c>
      <c r="V105" s="129">
        <f t="shared" si="28"/>
        <v>9.18</v>
      </c>
      <c r="W105" s="129">
        <f t="shared" si="28"/>
        <v>9.18</v>
      </c>
      <c r="X105" s="129">
        <f t="shared" si="28"/>
        <v>9.18</v>
      </c>
      <c r="Y105" s="129">
        <f t="shared" si="28"/>
        <v>9.18</v>
      </c>
      <c r="Z105" s="129">
        <f t="shared" si="28"/>
        <v>9.18</v>
      </c>
      <c r="AA105" s="129">
        <f t="shared" si="28"/>
        <v>9.18</v>
      </c>
      <c r="AB105" s="129">
        <f t="shared" si="28"/>
        <v>9.18</v>
      </c>
      <c r="AC105" s="129">
        <f t="shared" si="28"/>
        <v>9.18</v>
      </c>
      <c r="AD105" s="129">
        <f t="shared" si="28"/>
        <v>9.18</v>
      </c>
      <c r="AE105" s="129">
        <f t="shared" si="28"/>
        <v>9.18</v>
      </c>
      <c r="AF105" s="129">
        <f t="shared" si="28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6"/>
        <v>7</v>
      </c>
      <c r="C106" s="130">
        <v>7</v>
      </c>
      <c r="D106" s="129">
        <f t="shared" si="27"/>
        <v>7</v>
      </c>
      <c r="E106" s="129">
        <f t="shared" si="27"/>
        <v>7</v>
      </c>
      <c r="F106" s="129">
        <f t="shared" si="27"/>
        <v>7</v>
      </c>
      <c r="G106" s="129">
        <f t="shared" si="27"/>
        <v>7</v>
      </c>
      <c r="H106" s="129">
        <f t="shared" si="27"/>
        <v>7</v>
      </c>
      <c r="I106" s="129">
        <f t="shared" si="27"/>
        <v>7</v>
      </c>
      <c r="J106" s="129">
        <f t="shared" si="27"/>
        <v>7</v>
      </c>
      <c r="K106" s="129">
        <f t="shared" si="27"/>
        <v>7</v>
      </c>
      <c r="L106" s="129">
        <f t="shared" si="27"/>
        <v>7</v>
      </c>
      <c r="M106" s="129">
        <f t="shared" si="27"/>
        <v>7</v>
      </c>
      <c r="N106" s="129">
        <f t="shared" si="27"/>
        <v>7</v>
      </c>
      <c r="O106" s="129">
        <f t="shared" si="27"/>
        <v>7</v>
      </c>
      <c r="P106" s="129">
        <f t="shared" si="27"/>
        <v>7</v>
      </c>
      <c r="Q106" s="129">
        <f t="shared" si="27"/>
        <v>7</v>
      </c>
      <c r="R106" s="129">
        <f t="shared" si="27"/>
        <v>7</v>
      </c>
      <c r="S106" s="129">
        <f t="shared" si="27"/>
        <v>7</v>
      </c>
      <c r="T106" s="129">
        <f t="shared" si="28"/>
        <v>7</v>
      </c>
      <c r="U106" s="129">
        <f t="shared" si="28"/>
        <v>7</v>
      </c>
      <c r="V106" s="129">
        <f t="shared" si="28"/>
        <v>7</v>
      </c>
      <c r="W106" s="129">
        <f t="shared" si="28"/>
        <v>7</v>
      </c>
      <c r="X106" s="129">
        <f t="shared" si="28"/>
        <v>7</v>
      </c>
      <c r="Y106" s="129">
        <f t="shared" si="28"/>
        <v>7</v>
      </c>
      <c r="Z106" s="129">
        <f t="shared" si="28"/>
        <v>7</v>
      </c>
      <c r="AA106" s="129">
        <f t="shared" si="28"/>
        <v>7</v>
      </c>
      <c r="AB106" s="129">
        <f t="shared" si="28"/>
        <v>7</v>
      </c>
      <c r="AC106" s="129">
        <f t="shared" si="28"/>
        <v>7</v>
      </c>
      <c r="AD106" s="129">
        <f t="shared" si="28"/>
        <v>7</v>
      </c>
      <c r="AE106" s="129">
        <f t="shared" si="28"/>
        <v>7</v>
      </c>
      <c r="AF106" s="129">
        <f t="shared" si="28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9">C108</f>
        <v>2.25</v>
      </c>
      <c r="E108" s="129">
        <f t="shared" si="29"/>
        <v>2.25</v>
      </c>
      <c r="F108" s="129">
        <f t="shared" si="29"/>
        <v>2.25</v>
      </c>
      <c r="G108" s="129">
        <f t="shared" si="29"/>
        <v>2.25</v>
      </c>
      <c r="H108" s="129">
        <f t="shared" si="29"/>
        <v>2.25</v>
      </c>
      <c r="I108" s="129">
        <f t="shared" si="29"/>
        <v>2.25</v>
      </c>
      <c r="J108" s="129">
        <f t="shared" si="29"/>
        <v>2.25</v>
      </c>
      <c r="K108" s="129">
        <f t="shared" si="29"/>
        <v>2.25</v>
      </c>
      <c r="L108" s="129">
        <f t="shared" si="29"/>
        <v>2.25</v>
      </c>
      <c r="M108" s="129">
        <f t="shared" si="29"/>
        <v>2.25</v>
      </c>
      <c r="N108" s="129">
        <f t="shared" si="29"/>
        <v>2.25</v>
      </c>
      <c r="O108" s="129">
        <f t="shared" si="29"/>
        <v>2.25</v>
      </c>
      <c r="P108" s="129">
        <f t="shared" si="29"/>
        <v>2.25</v>
      </c>
      <c r="Q108" s="129">
        <f t="shared" si="29"/>
        <v>2.25</v>
      </c>
      <c r="R108" s="129">
        <f t="shared" si="29"/>
        <v>2.25</v>
      </c>
      <c r="S108" s="129">
        <f t="shared" si="29"/>
        <v>2.25</v>
      </c>
      <c r="T108" s="129">
        <f t="shared" ref="T108:AF109" si="30">S108</f>
        <v>2.25</v>
      </c>
      <c r="U108" s="129">
        <f t="shared" si="30"/>
        <v>2.25</v>
      </c>
      <c r="V108" s="129">
        <f t="shared" si="30"/>
        <v>2.25</v>
      </c>
      <c r="W108" s="129">
        <f t="shared" si="30"/>
        <v>2.25</v>
      </c>
      <c r="X108" s="129">
        <f t="shared" si="30"/>
        <v>2.25</v>
      </c>
      <c r="Y108" s="129">
        <f t="shared" si="30"/>
        <v>2.25</v>
      </c>
      <c r="Z108" s="129">
        <f t="shared" si="30"/>
        <v>2.25</v>
      </c>
      <c r="AA108" s="129">
        <f t="shared" si="30"/>
        <v>2.25</v>
      </c>
      <c r="AB108" s="129">
        <f t="shared" si="30"/>
        <v>2.25</v>
      </c>
      <c r="AC108" s="129">
        <f t="shared" si="30"/>
        <v>2.25</v>
      </c>
      <c r="AD108" s="129">
        <f t="shared" si="30"/>
        <v>2.25</v>
      </c>
      <c r="AE108" s="129">
        <f t="shared" si="30"/>
        <v>2.25</v>
      </c>
      <c r="AF108" s="129">
        <f t="shared" si="30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9"/>
        <v>1.64</v>
      </c>
      <c r="E109" s="129">
        <f t="shared" si="29"/>
        <v>1.64</v>
      </c>
      <c r="F109" s="129">
        <f t="shared" si="29"/>
        <v>1.64</v>
      </c>
      <c r="G109" s="129">
        <f t="shared" si="29"/>
        <v>1.64</v>
      </c>
      <c r="H109" s="129">
        <f t="shared" si="29"/>
        <v>1.64</v>
      </c>
      <c r="I109" s="129">
        <f t="shared" si="29"/>
        <v>1.64</v>
      </c>
      <c r="J109" s="129">
        <f t="shared" si="29"/>
        <v>1.64</v>
      </c>
      <c r="K109" s="129">
        <f t="shared" si="29"/>
        <v>1.64</v>
      </c>
      <c r="L109" s="129">
        <f t="shared" si="29"/>
        <v>1.64</v>
      </c>
      <c r="M109" s="129">
        <f t="shared" si="29"/>
        <v>1.64</v>
      </c>
      <c r="N109" s="129">
        <f t="shared" si="29"/>
        <v>1.64</v>
      </c>
      <c r="O109" s="129">
        <f t="shared" si="29"/>
        <v>1.64</v>
      </c>
      <c r="P109" s="129">
        <f t="shared" si="29"/>
        <v>1.64</v>
      </c>
      <c r="Q109" s="129">
        <f t="shared" si="29"/>
        <v>1.64</v>
      </c>
      <c r="R109" s="129">
        <f t="shared" si="29"/>
        <v>1.64</v>
      </c>
      <c r="S109" s="129">
        <f t="shared" si="29"/>
        <v>1.64</v>
      </c>
      <c r="T109" s="129">
        <f t="shared" si="30"/>
        <v>1.64</v>
      </c>
      <c r="U109" s="129">
        <f t="shared" si="30"/>
        <v>1.64</v>
      </c>
      <c r="V109" s="129">
        <f t="shared" si="30"/>
        <v>1.64</v>
      </c>
      <c r="W109" s="129">
        <f t="shared" si="30"/>
        <v>1.64</v>
      </c>
      <c r="X109" s="129">
        <f t="shared" si="30"/>
        <v>1.64</v>
      </c>
      <c r="Y109" s="129">
        <f t="shared" si="30"/>
        <v>1.64</v>
      </c>
      <c r="Z109" s="129">
        <f t="shared" si="30"/>
        <v>1.64</v>
      </c>
      <c r="AA109" s="129">
        <f t="shared" si="30"/>
        <v>1.64</v>
      </c>
      <c r="AB109" s="129">
        <f t="shared" si="30"/>
        <v>1.64</v>
      </c>
      <c r="AC109" s="129">
        <f t="shared" si="30"/>
        <v>1.64</v>
      </c>
      <c r="AD109" s="129">
        <f t="shared" si="30"/>
        <v>1.64</v>
      </c>
      <c r="AE109" s="129">
        <f t="shared" si="30"/>
        <v>1.64</v>
      </c>
      <c r="AF109" s="129">
        <f t="shared" si="30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1">AF111</f>
        <v>1.62</v>
      </c>
      <c r="C111" s="130">
        <v>1.62</v>
      </c>
      <c r="D111" s="129">
        <f t="shared" ref="D111:S118" si="32">C111</f>
        <v>1.62</v>
      </c>
      <c r="E111" s="129">
        <f t="shared" si="32"/>
        <v>1.62</v>
      </c>
      <c r="F111" s="129">
        <f t="shared" si="32"/>
        <v>1.62</v>
      </c>
      <c r="G111" s="129">
        <f t="shared" si="32"/>
        <v>1.62</v>
      </c>
      <c r="H111" s="129">
        <f t="shared" si="32"/>
        <v>1.62</v>
      </c>
      <c r="I111" s="129">
        <f t="shared" si="32"/>
        <v>1.62</v>
      </c>
      <c r="J111" s="129">
        <f t="shared" si="32"/>
        <v>1.62</v>
      </c>
      <c r="K111" s="129">
        <f t="shared" si="32"/>
        <v>1.62</v>
      </c>
      <c r="L111" s="129">
        <f t="shared" si="32"/>
        <v>1.62</v>
      </c>
      <c r="M111" s="129">
        <f t="shared" si="32"/>
        <v>1.62</v>
      </c>
      <c r="N111" s="129">
        <f t="shared" si="32"/>
        <v>1.62</v>
      </c>
      <c r="O111" s="129">
        <f t="shared" si="32"/>
        <v>1.62</v>
      </c>
      <c r="P111" s="129">
        <f t="shared" si="32"/>
        <v>1.62</v>
      </c>
      <c r="Q111" s="129">
        <f t="shared" si="32"/>
        <v>1.62</v>
      </c>
      <c r="R111" s="129">
        <f t="shared" si="32"/>
        <v>1.62</v>
      </c>
      <c r="S111" s="129">
        <f t="shared" si="32"/>
        <v>1.62</v>
      </c>
      <c r="T111" s="129">
        <f t="shared" ref="T111:AF126" si="33">S111</f>
        <v>1.62</v>
      </c>
      <c r="U111" s="129">
        <f t="shared" si="33"/>
        <v>1.62</v>
      </c>
      <c r="V111" s="129">
        <f t="shared" si="33"/>
        <v>1.62</v>
      </c>
      <c r="W111" s="129">
        <f t="shared" si="33"/>
        <v>1.62</v>
      </c>
      <c r="X111" s="129">
        <f t="shared" si="33"/>
        <v>1.62</v>
      </c>
      <c r="Y111" s="129">
        <f t="shared" si="33"/>
        <v>1.62</v>
      </c>
      <c r="Z111" s="129">
        <f t="shared" si="33"/>
        <v>1.62</v>
      </c>
      <c r="AA111" s="129">
        <f t="shared" si="33"/>
        <v>1.62</v>
      </c>
      <c r="AB111" s="129">
        <f t="shared" si="33"/>
        <v>1.62</v>
      </c>
      <c r="AC111" s="129">
        <f t="shared" si="33"/>
        <v>1.62</v>
      </c>
      <c r="AD111" s="129">
        <f t="shared" si="33"/>
        <v>1.62</v>
      </c>
      <c r="AE111" s="129">
        <f t="shared" si="33"/>
        <v>1.62</v>
      </c>
      <c r="AF111" s="129">
        <f t="shared" si="33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1"/>
        <v>8.36</v>
      </c>
      <c r="C112" s="130">
        <v>8.36</v>
      </c>
      <c r="D112" s="129">
        <f t="shared" si="32"/>
        <v>8.36</v>
      </c>
      <c r="E112" s="129">
        <f t="shared" si="32"/>
        <v>8.36</v>
      </c>
      <c r="F112" s="129">
        <f t="shared" si="32"/>
        <v>8.36</v>
      </c>
      <c r="G112" s="129">
        <f t="shared" si="32"/>
        <v>8.36</v>
      </c>
      <c r="H112" s="129">
        <f t="shared" si="32"/>
        <v>8.36</v>
      </c>
      <c r="I112" s="129">
        <f t="shared" si="32"/>
        <v>8.36</v>
      </c>
      <c r="J112" s="129">
        <f t="shared" si="32"/>
        <v>8.36</v>
      </c>
      <c r="K112" s="129">
        <f t="shared" si="32"/>
        <v>8.36</v>
      </c>
      <c r="L112" s="129">
        <f t="shared" si="32"/>
        <v>8.36</v>
      </c>
      <c r="M112" s="129">
        <f t="shared" si="32"/>
        <v>8.36</v>
      </c>
      <c r="N112" s="129">
        <f t="shared" si="32"/>
        <v>8.36</v>
      </c>
      <c r="O112" s="129">
        <f t="shared" si="32"/>
        <v>8.36</v>
      </c>
      <c r="P112" s="129">
        <f t="shared" si="32"/>
        <v>8.36</v>
      </c>
      <c r="Q112" s="129">
        <f t="shared" si="32"/>
        <v>8.36</v>
      </c>
      <c r="R112" s="129">
        <f t="shared" si="32"/>
        <v>8.36</v>
      </c>
      <c r="S112" s="129">
        <f t="shared" si="32"/>
        <v>8.36</v>
      </c>
      <c r="T112" s="129">
        <f t="shared" si="33"/>
        <v>8.36</v>
      </c>
      <c r="U112" s="129">
        <f t="shared" si="33"/>
        <v>8.36</v>
      </c>
      <c r="V112" s="129">
        <f t="shared" si="33"/>
        <v>8.36</v>
      </c>
      <c r="W112" s="129">
        <f t="shared" si="33"/>
        <v>8.36</v>
      </c>
      <c r="X112" s="129">
        <f t="shared" si="33"/>
        <v>8.36</v>
      </c>
      <c r="Y112" s="129">
        <f t="shared" si="33"/>
        <v>8.36</v>
      </c>
      <c r="Z112" s="129">
        <f t="shared" si="33"/>
        <v>8.36</v>
      </c>
      <c r="AA112" s="129">
        <f t="shared" si="33"/>
        <v>8.36</v>
      </c>
      <c r="AB112" s="129">
        <f t="shared" si="33"/>
        <v>8.36</v>
      </c>
      <c r="AC112" s="129">
        <f t="shared" si="33"/>
        <v>8.36</v>
      </c>
      <c r="AD112" s="129">
        <f t="shared" si="33"/>
        <v>8.36</v>
      </c>
      <c r="AE112" s="129">
        <f t="shared" si="33"/>
        <v>8.36</v>
      </c>
      <c r="AF112" s="129">
        <f t="shared" si="33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1"/>
        <v>5.4</v>
      </c>
      <c r="C113" s="130"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v>5.4</v>
      </c>
      <c r="K113" s="129">
        <f t="shared" si="32"/>
        <v>5.4</v>
      </c>
      <c r="L113" s="129">
        <f t="shared" si="32"/>
        <v>5.4</v>
      </c>
      <c r="M113" s="129">
        <f t="shared" si="32"/>
        <v>5.4</v>
      </c>
      <c r="N113" s="129">
        <f t="shared" si="32"/>
        <v>5.4</v>
      </c>
      <c r="O113" s="129">
        <f t="shared" si="32"/>
        <v>5.4</v>
      </c>
      <c r="P113" s="129">
        <f t="shared" si="32"/>
        <v>5.4</v>
      </c>
      <c r="Q113" s="129">
        <f t="shared" si="32"/>
        <v>5.4</v>
      </c>
      <c r="R113" s="129">
        <f t="shared" si="32"/>
        <v>5.4</v>
      </c>
      <c r="S113" s="129">
        <f t="shared" si="32"/>
        <v>5.4</v>
      </c>
      <c r="T113" s="129">
        <f t="shared" si="33"/>
        <v>5.4</v>
      </c>
      <c r="U113" s="129">
        <f t="shared" si="33"/>
        <v>5.4</v>
      </c>
      <c r="V113" s="129">
        <f t="shared" si="33"/>
        <v>5.4</v>
      </c>
      <c r="W113" s="129">
        <f t="shared" si="33"/>
        <v>5.4</v>
      </c>
      <c r="X113" s="129">
        <f t="shared" si="33"/>
        <v>5.4</v>
      </c>
      <c r="Y113" s="129">
        <f t="shared" si="33"/>
        <v>5.4</v>
      </c>
      <c r="Z113" s="129">
        <f t="shared" si="33"/>
        <v>5.4</v>
      </c>
      <c r="AA113" s="129">
        <f t="shared" si="33"/>
        <v>5.4</v>
      </c>
      <c r="AB113" s="129">
        <f t="shared" si="33"/>
        <v>5.4</v>
      </c>
      <c r="AC113" s="129">
        <f t="shared" si="33"/>
        <v>5.4</v>
      </c>
      <c r="AD113" s="129">
        <f t="shared" si="33"/>
        <v>5.4</v>
      </c>
      <c r="AE113" s="129">
        <f t="shared" si="33"/>
        <v>5.4</v>
      </c>
      <c r="AF113" s="129">
        <f t="shared" si="33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1"/>
        <v>6.57</v>
      </c>
      <c r="C114" s="130">
        <v>6.57</v>
      </c>
      <c r="D114" s="129">
        <f t="shared" si="32"/>
        <v>6.57</v>
      </c>
      <c r="E114" s="129">
        <f t="shared" si="32"/>
        <v>6.57</v>
      </c>
      <c r="F114" s="129">
        <f t="shared" si="32"/>
        <v>6.57</v>
      </c>
      <c r="G114" s="129">
        <f t="shared" si="32"/>
        <v>6.57</v>
      </c>
      <c r="H114" s="129">
        <f t="shared" si="32"/>
        <v>6.57</v>
      </c>
      <c r="I114" s="129">
        <f t="shared" si="32"/>
        <v>6.57</v>
      </c>
      <c r="J114" s="129">
        <f t="shared" si="32"/>
        <v>6.57</v>
      </c>
      <c r="K114" s="129">
        <f t="shared" si="32"/>
        <v>6.57</v>
      </c>
      <c r="L114" s="129">
        <f t="shared" si="32"/>
        <v>6.57</v>
      </c>
      <c r="M114" s="129">
        <f t="shared" si="32"/>
        <v>6.57</v>
      </c>
      <c r="N114" s="129">
        <f t="shared" si="32"/>
        <v>6.57</v>
      </c>
      <c r="O114" s="129">
        <f t="shared" si="32"/>
        <v>6.57</v>
      </c>
      <c r="P114" s="129">
        <f t="shared" si="32"/>
        <v>6.57</v>
      </c>
      <c r="Q114" s="129">
        <f t="shared" si="32"/>
        <v>6.57</v>
      </c>
      <c r="R114" s="129">
        <f t="shared" si="32"/>
        <v>6.57</v>
      </c>
      <c r="S114" s="129">
        <f t="shared" si="32"/>
        <v>6.57</v>
      </c>
      <c r="T114" s="129">
        <f t="shared" si="33"/>
        <v>6.57</v>
      </c>
      <c r="U114" s="129">
        <f t="shared" si="33"/>
        <v>6.57</v>
      </c>
      <c r="V114" s="129">
        <f t="shared" si="33"/>
        <v>6.57</v>
      </c>
      <c r="W114" s="129">
        <f t="shared" si="33"/>
        <v>6.57</v>
      </c>
      <c r="X114" s="129">
        <f t="shared" si="33"/>
        <v>6.57</v>
      </c>
      <c r="Y114" s="129">
        <f t="shared" si="33"/>
        <v>6.57</v>
      </c>
      <c r="Z114" s="129">
        <f t="shared" si="33"/>
        <v>6.57</v>
      </c>
      <c r="AA114" s="129">
        <f t="shared" si="33"/>
        <v>6.57</v>
      </c>
      <c r="AB114" s="129">
        <f t="shared" si="33"/>
        <v>6.57</v>
      </c>
      <c r="AC114" s="129">
        <f t="shared" si="33"/>
        <v>6.57</v>
      </c>
      <c r="AD114" s="129">
        <f t="shared" si="33"/>
        <v>6.57</v>
      </c>
      <c r="AE114" s="129">
        <f t="shared" si="33"/>
        <v>6.57</v>
      </c>
      <c r="AF114" s="129">
        <f t="shared" si="33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1"/>
        <v>3.43</v>
      </c>
      <c r="C115" s="130">
        <v>3.43</v>
      </c>
      <c r="D115" s="129">
        <f t="shared" si="32"/>
        <v>3.43</v>
      </c>
      <c r="E115" s="129">
        <f t="shared" si="32"/>
        <v>3.43</v>
      </c>
      <c r="F115" s="129">
        <f t="shared" si="32"/>
        <v>3.43</v>
      </c>
      <c r="G115" s="129">
        <f t="shared" si="32"/>
        <v>3.43</v>
      </c>
      <c r="H115" s="129">
        <f t="shared" si="32"/>
        <v>3.43</v>
      </c>
      <c r="I115" s="129">
        <f t="shared" si="32"/>
        <v>3.43</v>
      </c>
      <c r="J115" s="129">
        <f t="shared" si="32"/>
        <v>3.43</v>
      </c>
      <c r="K115" s="129">
        <f t="shared" si="32"/>
        <v>3.43</v>
      </c>
      <c r="L115" s="129">
        <f t="shared" si="32"/>
        <v>3.43</v>
      </c>
      <c r="M115" s="129">
        <f t="shared" si="32"/>
        <v>3.43</v>
      </c>
      <c r="N115" s="129">
        <f t="shared" si="32"/>
        <v>3.43</v>
      </c>
      <c r="O115" s="129">
        <f t="shared" si="32"/>
        <v>3.43</v>
      </c>
      <c r="P115" s="129">
        <f t="shared" si="32"/>
        <v>3.43</v>
      </c>
      <c r="Q115" s="129">
        <f t="shared" si="32"/>
        <v>3.43</v>
      </c>
      <c r="R115" s="129">
        <f t="shared" si="32"/>
        <v>3.43</v>
      </c>
      <c r="S115" s="129">
        <f t="shared" si="32"/>
        <v>3.43</v>
      </c>
      <c r="T115" s="129">
        <f t="shared" si="33"/>
        <v>3.43</v>
      </c>
      <c r="U115" s="129">
        <f t="shared" si="33"/>
        <v>3.43</v>
      </c>
      <c r="V115" s="129">
        <f t="shared" si="33"/>
        <v>3.43</v>
      </c>
      <c r="W115" s="129">
        <f t="shared" si="33"/>
        <v>3.43</v>
      </c>
      <c r="X115" s="129">
        <f t="shared" si="33"/>
        <v>3.43</v>
      </c>
      <c r="Y115" s="129">
        <f t="shared" si="33"/>
        <v>3.43</v>
      </c>
      <c r="Z115" s="129">
        <f t="shared" si="33"/>
        <v>3.43</v>
      </c>
      <c r="AA115" s="129">
        <f t="shared" si="33"/>
        <v>3.43</v>
      </c>
      <c r="AB115" s="129">
        <f t="shared" si="33"/>
        <v>3.43</v>
      </c>
      <c r="AC115" s="129">
        <f t="shared" si="33"/>
        <v>3.43</v>
      </c>
      <c r="AD115" s="129">
        <f t="shared" si="33"/>
        <v>3.43</v>
      </c>
      <c r="AE115" s="129">
        <f t="shared" si="33"/>
        <v>3.43</v>
      </c>
      <c r="AF115" s="129">
        <f t="shared" si="33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1"/>
        <v>2.96</v>
      </c>
      <c r="C116" s="130">
        <v>2.96</v>
      </c>
      <c r="D116" s="129">
        <f t="shared" si="32"/>
        <v>2.96</v>
      </c>
      <c r="E116" s="129">
        <f t="shared" si="32"/>
        <v>2.96</v>
      </c>
      <c r="F116" s="129">
        <f t="shared" si="32"/>
        <v>2.96</v>
      </c>
      <c r="G116" s="129">
        <f t="shared" si="32"/>
        <v>2.96</v>
      </c>
      <c r="H116" s="129">
        <f t="shared" si="32"/>
        <v>2.96</v>
      </c>
      <c r="I116" s="129">
        <f t="shared" si="32"/>
        <v>2.96</v>
      </c>
      <c r="J116" s="129">
        <f t="shared" si="32"/>
        <v>2.96</v>
      </c>
      <c r="K116" s="129">
        <f t="shared" si="32"/>
        <v>2.96</v>
      </c>
      <c r="L116" s="129">
        <f t="shared" si="32"/>
        <v>2.96</v>
      </c>
      <c r="M116" s="129">
        <f t="shared" si="32"/>
        <v>2.96</v>
      </c>
      <c r="N116" s="129">
        <f t="shared" si="32"/>
        <v>2.96</v>
      </c>
      <c r="O116" s="129">
        <f t="shared" si="32"/>
        <v>2.96</v>
      </c>
      <c r="P116" s="129">
        <f t="shared" si="32"/>
        <v>2.96</v>
      </c>
      <c r="Q116" s="129">
        <f t="shared" si="32"/>
        <v>2.96</v>
      </c>
      <c r="R116" s="129">
        <f t="shared" si="32"/>
        <v>2.96</v>
      </c>
      <c r="S116" s="129">
        <f t="shared" si="32"/>
        <v>2.96</v>
      </c>
      <c r="T116" s="129">
        <f t="shared" si="33"/>
        <v>2.96</v>
      </c>
      <c r="U116" s="129">
        <f t="shared" si="33"/>
        <v>2.96</v>
      </c>
      <c r="V116" s="129">
        <f t="shared" si="33"/>
        <v>2.96</v>
      </c>
      <c r="W116" s="129">
        <f t="shared" si="33"/>
        <v>2.96</v>
      </c>
      <c r="X116" s="129">
        <f t="shared" si="33"/>
        <v>2.96</v>
      </c>
      <c r="Y116" s="129">
        <f t="shared" si="33"/>
        <v>2.96</v>
      </c>
      <c r="Z116" s="129">
        <f t="shared" si="33"/>
        <v>2.96</v>
      </c>
      <c r="AA116" s="129">
        <f t="shared" si="33"/>
        <v>2.96</v>
      </c>
      <c r="AB116" s="129">
        <f t="shared" si="33"/>
        <v>2.96</v>
      </c>
      <c r="AC116" s="129">
        <f t="shared" si="33"/>
        <v>2.96</v>
      </c>
      <c r="AD116" s="129">
        <f t="shared" si="33"/>
        <v>2.96</v>
      </c>
      <c r="AE116" s="129">
        <f t="shared" si="33"/>
        <v>2.96</v>
      </c>
      <c r="AF116" s="129">
        <f t="shared" si="33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1"/>
        <v>8</v>
      </c>
      <c r="C117" s="130">
        <v>8</v>
      </c>
      <c r="D117" s="129">
        <f t="shared" si="32"/>
        <v>8</v>
      </c>
      <c r="E117" s="129">
        <f t="shared" si="32"/>
        <v>8</v>
      </c>
      <c r="F117" s="129">
        <f t="shared" si="32"/>
        <v>8</v>
      </c>
      <c r="G117" s="129">
        <f t="shared" si="32"/>
        <v>8</v>
      </c>
      <c r="H117" s="129">
        <f t="shared" si="32"/>
        <v>8</v>
      </c>
      <c r="I117" s="129">
        <f t="shared" si="32"/>
        <v>8</v>
      </c>
      <c r="J117" s="129">
        <f t="shared" si="32"/>
        <v>8</v>
      </c>
      <c r="K117" s="129">
        <f t="shared" si="32"/>
        <v>8</v>
      </c>
      <c r="L117" s="129">
        <f t="shared" si="32"/>
        <v>8</v>
      </c>
      <c r="M117" s="129">
        <f t="shared" si="32"/>
        <v>8</v>
      </c>
      <c r="N117" s="129">
        <f t="shared" si="32"/>
        <v>8</v>
      </c>
      <c r="O117" s="129">
        <f t="shared" si="32"/>
        <v>8</v>
      </c>
      <c r="P117" s="129">
        <f t="shared" si="32"/>
        <v>8</v>
      </c>
      <c r="Q117" s="129">
        <f t="shared" si="32"/>
        <v>8</v>
      </c>
      <c r="R117" s="129">
        <f t="shared" si="32"/>
        <v>8</v>
      </c>
      <c r="S117" s="129">
        <f t="shared" si="32"/>
        <v>8</v>
      </c>
      <c r="T117" s="129">
        <f t="shared" si="33"/>
        <v>8</v>
      </c>
      <c r="U117" s="129">
        <f t="shared" si="33"/>
        <v>8</v>
      </c>
      <c r="V117" s="129">
        <f t="shared" si="33"/>
        <v>8</v>
      </c>
      <c r="W117" s="129">
        <f t="shared" si="33"/>
        <v>8</v>
      </c>
      <c r="X117" s="129">
        <f t="shared" si="33"/>
        <v>8</v>
      </c>
      <c r="Y117" s="129">
        <f t="shared" si="33"/>
        <v>8</v>
      </c>
      <c r="Z117" s="129">
        <f t="shared" si="33"/>
        <v>8</v>
      </c>
      <c r="AA117" s="129">
        <f t="shared" si="33"/>
        <v>8</v>
      </c>
      <c r="AB117" s="129">
        <f t="shared" si="33"/>
        <v>8</v>
      </c>
      <c r="AC117" s="129">
        <f t="shared" si="33"/>
        <v>8</v>
      </c>
      <c r="AD117" s="129">
        <f t="shared" si="33"/>
        <v>8</v>
      </c>
      <c r="AE117" s="129">
        <f t="shared" si="33"/>
        <v>8</v>
      </c>
      <c r="AF117" s="129">
        <f t="shared" si="33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1"/>
        <v>7</v>
      </c>
      <c r="C118" s="130">
        <v>7</v>
      </c>
      <c r="D118" s="129">
        <f>C118</f>
        <v>7</v>
      </c>
      <c r="E118" s="129">
        <f t="shared" si="32"/>
        <v>7</v>
      </c>
      <c r="F118" s="129">
        <f t="shared" si="32"/>
        <v>7</v>
      </c>
      <c r="G118" s="129">
        <f t="shared" si="32"/>
        <v>7</v>
      </c>
      <c r="H118" s="129">
        <f t="shared" si="32"/>
        <v>7</v>
      </c>
      <c r="I118" s="129">
        <f t="shared" si="32"/>
        <v>7</v>
      </c>
      <c r="J118" s="129">
        <f t="shared" si="32"/>
        <v>7</v>
      </c>
      <c r="K118" s="129">
        <f t="shared" si="32"/>
        <v>7</v>
      </c>
      <c r="L118" s="129">
        <f t="shared" si="32"/>
        <v>7</v>
      </c>
      <c r="M118" s="129">
        <f t="shared" si="32"/>
        <v>7</v>
      </c>
      <c r="N118" s="129">
        <f t="shared" si="32"/>
        <v>7</v>
      </c>
      <c r="O118" s="129">
        <f t="shared" si="32"/>
        <v>7</v>
      </c>
      <c r="P118" s="129">
        <f t="shared" si="32"/>
        <v>7</v>
      </c>
      <c r="Q118" s="129">
        <f t="shared" si="32"/>
        <v>7</v>
      </c>
      <c r="R118" s="129">
        <f t="shared" si="32"/>
        <v>7</v>
      </c>
      <c r="S118" s="129">
        <f t="shared" si="32"/>
        <v>7</v>
      </c>
      <c r="T118" s="129">
        <f t="shared" si="33"/>
        <v>7</v>
      </c>
      <c r="U118" s="129">
        <f t="shared" si="33"/>
        <v>7</v>
      </c>
      <c r="V118" s="129">
        <f t="shared" si="33"/>
        <v>7</v>
      </c>
      <c r="W118" s="129">
        <f t="shared" si="33"/>
        <v>7</v>
      </c>
      <c r="X118" s="129">
        <f t="shared" si="33"/>
        <v>7</v>
      </c>
      <c r="Y118" s="129">
        <f t="shared" si="33"/>
        <v>7</v>
      </c>
      <c r="Z118" s="129">
        <f t="shared" si="33"/>
        <v>7</v>
      </c>
      <c r="AA118" s="129">
        <f t="shared" si="33"/>
        <v>7</v>
      </c>
      <c r="AB118" s="129">
        <f t="shared" si="33"/>
        <v>7</v>
      </c>
      <c r="AC118" s="129">
        <f t="shared" si="33"/>
        <v>7</v>
      </c>
      <c r="AD118" s="129">
        <f t="shared" si="33"/>
        <v>7</v>
      </c>
      <c r="AE118" s="129">
        <f t="shared" si="33"/>
        <v>7</v>
      </c>
      <c r="AF118" s="129">
        <f t="shared" si="33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1"/>
        <v>3.47</v>
      </c>
      <c r="C119" s="130">
        <v>3.47</v>
      </c>
      <c r="D119" s="129">
        <f t="shared" ref="D119:S128" si="34">C119</f>
        <v>3.47</v>
      </c>
      <c r="E119" s="129">
        <f t="shared" si="34"/>
        <v>3.47</v>
      </c>
      <c r="F119" s="129">
        <f t="shared" si="34"/>
        <v>3.47</v>
      </c>
      <c r="G119" s="129">
        <f t="shared" si="34"/>
        <v>3.47</v>
      </c>
      <c r="H119" s="129">
        <f t="shared" si="34"/>
        <v>3.47</v>
      </c>
      <c r="I119" s="129">
        <f t="shared" si="34"/>
        <v>3.47</v>
      </c>
      <c r="J119" s="129">
        <f t="shared" si="34"/>
        <v>3.47</v>
      </c>
      <c r="K119" s="129">
        <f t="shared" si="34"/>
        <v>3.47</v>
      </c>
      <c r="L119" s="129">
        <f t="shared" si="34"/>
        <v>3.47</v>
      </c>
      <c r="M119" s="129">
        <f t="shared" si="34"/>
        <v>3.47</v>
      </c>
      <c r="N119" s="129">
        <f t="shared" si="34"/>
        <v>3.47</v>
      </c>
      <c r="O119" s="129">
        <f t="shared" si="34"/>
        <v>3.47</v>
      </c>
      <c r="P119" s="129">
        <f t="shared" si="34"/>
        <v>3.47</v>
      </c>
      <c r="Q119" s="129">
        <f t="shared" si="34"/>
        <v>3.47</v>
      </c>
      <c r="R119" s="129">
        <f t="shared" si="34"/>
        <v>3.47</v>
      </c>
      <c r="S119" s="129">
        <f t="shared" si="34"/>
        <v>3.47</v>
      </c>
      <c r="T119" s="129">
        <f t="shared" si="33"/>
        <v>3.47</v>
      </c>
      <c r="U119" s="129">
        <f t="shared" si="33"/>
        <v>3.47</v>
      </c>
      <c r="V119" s="129">
        <f t="shared" si="33"/>
        <v>3.47</v>
      </c>
      <c r="W119" s="129">
        <f t="shared" si="33"/>
        <v>3.47</v>
      </c>
      <c r="X119" s="129">
        <f t="shared" si="33"/>
        <v>3.47</v>
      </c>
      <c r="Y119" s="129">
        <f t="shared" si="33"/>
        <v>3.47</v>
      </c>
      <c r="Z119" s="129">
        <f t="shared" si="33"/>
        <v>3.47</v>
      </c>
      <c r="AA119" s="129">
        <f t="shared" si="33"/>
        <v>3.47</v>
      </c>
      <c r="AB119" s="129">
        <f t="shared" si="33"/>
        <v>3.47</v>
      </c>
      <c r="AC119" s="129">
        <f t="shared" si="33"/>
        <v>3.47</v>
      </c>
      <c r="AD119" s="129">
        <f t="shared" si="33"/>
        <v>3.47</v>
      </c>
      <c r="AE119" s="129">
        <f t="shared" si="33"/>
        <v>3.47</v>
      </c>
      <c r="AF119" s="129">
        <f t="shared" si="33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1"/>
        <v>2.1</v>
      </c>
      <c r="C120" s="130">
        <v>2.1</v>
      </c>
      <c r="D120" s="129">
        <f t="shared" si="34"/>
        <v>2.1</v>
      </c>
      <c r="E120" s="129">
        <f t="shared" si="34"/>
        <v>2.1</v>
      </c>
      <c r="F120" s="129">
        <f t="shared" si="34"/>
        <v>2.1</v>
      </c>
      <c r="G120" s="129">
        <f t="shared" si="34"/>
        <v>2.1</v>
      </c>
      <c r="H120" s="129">
        <f t="shared" si="34"/>
        <v>2.1</v>
      </c>
      <c r="I120" s="129">
        <f t="shared" si="34"/>
        <v>2.1</v>
      </c>
      <c r="J120" s="129">
        <f t="shared" si="34"/>
        <v>2.1</v>
      </c>
      <c r="K120" s="129">
        <f t="shared" si="34"/>
        <v>2.1</v>
      </c>
      <c r="L120" s="129">
        <f t="shared" si="34"/>
        <v>2.1</v>
      </c>
      <c r="M120" s="129">
        <f t="shared" si="34"/>
        <v>2.1</v>
      </c>
      <c r="N120" s="129">
        <f t="shared" si="34"/>
        <v>2.1</v>
      </c>
      <c r="O120" s="129">
        <f t="shared" si="34"/>
        <v>2.1</v>
      </c>
      <c r="P120" s="129">
        <f t="shared" si="34"/>
        <v>2.1</v>
      </c>
      <c r="Q120" s="129">
        <f t="shared" si="34"/>
        <v>2.1</v>
      </c>
      <c r="R120" s="129">
        <f t="shared" si="34"/>
        <v>2.1</v>
      </c>
      <c r="S120" s="129">
        <f t="shared" si="34"/>
        <v>2.1</v>
      </c>
      <c r="T120" s="129">
        <f t="shared" si="33"/>
        <v>2.1</v>
      </c>
      <c r="U120" s="129">
        <f t="shared" si="33"/>
        <v>2.1</v>
      </c>
      <c r="V120" s="129">
        <f t="shared" si="33"/>
        <v>2.1</v>
      </c>
      <c r="W120" s="129">
        <f t="shared" si="33"/>
        <v>2.1</v>
      </c>
      <c r="X120" s="129">
        <f t="shared" si="33"/>
        <v>2.1</v>
      </c>
      <c r="Y120" s="129">
        <f t="shared" si="33"/>
        <v>2.1</v>
      </c>
      <c r="Z120" s="129">
        <f t="shared" si="33"/>
        <v>2.1</v>
      </c>
      <c r="AA120" s="129">
        <f t="shared" si="33"/>
        <v>2.1</v>
      </c>
      <c r="AB120" s="129">
        <f t="shared" si="33"/>
        <v>2.1</v>
      </c>
      <c r="AC120" s="129">
        <f t="shared" si="33"/>
        <v>2.1</v>
      </c>
      <c r="AD120" s="129">
        <f t="shared" si="33"/>
        <v>2.1</v>
      </c>
      <c r="AE120" s="129">
        <f t="shared" si="33"/>
        <v>2.1</v>
      </c>
      <c r="AF120" s="129">
        <f t="shared" si="33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1"/>
        <v>9.3000000000000007</v>
      </c>
      <c r="C121" s="130">
        <v>9.3000000000000007</v>
      </c>
      <c r="D121" s="129">
        <f t="shared" si="34"/>
        <v>9.3000000000000007</v>
      </c>
      <c r="E121" s="129">
        <f t="shared" si="34"/>
        <v>9.3000000000000007</v>
      </c>
      <c r="F121" s="129">
        <f t="shared" si="34"/>
        <v>9.3000000000000007</v>
      </c>
      <c r="G121" s="129">
        <f t="shared" si="34"/>
        <v>9.3000000000000007</v>
      </c>
      <c r="H121" s="129">
        <f t="shared" si="34"/>
        <v>9.3000000000000007</v>
      </c>
      <c r="I121" s="129">
        <f t="shared" si="34"/>
        <v>9.3000000000000007</v>
      </c>
      <c r="J121" s="129">
        <f t="shared" si="34"/>
        <v>9.3000000000000007</v>
      </c>
      <c r="K121" s="129">
        <f t="shared" si="34"/>
        <v>9.3000000000000007</v>
      </c>
      <c r="L121" s="129">
        <f t="shared" si="34"/>
        <v>9.3000000000000007</v>
      </c>
      <c r="M121" s="129">
        <f t="shared" si="34"/>
        <v>9.3000000000000007</v>
      </c>
      <c r="N121" s="129">
        <f t="shared" si="34"/>
        <v>9.3000000000000007</v>
      </c>
      <c r="O121" s="129">
        <f t="shared" si="34"/>
        <v>9.3000000000000007</v>
      </c>
      <c r="P121" s="129">
        <f t="shared" si="34"/>
        <v>9.3000000000000007</v>
      </c>
      <c r="Q121" s="129">
        <f t="shared" si="34"/>
        <v>9.3000000000000007</v>
      </c>
      <c r="R121" s="129">
        <f t="shared" si="34"/>
        <v>9.3000000000000007</v>
      </c>
      <c r="S121" s="129">
        <f t="shared" si="34"/>
        <v>9.3000000000000007</v>
      </c>
      <c r="T121" s="129">
        <f t="shared" si="33"/>
        <v>9.3000000000000007</v>
      </c>
      <c r="U121" s="129">
        <f t="shared" si="33"/>
        <v>9.3000000000000007</v>
      </c>
      <c r="V121" s="129">
        <f t="shared" si="33"/>
        <v>9.3000000000000007</v>
      </c>
      <c r="W121" s="129">
        <f t="shared" si="33"/>
        <v>9.3000000000000007</v>
      </c>
      <c r="X121" s="129">
        <f t="shared" si="33"/>
        <v>9.3000000000000007</v>
      </c>
      <c r="Y121" s="129">
        <f t="shared" si="33"/>
        <v>9.3000000000000007</v>
      </c>
      <c r="Z121" s="129">
        <f t="shared" si="33"/>
        <v>9.3000000000000007</v>
      </c>
      <c r="AA121" s="129">
        <f t="shared" si="33"/>
        <v>9.3000000000000007</v>
      </c>
      <c r="AB121" s="129">
        <f t="shared" si="33"/>
        <v>9.3000000000000007</v>
      </c>
      <c r="AC121" s="129">
        <f t="shared" si="33"/>
        <v>9.3000000000000007</v>
      </c>
      <c r="AD121" s="129">
        <f t="shared" si="33"/>
        <v>9.3000000000000007</v>
      </c>
      <c r="AE121" s="129">
        <f t="shared" si="33"/>
        <v>9.3000000000000007</v>
      </c>
      <c r="AF121" s="129">
        <f t="shared" si="33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1"/>
        <v>0</v>
      </c>
      <c r="C122" s="130">
        <v>0</v>
      </c>
      <c r="D122" s="129">
        <f t="shared" si="34"/>
        <v>0</v>
      </c>
      <c r="E122" s="129">
        <f t="shared" si="34"/>
        <v>0</v>
      </c>
      <c r="F122" s="129">
        <f t="shared" si="34"/>
        <v>0</v>
      </c>
      <c r="G122" s="129">
        <f t="shared" si="34"/>
        <v>0</v>
      </c>
      <c r="H122" s="129">
        <f t="shared" si="34"/>
        <v>0</v>
      </c>
      <c r="I122" s="129">
        <f t="shared" si="34"/>
        <v>0</v>
      </c>
      <c r="J122" s="129">
        <f t="shared" si="34"/>
        <v>0</v>
      </c>
      <c r="K122" s="129">
        <f t="shared" si="34"/>
        <v>0</v>
      </c>
      <c r="L122" s="129">
        <f t="shared" si="34"/>
        <v>0</v>
      </c>
      <c r="M122" s="129">
        <f t="shared" si="34"/>
        <v>0</v>
      </c>
      <c r="N122" s="129">
        <f t="shared" si="34"/>
        <v>0</v>
      </c>
      <c r="O122" s="129">
        <f t="shared" si="34"/>
        <v>0</v>
      </c>
      <c r="P122" s="129">
        <f t="shared" si="34"/>
        <v>0</v>
      </c>
      <c r="Q122" s="129">
        <f t="shared" si="34"/>
        <v>0</v>
      </c>
      <c r="R122" s="129">
        <f t="shared" si="34"/>
        <v>0</v>
      </c>
      <c r="S122" s="129">
        <f t="shared" si="34"/>
        <v>0</v>
      </c>
      <c r="T122" s="129">
        <f t="shared" si="33"/>
        <v>0</v>
      </c>
      <c r="U122" s="129">
        <f t="shared" si="33"/>
        <v>0</v>
      </c>
      <c r="V122" s="129">
        <f t="shared" si="33"/>
        <v>0</v>
      </c>
      <c r="W122" s="129">
        <f t="shared" si="33"/>
        <v>0</v>
      </c>
      <c r="X122" s="129">
        <f t="shared" si="33"/>
        <v>0</v>
      </c>
      <c r="Y122" s="129">
        <f t="shared" si="33"/>
        <v>0</v>
      </c>
      <c r="Z122" s="129">
        <f t="shared" si="33"/>
        <v>0</v>
      </c>
      <c r="AA122" s="129">
        <f t="shared" si="33"/>
        <v>0</v>
      </c>
      <c r="AB122" s="129">
        <f t="shared" si="33"/>
        <v>0</v>
      </c>
      <c r="AC122" s="129">
        <f t="shared" si="33"/>
        <v>0</v>
      </c>
      <c r="AD122" s="129">
        <f t="shared" si="33"/>
        <v>0</v>
      </c>
      <c r="AE122" s="129">
        <f t="shared" si="33"/>
        <v>0</v>
      </c>
      <c r="AF122" s="129">
        <f t="shared" si="33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1"/>
        <v>0</v>
      </c>
      <c r="C123" s="130">
        <v>0</v>
      </c>
      <c r="D123" s="129">
        <f t="shared" si="34"/>
        <v>0</v>
      </c>
      <c r="E123" s="129">
        <f t="shared" si="34"/>
        <v>0</v>
      </c>
      <c r="F123" s="129">
        <f t="shared" si="34"/>
        <v>0</v>
      </c>
      <c r="G123" s="129">
        <f t="shared" si="34"/>
        <v>0</v>
      </c>
      <c r="H123" s="129">
        <f t="shared" si="34"/>
        <v>0</v>
      </c>
      <c r="I123" s="129">
        <f t="shared" si="34"/>
        <v>0</v>
      </c>
      <c r="J123" s="129">
        <f t="shared" si="34"/>
        <v>0</v>
      </c>
      <c r="K123" s="129">
        <f t="shared" si="34"/>
        <v>0</v>
      </c>
      <c r="L123" s="129">
        <f t="shared" si="34"/>
        <v>0</v>
      </c>
      <c r="M123" s="129">
        <f t="shared" si="34"/>
        <v>0</v>
      </c>
      <c r="N123" s="129">
        <f t="shared" si="34"/>
        <v>0</v>
      </c>
      <c r="O123" s="129">
        <f t="shared" si="34"/>
        <v>0</v>
      </c>
      <c r="P123" s="129">
        <f t="shared" si="34"/>
        <v>0</v>
      </c>
      <c r="Q123" s="129">
        <f t="shared" si="34"/>
        <v>0</v>
      </c>
      <c r="R123" s="129">
        <f t="shared" si="34"/>
        <v>0</v>
      </c>
      <c r="S123" s="129">
        <f t="shared" si="34"/>
        <v>0</v>
      </c>
      <c r="T123" s="129">
        <f t="shared" si="33"/>
        <v>0</v>
      </c>
      <c r="U123" s="129">
        <f t="shared" si="33"/>
        <v>0</v>
      </c>
      <c r="V123" s="129">
        <f t="shared" si="33"/>
        <v>0</v>
      </c>
      <c r="W123" s="129">
        <f t="shared" si="33"/>
        <v>0</v>
      </c>
      <c r="X123" s="129">
        <f t="shared" si="33"/>
        <v>0</v>
      </c>
      <c r="Y123" s="129">
        <f t="shared" si="33"/>
        <v>0</v>
      </c>
      <c r="Z123" s="129">
        <f t="shared" si="33"/>
        <v>0</v>
      </c>
      <c r="AA123" s="129">
        <f t="shared" si="33"/>
        <v>0</v>
      </c>
      <c r="AB123" s="129">
        <f t="shared" si="33"/>
        <v>0</v>
      </c>
      <c r="AC123" s="129">
        <f t="shared" si="33"/>
        <v>0</v>
      </c>
      <c r="AD123" s="129">
        <f t="shared" si="33"/>
        <v>0</v>
      </c>
      <c r="AE123" s="129">
        <f t="shared" si="33"/>
        <v>0</v>
      </c>
      <c r="AF123" s="129">
        <f t="shared" si="33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1"/>
        <v>5</v>
      </c>
      <c r="C124" s="130">
        <v>5</v>
      </c>
      <c r="D124" s="129">
        <f t="shared" si="34"/>
        <v>5</v>
      </c>
      <c r="E124" s="129">
        <f t="shared" si="34"/>
        <v>5</v>
      </c>
      <c r="F124" s="129">
        <f t="shared" si="34"/>
        <v>5</v>
      </c>
      <c r="G124" s="129">
        <f t="shared" si="34"/>
        <v>5</v>
      </c>
      <c r="H124" s="129">
        <f t="shared" si="34"/>
        <v>5</v>
      </c>
      <c r="I124" s="129">
        <f t="shared" si="34"/>
        <v>5</v>
      </c>
      <c r="J124" s="129">
        <f t="shared" si="34"/>
        <v>5</v>
      </c>
      <c r="K124" s="129">
        <f t="shared" si="34"/>
        <v>5</v>
      </c>
      <c r="L124" s="129">
        <f t="shared" si="34"/>
        <v>5</v>
      </c>
      <c r="M124" s="129">
        <f t="shared" si="34"/>
        <v>5</v>
      </c>
      <c r="N124" s="129">
        <f t="shared" si="34"/>
        <v>5</v>
      </c>
      <c r="O124" s="129">
        <f t="shared" si="34"/>
        <v>5</v>
      </c>
      <c r="P124" s="129">
        <f t="shared" si="34"/>
        <v>5</v>
      </c>
      <c r="Q124" s="129">
        <f t="shared" si="34"/>
        <v>5</v>
      </c>
      <c r="R124" s="129">
        <f t="shared" si="34"/>
        <v>5</v>
      </c>
      <c r="S124" s="129">
        <f t="shared" si="34"/>
        <v>5</v>
      </c>
      <c r="T124" s="129">
        <f t="shared" si="33"/>
        <v>5</v>
      </c>
      <c r="U124" s="129">
        <f t="shared" si="33"/>
        <v>5</v>
      </c>
      <c r="V124" s="129">
        <f t="shared" si="33"/>
        <v>5</v>
      </c>
      <c r="W124" s="129">
        <f t="shared" si="33"/>
        <v>5</v>
      </c>
      <c r="X124" s="129">
        <f t="shared" si="33"/>
        <v>5</v>
      </c>
      <c r="Y124" s="129">
        <f t="shared" si="33"/>
        <v>5</v>
      </c>
      <c r="Z124" s="129">
        <f t="shared" si="33"/>
        <v>5</v>
      </c>
      <c r="AA124" s="129">
        <f t="shared" si="33"/>
        <v>5</v>
      </c>
      <c r="AB124" s="129">
        <f t="shared" si="33"/>
        <v>5</v>
      </c>
      <c r="AC124" s="129">
        <f t="shared" si="33"/>
        <v>5</v>
      </c>
      <c r="AD124" s="129">
        <f t="shared" si="33"/>
        <v>5</v>
      </c>
      <c r="AE124" s="129">
        <f t="shared" si="33"/>
        <v>5</v>
      </c>
      <c r="AF124" s="129">
        <f t="shared" si="33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1"/>
        <v>1</v>
      </c>
      <c r="C125" s="130">
        <v>1</v>
      </c>
      <c r="D125" s="129">
        <f t="shared" si="34"/>
        <v>1</v>
      </c>
      <c r="E125" s="129">
        <f t="shared" si="34"/>
        <v>1</v>
      </c>
      <c r="F125" s="129">
        <f t="shared" si="34"/>
        <v>1</v>
      </c>
      <c r="G125" s="129">
        <f t="shared" si="34"/>
        <v>1</v>
      </c>
      <c r="H125" s="129">
        <f t="shared" si="34"/>
        <v>1</v>
      </c>
      <c r="I125" s="129">
        <f t="shared" si="34"/>
        <v>1</v>
      </c>
      <c r="J125" s="129">
        <f t="shared" si="34"/>
        <v>1</v>
      </c>
      <c r="K125" s="129">
        <f t="shared" si="34"/>
        <v>1</v>
      </c>
      <c r="L125" s="129">
        <f t="shared" si="34"/>
        <v>1</v>
      </c>
      <c r="M125" s="129">
        <f t="shared" si="34"/>
        <v>1</v>
      </c>
      <c r="N125" s="129">
        <f t="shared" si="34"/>
        <v>1</v>
      </c>
      <c r="O125" s="129">
        <f t="shared" si="34"/>
        <v>1</v>
      </c>
      <c r="P125" s="129">
        <f t="shared" si="34"/>
        <v>1</v>
      </c>
      <c r="Q125" s="129">
        <f t="shared" si="34"/>
        <v>1</v>
      </c>
      <c r="R125" s="129">
        <f t="shared" si="34"/>
        <v>1</v>
      </c>
      <c r="S125" s="129">
        <f t="shared" si="34"/>
        <v>1</v>
      </c>
      <c r="T125" s="129">
        <f t="shared" si="33"/>
        <v>1</v>
      </c>
      <c r="U125" s="129">
        <f t="shared" si="33"/>
        <v>1</v>
      </c>
      <c r="V125" s="129">
        <f t="shared" si="33"/>
        <v>1</v>
      </c>
      <c r="W125" s="129">
        <f t="shared" si="33"/>
        <v>1</v>
      </c>
      <c r="X125" s="129">
        <f t="shared" si="33"/>
        <v>1</v>
      </c>
      <c r="Y125" s="129">
        <f t="shared" si="33"/>
        <v>1</v>
      </c>
      <c r="Z125" s="129">
        <f t="shared" si="33"/>
        <v>1</v>
      </c>
      <c r="AA125" s="129">
        <f t="shared" si="33"/>
        <v>1</v>
      </c>
      <c r="AB125" s="129">
        <f t="shared" si="33"/>
        <v>1</v>
      </c>
      <c r="AC125" s="129">
        <f t="shared" si="33"/>
        <v>1</v>
      </c>
      <c r="AD125" s="129">
        <f t="shared" si="33"/>
        <v>1</v>
      </c>
      <c r="AE125" s="129">
        <f t="shared" si="33"/>
        <v>1</v>
      </c>
      <c r="AF125" s="129">
        <f t="shared" si="33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1"/>
        <v>1.58</v>
      </c>
      <c r="C126" s="130">
        <v>1.58</v>
      </c>
      <c r="D126" s="129">
        <f t="shared" si="34"/>
        <v>1.58</v>
      </c>
      <c r="E126" s="129">
        <f t="shared" si="34"/>
        <v>1.58</v>
      </c>
      <c r="F126" s="129">
        <f t="shared" si="34"/>
        <v>1.58</v>
      </c>
      <c r="G126" s="129">
        <f t="shared" si="34"/>
        <v>1.58</v>
      </c>
      <c r="H126" s="129">
        <f t="shared" si="34"/>
        <v>1.58</v>
      </c>
      <c r="I126" s="129">
        <f t="shared" si="34"/>
        <v>1.58</v>
      </c>
      <c r="J126" s="129">
        <f t="shared" si="34"/>
        <v>1.58</v>
      </c>
      <c r="K126" s="129">
        <f t="shared" si="34"/>
        <v>1.58</v>
      </c>
      <c r="L126" s="129">
        <f t="shared" si="34"/>
        <v>1.58</v>
      </c>
      <c r="M126" s="129">
        <f t="shared" si="34"/>
        <v>1.58</v>
      </c>
      <c r="N126" s="129">
        <f t="shared" si="34"/>
        <v>1.58</v>
      </c>
      <c r="O126" s="129">
        <f t="shared" si="34"/>
        <v>1.58</v>
      </c>
      <c r="P126" s="129">
        <f t="shared" si="34"/>
        <v>1.58</v>
      </c>
      <c r="Q126" s="129">
        <f t="shared" si="34"/>
        <v>1.58</v>
      </c>
      <c r="R126" s="129">
        <f t="shared" si="34"/>
        <v>1.58</v>
      </c>
      <c r="S126" s="129">
        <f t="shared" si="34"/>
        <v>1.58</v>
      </c>
      <c r="T126" s="129">
        <f t="shared" si="33"/>
        <v>1.58</v>
      </c>
      <c r="U126" s="129">
        <f t="shared" si="33"/>
        <v>1.58</v>
      </c>
      <c r="V126" s="129">
        <f t="shared" si="33"/>
        <v>1.58</v>
      </c>
      <c r="W126" s="129">
        <f t="shared" si="33"/>
        <v>1.58</v>
      </c>
      <c r="X126" s="129">
        <f t="shared" si="33"/>
        <v>1.58</v>
      </c>
      <c r="Y126" s="129">
        <f t="shared" si="33"/>
        <v>1.58</v>
      </c>
      <c r="Z126" s="129">
        <f t="shared" si="33"/>
        <v>1.58</v>
      </c>
      <c r="AA126" s="129">
        <f t="shared" si="33"/>
        <v>1.58</v>
      </c>
      <c r="AB126" s="129">
        <f t="shared" si="33"/>
        <v>1.58</v>
      </c>
      <c r="AC126" s="129">
        <f t="shared" si="33"/>
        <v>1.58</v>
      </c>
      <c r="AD126" s="129">
        <f t="shared" si="33"/>
        <v>1.58</v>
      </c>
      <c r="AE126" s="129">
        <f t="shared" si="33"/>
        <v>1.58</v>
      </c>
      <c r="AF126" s="129">
        <f t="shared" si="33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1"/>
        <v>1.46</v>
      </c>
      <c r="C127" s="130">
        <v>1.46</v>
      </c>
      <c r="D127" s="129">
        <f t="shared" si="34"/>
        <v>1.46</v>
      </c>
      <c r="E127" s="129">
        <f t="shared" si="34"/>
        <v>1.46</v>
      </c>
      <c r="F127" s="129">
        <f t="shared" si="34"/>
        <v>1.46</v>
      </c>
      <c r="G127" s="129">
        <f t="shared" si="34"/>
        <v>1.46</v>
      </c>
      <c r="H127" s="129">
        <f t="shared" si="34"/>
        <v>1.46</v>
      </c>
      <c r="I127" s="129">
        <f t="shared" si="34"/>
        <v>1.46</v>
      </c>
      <c r="J127" s="129">
        <f t="shared" si="34"/>
        <v>1.46</v>
      </c>
      <c r="K127" s="129">
        <f t="shared" si="34"/>
        <v>1.46</v>
      </c>
      <c r="L127" s="129">
        <f t="shared" si="34"/>
        <v>1.46</v>
      </c>
      <c r="M127" s="129">
        <f t="shared" si="34"/>
        <v>1.46</v>
      </c>
      <c r="N127" s="129">
        <f t="shared" si="34"/>
        <v>1.46</v>
      </c>
      <c r="O127" s="129">
        <f t="shared" si="34"/>
        <v>1.46</v>
      </c>
      <c r="P127" s="129">
        <f t="shared" si="34"/>
        <v>1.46</v>
      </c>
      <c r="Q127" s="129">
        <f t="shared" si="34"/>
        <v>1.46</v>
      </c>
      <c r="R127" s="129">
        <f t="shared" si="34"/>
        <v>1.46</v>
      </c>
      <c r="S127" s="129">
        <f t="shared" si="34"/>
        <v>1.46</v>
      </c>
      <c r="T127" s="129">
        <f t="shared" ref="T127:AF128" si="35">S127</f>
        <v>1.46</v>
      </c>
      <c r="U127" s="129">
        <f t="shared" si="35"/>
        <v>1.46</v>
      </c>
      <c r="V127" s="129">
        <f t="shared" si="35"/>
        <v>1.46</v>
      </c>
      <c r="W127" s="129">
        <f t="shared" si="35"/>
        <v>1.46</v>
      </c>
      <c r="X127" s="129">
        <f t="shared" si="35"/>
        <v>1.46</v>
      </c>
      <c r="Y127" s="129">
        <f t="shared" si="35"/>
        <v>1.46</v>
      </c>
      <c r="Z127" s="129">
        <f t="shared" si="35"/>
        <v>1.46</v>
      </c>
      <c r="AA127" s="129">
        <f t="shared" si="35"/>
        <v>1.46</v>
      </c>
      <c r="AB127" s="129">
        <f t="shared" si="35"/>
        <v>1.46</v>
      </c>
      <c r="AC127" s="129">
        <f t="shared" si="35"/>
        <v>1.46</v>
      </c>
      <c r="AD127" s="129">
        <f t="shared" si="35"/>
        <v>1.46</v>
      </c>
      <c r="AE127" s="129">
        <f t="shared" si="35"/>
        <v>1.46</v>
      </c>
      <c r="AF127" s="129">
        <f t="shared" si="35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1"/>
        <v>1.48</v>
      </c>
      <c r="C128" s="130">
        <v>1.48</v>
      </c>
      <c r="D128" s="129">
        <f t="shared" si="34"/>
        <v>1.48</v>
      </c>
      <c r="E128" s="129">
        <f t="shared" si="34"/>
        <v>1.48</v>
      </c>
      <c r="F128" s="129">
        <f t="shared" si="34"/>
        <v>1.48</v>
      </c>
      <c r="G128" s="129">
        <f t="shared" si="34"/>
        <v>1.48</v>
      </c>
      <c r="H128" s="129">
        <f t="shared" si="34"/>
        <v>1.48</v>
      </c>
      <c r="I128" s="129">
        <f t="shared" si="34"/>
        <v>1.48</v>
      </c>
      <c r="J128" s="129">
        <f t="shared" si="34"/>
        <v>1.48</v>
      </c>
      <c r="K128" s="129">
        <f t="shared" si="34"/>
        <v>1.48</v>
      </c>
      <c r="L128" s="129">
        <f t="shared" si="34"/>
        <v>1.48</v>
      </c>
      <c r="M128" s="129">
        <f t="shared" si="34"/>
        <v>1.48</v>
      </c>
      <c r="N128" s="129">
        <f t="shared" si="34"/>
        <v>1.48</v>
      </c>
      <c r="O128" s="129">
        <f t="shared" si="34"/>
        <v>1.48</v>
      </c>
      <c r="P128" s="129">
        <f t="shared" si="34"/>
        <v>1.48</v>
      </c>
      <c r="Q128" s="129">
        <f t="shared" si="34"/>
        <v>1.48</v>
      </c>
      <c r="R128" s="129">
        <f t="shared" si="34"/>
        <v>1.48</v>
      </c>
      <c r="S128" s="129">
        <f t="shared" si="34"/>
        <v>1.48</v>
      </c>
      <c r="T128" s="129">
        <f t="shared" si="35"/>
        <v>1.48</v>
      </c>
      <c r="U128" s="129">
        <f t="shared" si="35"/>
        <v>1.48</v>
      </c>
      <c r="V128" s="129">
        <f t="shared" si="35"/>
        <v>1.48</v>
      </c>
      <c r="W128" s="129">
        <f t="shared" si="35"/>
        <v>1.48</v>
      </c>
      <c r="X128" s="129">
        <f t="shared" si="35"/>
        <v>1.48</v>
      </c>
      <c r="Y128" s="129">
        <f t="shared" si="35"/>
        <v>1.48</v>
      </c>
      <c r="Z128" s="129">
        <f t="shared" si="35"/>
        <v>1.48</v>
      </c>
      <c r="AA128" s="129">
        <f t="shared" si="35"/>
        <v>1.48</v>
      </c>
      <c r="AB128" s="129">
        <f t="shared" si="35"/>
        <v>1.48</v>
      </c>
      <c r="AC128" s="129">
        <f t="shared" si="35"/>
        <v>1.48</v>
      </c>
      <c r="AD128" s="129">
        <f t="shared" si="35"/>
        <v>1.48</v>
      </c>
      <c r="AE128" s="129">
        <f t="shared" si="35"/>
        <v>1.48</v>
      </c>
      <c r="AF128" s="129">
        <f t="shared" si="35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6">AF130</f>
        <v>2.2000000000000002</v>
      </c>
      <c r="C130" s="130">
        <v>2.2000000000000002</v>
      </c>
      <c r="D130" s="129">
        <f t="shared" ref="D130:S137" si="37">C130</f>
        <v>2.2000000000000002</v>
      </c>
      <c r="E130" s="129">
        <f t="shared" si="37"/>
        <v>2.2000000000000002</v>
      </c>
      <c r="F130" s="129">
        <f t="shared" si="37"/>
        <v>2.2000000000000002</v>
      </c>
      <c r="G130" s="129">
        <f t="shared" si="37"/>
        <v>2.2000000000000002</v>
      </c>
      <c r="H130" s="129">
        <f t="shared" si="37"/>
        <v>2.2000000000000002</v>
      </c>
      <c r="I130" s="129">
        <f t="shared" si="37"/>
        <v>2.2000000000000002</v>
      </c>
      <c r="J130" s="129">
        <f t="shared" si="37"/>
        <v>2.2000000000000002</v>
      </c>
      <c r="K130" s="129">
        <f t="shared" si="37"/>
        <v>2.2000000000000002</v>
      </c>
      <c r="L130" s="129">
        <f t="shared" si="37"/>
        <v>2.2000000000000002</v>
      </c>
      <c r="M130" s="129">
        <f t="shared" si="37"/>
        <v>2.2000000000000002</v>
      </c>
      <c r="N130" s="129">
        <f t="shared" si="37"/>
        <v>2.2000000000000002</v>
      </c>
      <c r="O130" s="129">
        <f t="shared" si="37"/>
        <v>2.2000000000000002</v>
      </c>
      <c r="P130" s="129">
        <f t="shared" si="37"/>
        <v>2.2000000000000002</v>
      </c>
      <c r="Q130" s="129">
        <f t="shared" si="37"/>
        <v>2.2000000000000002</v>
      </c>
      <c r="R130" s="129">
        <f t="shared" si="37"/>
        <v>2.2000000000000002</v>
      </c>
      <c r="S130" s="129">
        <f t="shared" si="37"/>
        <v>2.2000000000000002</v>
      </c>
      <c r="T130" s="129">
        <f t="shared" ref="T130:AF137" si="38">S130</f>
        <v>2.2000000000000002</v>
      </c>
      <c r="U130" s="129">
        <f t="shared" si="38"/>
        <v>2.2000000000000002</v>
      </c>
      <c r="V130" s="129">
        <f t="shared" si="38"/>
        <v>2.2000000000000002</v>
      </c>
      <c r="W130" s="129">
        <f t="shared" si="38"/>
        <v>2.2000000000000002</v>
      </c>
      <c r="X130" s="129">
        <f t="shared" si="38"/>
        <v>2.2000000000000002</v>
      </c>
      <c r="Y130" s="129">
        <f t="shared" si="38"/>
        <v>2.2000000000000002</v>
      </c>
      <c r="Z130" s="129">
        <f t="shared" si="38"/>
        <v>2.2000000000000002</v>
      </c>
      <c r="AA130" s="129">
        <f t="shared" si="38"/>
        <v>2.2000000000000002</v>
      </c>
      <c r="AB130" s="129">
        <f t="shared" si="38"/>
        <v>2.2000000000000002</v>
      </c>
      <c r="AC130" s="129">
        <f t="shared" si="38"/>
        <v>2.2000000000000002</v>
      </c>
      <c r="AD130" s="129">
        <f t="shared" si="38"/>
        <v>2.2000000000000002</v>
      </c>
      <c r="AE130" s="129">
        <f t="shared" si="38"/>
        <v>2.2000000000000002</v>
      </c>
      <c r="AF130" s="129">
        <f t="shared" si="38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6"/>
        <v>2</v>
      </c>
      <c r="C131" s="130">
        <v>2</v>
      </c>
      <c r="D131" s="129">
        <f t="shared" si="37"/>
        <v>2</v>
      </c>
      <c r="E131" s="129">
        <f t="shared" si="37"/>
        <v>2</v>
      </c>
      <c r="F131" s="129">
        <f t="shared" si="37"/>
        <v>2</v>
      </c>
      <c r="G131" s="129">
        <f t="shared" si="37"/>
        <v>2</v>
      </c>
      <c r="H131" s="129">
        <f t="shared" si="37"/>
        <v>2</v>
      </c>
      <c r="I131" s="129">
        <f t="shared" si="37"/>
        <v>2</v>
      </c>
      <c r="J131" s="129">
        <f t="shared" si="37"/>
        <v>2</v>
      </c>
      <c r="K131" s="129">
        <f t="shared" si="37"/>
        <v>2</v>
      </c>
      <c r="L131" s="129">
        <f t="shared" si="37"/>
        <v>2</v>
      </c>
      <c r="M131" s="129">
        <f t="shared" si="37"/>
        <v>2</v>
      </c>
      <c r="N131" s="129">
        <f t="shared" si="37"/>
        <v>2</v>
      </c>
      <c r="O131" s="129">
        <f t="shared" si="37"/>
        <v>2</v>
      </c>
      <c r="P131" s="129">
        <f t="shared" si="37"/>
        <v>2</v>
      </c>
      <c r="Q131" s="129">
        <f t="shared" si="37"/>
        <v>2</v>
      </c>
      <c r="R131" s="129">
        <f t="shared" si="37"/>
        <v>2</v>
      </c>
      <c r="S131" s="129">
        <f t="shared" si="37"/>
        <v>2</v>
      </c>
      <c r="T131" s="129">
        <f t="shared" si="38"/>
        <v>2</v>
      </c>
      <c r="U131" s="129">
        <f t="shared" si="38"/>
        <v>2</v>
      </c>
      <c r="V131" s="129">
        <f t="shared" si="38"/>
        <v>2</v>
      </c>
      <c r="W131" s="129">
        <f t="shared" si="38"/>
        <v>2</v>
      </c>
      <c r="X131" s="129">
        <f t="shared" si="38"/>
        <v>2</v>
      </c>
      <c r="Y131" s="129">
        <f t="shared" si="38"/>
        <v>2</v>
      </c>
      <c r="Z131" s="129">
        <f t="shared" si="38"/>
        <v>2</v>
      </c>
      <c r="AA131" s="129">
        <f t="shared" si="38"/>
        <v>2</v>
      </c>
      <c r="AB131" s="129">
        <f t="shared" si="38"/>
        <v>2</v>
      </c>
      <c r="AC131" s="129">
        <f t="shared" si="38"/>
        <v>2</v>
      </c>
      <c r="AD131" s="129">
        <f t="shared" si="38"/>
        <v>2</v>
      </c>
      <c r="AE131" s="129">
        <f t="shared" si="38"/>
        <v>2</v>
      </c>
      <c r="AF131" s="129">
        <f t="shared" si="38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6"/>
        <v>1.25</v>
      </c>
      <c r="C132" s="130">
        <v>1.25</v>
      </c>
      <c r="D132" s="129">
        <f t="shared" si="37"/>
        <v>1.25</v>
      </c>
      <c r="E132" s="129">
        <f t="shared" si="37"/>
        <v>1.25</v>
      </c>
      <c r="F132" s="129">
        <f t="shared" si="37"/>
        <v>1.25</v>
      </c>
      <c r="G132" s="129">
        <f t="shared" si="37"/>
        <v>1.25</v>
      </c>
      <c r="H132" s="129">
        <f t="shared" si="37"/>
        <v>1.25</v>
      </c>
      <c r="I132" s="129">
        <f t="shared" si="37"/>
        <v>1.25</v>
      </c>
      <c r="J132" s="129">
        <f t="shared" si="37"/>
        <v>1.25</v>
      </c>
      <c r="K132" s="129">
        <f t="shared" si="37"/>
        <v>1.25</v>
      </c>
      <c r="L132" s="129">
        <f t="shared" si="37"/>
        <v>1.25</v>
      </c>
      <c r="M132" s="129">
        <f t="shared" si="37"/>
        <v>1.25</v>
      </c>
      <c r="N132" s="129">
        <f t="shared" si="37"/>
        <v>1.25</v>
      </c>
      <c r="O132" s="129">
        <f t="shared" si="37"/>
        <v>1.25</v>
      </c>
      <c r="P132" s="129">
        <f t="shared" si="37"/>
        <v>1.25</v>
      </c>
      <c r="Q132" s="129">
        <f t="shared" si="37"/>
        <v>1.25</v>
      </c>
      <c r="R132" s="129">
        <f t="shared" si="37"/>
        <v>1.25</v>
      </c>
      <c r="S132" s="129">
        <f t="shared" si="37"/>
        <v>1.25</v>
      </c>
      <c r="T132" s="129">
        <f t="shared" si="38"/>
        <v>1.25</v>
      </c>
      <c r="U132" s="129">
        <f t="shared" si="38"/>
        <v>1.25</v>
      </c>
      <c r="V132" s="129">
        <f t="shared" si="38"/>
        <v>1.25</v>
      </c>
      <c r="W132" s="129">
        <f t="shared" si="38"/>
        <v>1.25</v>
      </c>
      <c r="X132" s="129">
        <f t="shared" si="38"/>
        <v>1.25</v>
      </c>
      <c r="Y132" s="129">
        <f t="shared" si="38"/>
        <v>1.25</v>
      </c>
      <c r="Z132" s="129">
        <f t="shared" si="38"/>
        <v>1.25</v>
      </c>
      <c r="AA132" s="129">
        <f t="shared" si="38"/>
        <v>1.25</v>
      </c>
      <c r="AB132" s="129">
        <f t="shared" si="38"/>
        <v>1.25</v>
      </c>
      <c r="AC132" s="129">
        <f t="shared" si="38"/>
        <v>1.25</v>
      </c>
      <c r="AD132" s="129">
        <f t="shared" si="38"/>
        <v>1.25</v>
      </c>
      <c r="AE132" s="129">
        <f t="shared" si="38"/>
        <v>1.25</v>
      </c>
      <c r="AF132" s="129">
        <f t="shared" si="38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6"/>
        <v>1.1499999999999999</v>
      </c>
      <c r="C133" s="130">
        <v>1.1499999999999999</v>
      </c>
      <c r="D133" s="129">
        <f t="shared" si="37"/>
        <v>1.1499999999999999</v>
      </c>
      <c r="E133" s="129">
        <f t="shared" si="37"/>
        <v>1.1499999999999999</v>
      </c>
      <c r="F133" s="129">
        <f t="shared" si="37"/>
        <v>1.1499999999999999</v>
      </c>
      <c r="G133" s="129">
        <f t="shared" si="37"/>
        <v>1.1499999999999999</v>
      </c>
      <c r="H133" s="129">
        <f t="shared" si="37"/>
        <v>1.1499999999999999</v>
      </c>
      <c r="I133" s="129">
        <f t="shared" si="37"/>
        <v>1.1499999999999999</v>
      </c>
      <c r="J133" s="129">
        <f t="shared" si="37"/>
        <v>1.1499999999999999</v>
      </c>
      <c r="K133" s="129">
        <f t="shared" si="37"/>
        <v>1.1499999999999999</v>
      </c>
      <c r="L133" s="129">
        <f t="shared" si="37"/>
        <v>1.1499999999999999</v>
      </c>
      <c r="M133" s="129">
        <f t="shared" si="37"/>
        <v>1.1499999999999999</v>
      </c>
      <c r="N133" s="129">
        <f t="shared" si="37"/>
        <v>1.1499999999999999</v>
      </c>
      <c r="O133" s="129">
        <f t="shared" si="37"/>
        <v>1.1499999999999999</v>
      </c>
      <c r="P133" s="129">
        <f t="shared" si="37"/>
        <v>1.1499999999999999</v>
      </c>
      <c r="Q133" s="129">
        <f t="shared" si="37"/>
        <v>1.1499999999999999</v>
      </c>
      <c r="R133" s="129">
        <f t="shared" si="37"/>
        <v>1.1499999999999999</v>
      </c>
      <c r="S133" s="129">
        <f t="shared" si="37"/>
        <v>1.1499999999999999</v>
      </c>
      <c r="T133" s="129">
        <f t="shared" si="38"/>
        <v>1.1499999999999999</v>
      </c>
      <c r="U133" s="129">
        <f t="shared" si="38"/>
        <v>1.1499999999999999</v>
      </c>
      <c r="V133" s="129">
        <f t="shared" si="38"/>
        <v>1.1499999999999999</v>
      </c>
      <c r="W133" s="129">
        <f t="shared" si="38"/>
        <v>1.1499999999999999</v>
      </c>
      <c r="X133" s="129">
        <f t="shared" si="38"/>
        <v>1.1499999999999999</v>
      </c>
      <c r="Y133" s="129">
        <f t="shared" si="38"/>
        <v>1.1499999999999999</v>
      </c>
      <c r="Z133" s="129">
        <f t="shared" si="38"/>
        <v>1.1499999999999999</v>
      </c>
      <c r="AA133" s="129">
        <f t="shared" si="38"/>
        <v>1.1499999999999999</v>
      </c>
      <c r="AB133" s="129">
        <f t="shared" si="38"/>
        <v>1.1499999999999999</v>
      </c>
      <c r="AC133" s="129">
        <f t="shared" si="38"/>
        <v>1.1499999999999999</v>
      </c>
      <c r="AD133" s="129">
        <f t="shared" si="38"/>
        <v>1.1499999999999999</v>
      </c>
      <c r="AE133" s="129">
        <f t="shared" si="38"/>
        <v>1.1499999999999999</v>
      </c>
      <c r="AF133" s="129">
        <f t="shared" si="38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6"/>
        <v>2.133</v>
      </c>
      <c r="C134" s="130">
        <v>2.133</v>
      </c>
      <c r="D134" s="129">
        <f t="shared" si="37"/>
        <v>2.133</v>
      </c>
      <c r="E134" s="129">
        <f t="shared" si="37"/>
        <v>2.133</v>
      </c>
      <c r="F134" s="129">
        <f t="shared" si="37"/>
        <v>2.133</v>
      </c>
      <c r="G134" s="129">
        <f t="shared" si="37"/>
        <v>2.133</v>
      </c>
      <c r="H134" s="129">
        <f t="shared" si="37"/>
        <v>2.133</v>
      </c>
      <c r="I134" s="129">
        <f t="shared" si="37"/>
        <v>2.133</v>
      </c>
      <c r="J134" s="129">
        <f t="shared" si="37"/>
        <v>2.133</v>
      </c>
      <c r="K134" s="129">
        <f t="shared" si="37"/>
        <v>2.133</v>
      </c>
      <c r="L134" s="129">
        <f t="shared" si="37"/>
        <v>2.133</v>
      </c>
      <c r="M134" s="129">
        <f t="shared" si="37"/>
        <v>2.133</v>
      </c>
      <c r="N134" s="129">
        <f t="shared" si="37"/>
        <v>2.133</v>
      </c>
      <c r="O134" s="129">
        <f t="shared" si="37"/>
        <v>2.133</v>
      </c>
      <c r="P134" s="129">
        <f t="shared" si="37"/>
        <v>2.133</v>
      </c>
      <c r="Q134" s="129">
        <f t="shared" si="37"/>
        <v>2.133</v>
      </c>
      <c r="R134" s="129">
        <f t="shared" si="37"/>
        <v>2.133</v>
      </c>
      <c r="S134" s="129">
        <f t="shared" si="37"/>
        <v>2.133</v>
      </c>
      <c r="T134" s="129">
        <f t="shared" si="38"/>
        <v>2.133</v>
      </c>
      <c r="U134" s="129">
        <f t="shared" si="38"/>
        <v>2.133</v>
      </c>
      <c r="V134" s="129">
        <f t="shared" si="38"/>
        <v>2.133</v>
      </c>
      <c r="W134" s="129">
        <f t="shared" si="38"/>
        <v>2.133</v>
      </c>
      <c r="X134" s="129">
        <f t="shared" si="38"/>
        <v>2.133</v>
      </c>
      <c r="Y134" s="129">
        <f t="shared" si="38"/>
        <v>2.133</v>
      </c>
      <c r="Z134" s="129">
        <f t="shared" si="38"/>
        <v>2.133</v>
      </c>
      <c r="AA134" s="129">
        <f t="shared" si="38"/>
        <v>2.133</v>
      </c>
      <c r="AB134" s="129">
        <f t="shared" si="38"/>
        <v>2.133</v>
      </c>
      <c r="AC134" s="129">
        <f t="shared" si="38"/>
        <v>2.133</v>
      </c>
      <c r="AD134" s="129">
        <f t="shared" si="38"/>
        <v>2.133</v>
      </c>
      <c r="AE134" s="129">
        <f t="shared" si="38"/>
        <v>2.133</v>
      </c>
      <c r="AF134" s="129">
        <f t="shared" si="38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6"/>
        <v>2.09</v>
      </c>
      <c r="C135" s="130">
        <v>2.09</v>
      </c>
      <c r="D135" s="129">
        <f t="shared" si="37"/>
        <v>2.09</v>
      </c>
      <c r="E135" s="129">
        <f t="shared" si="37"/>
        <v>2.09</v>
      </c>
      <c r="F135" s="129">
        <f t="shared" si="37"/>
        <v>2.09</v>
      </c>
      <c r="G135" s="129">
        <f t="shared" si="37"/>
        <v>2.09</v>
      </c>
      <c r="H135" s="129">
        <f t="shared" si="37"/>
        <v>2.09</v>
      </c>
      <c r="I135" s="129">
        <f t="shared" si="37"/>
        <v>2.09</v>
      </c>
      <c r="J135" s="129">
        <f t="shared" si="37"/>
        <v>2.09</v>
      </c>
      <c r="K135" s="129">
        <f t="shared" si="37"/>
        <v>2.09</v>
      </c>
      <c r="L135" s="129">
        <f t="shared" si="37"/>
        <v>2.09</v>
      </c>
      <c r="M135" s="129">
        <f t="shared" si="37"/>
        <v>2.09</v>
      </c>
      <c r="N135" s="129">
        <f t="shared" si="37"/>
        <v>2.09</v>
      </c>
      <c r="O135" s="129">
        <f t="shared" si="37"/>
        <v>2.09</v>
      </c>
      <c r="P135" s="129">
        <f t="shared" si="37"/>
        <v>2.09</v>
      </c>
      <c r="Q135" s="129">
        <f t="shared" si="37"/>
        <v>2.09</v>
      </c>
      <c r="R135" s="129">
        <f t="shared" si="37"/>
        <v>2.09</v>
      </c>
      <c r="S135" s="129">
        <f t="shared" si="37"/>
        <v>2.09</v>
      </c>
      <c r="T135" s="129">
        <f t="shared" si="38"/>
        <v>2.09</v>
      </c>
      <c r="U135" s="129">
        <f t="shared" si="38"/>
        <v>2.09</v>
      </c>
      <c r="V135" s="129">
        <f t="shared" si="38"/>
        <v>2.09</v>
      </c>
      <c r="W135" s="129">
        <f t="shared" si="38"/>
        <v>2.09</v>
      </c>
      <c r="X135" s="129">
        <f t="shared" si="38"/>
        <v>2.09</v>
      </c>
      <c r="Y135" s="129">
        <f t="shared" si="38"/>
        <v>2.09</v>
      </c>
      <c r="Z135" s="129">
        <f t="shared" si="38"/>
        <v>2.09</v>
      </c>
      <c r="AA135" s="129">
        <f t="shared" si="38"/>
        <v>2.09</v>
      </c>
      <c r="AB135" s="129">
        <f t="shared" si="38"/>
        <v>2.09</v>
      </c>
      <c r="AC135" s="129">
        <f t="shared" si="38"/>
        <v>2.09</v>
      </c>
      <c r="AD135" s="129">
        <f t="shared" si="38"/>
        <v>2.09</v>
      </c>
      <c r="AE135" s="129">
        <f t="shared" si="38"/>
        <v>2.09</v>
      </c>
      <c r="AF135" s="129">
        <f t="shared" si="38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6"/>
        <v>1.1399999999999999</v>
      </c>
      <c r="C136" s="130">
        <v>1.1399999999999999</v>
      </c>
      <c r="D136" s="129">
        <f t="shared" si="37"/>
        <v>1.1399999999999999</v>
      </c>
      <c r="E136" s="129">
        <f t="shared" si="37"/>
        <v>1.1399999999999999</v>
      </c>
      <c r="F136" s="129">
        <f t="shared" si="37"/>
        <v>1.1399999999999999</v>
      </c>
      <c r="G136" s="129">
        <f t="shared" si="37"/>
        <v>1.1399999999999999</v>
      </c>
      <c r="H136" s="129">
        <f t="shared" si="37"/>
        <v>1.1399999999999999</v>
      </c>
      <c r="I136" s="129">
        <f t="shared" si="37"/>
        <v>1.1399999999999999</v>
      </c>
      <c r="J136" s="129">
        <f t="shared" si="37"/>
        <v>1.1399999999999999</v>
      </c>
      <c r="K136" s="129">
        <f t="shared" si="37"/>
        <v>1.1399999999999999</v>
      </c>
      <c r="L136" s="129">
        <f t="shared" si="37"/>
        <v>1.1399999999999999</v>
      </c>
      <c r="M136" s="129">
        <f t="shared" si="37"/>
        <v>1.1399999999999999</v>
      </c>
      <c r="N136" s="129">
        <f t="shared" si="37"/>
        <v>1.1399999999999999</v>
      </c>
      <c r="O136" s="129">
        <f t="shared" si="37"/>
        <v>1.1399999999999999</v>
      </c>
      <c r="P136" s="129">
        <f t="shared" si="37"/>
        <v>1.1399999999999999</v>
      </c>
      <c r="Q136" s="129">
        <f t="shared" si="37"/>
        <v>1.1399999999999999</v>
      </c>
      <c r="R136" s="129">
        <f t="shared" si="37"/>
        <v>1.1399999999999999</v>
      </c>
      <c r="S136" s="129">
        <f t="shared" si="37"/>
        <v>1.1399999999999999</v>
      </c>
      <c r="T136" s="129">
        <f t="shared" si="38"/>
        <v>1.1399999999999999</v>
      </c>
      <c r="U136" s="129">
        <f t="shared" si="38"/>
        <v>1.1399999999999999</v>
      </c>
      <c r="V136" s="129">
        <f t="shared" si="38"/>
        <v>1.1399999999999999</v>
      </c>
      <c r="W136" s="129">
        <f t="shared" si="38"/>
        <v>1.1399999999999999</v>
      </c>
      <c r="X136" s="129">
        <f t="shared" si="38"/>
        <v>1.1399999999999999</v>
      </c>
      <c r="Y136" s="129">
        <f t="shared" si="38"/>
        <v>1.1399999999999999</v>
      </c>
      <c r="Z136" s="129">
        <f t="shared" si="38"/>
        <v>1.1399999999999999</v>
      </c>
      <c r="AA136" s="129">
        <f t="shared" si="38"/>
        <v>1.1399999999999999</v>
      </c>
      <c r="AB136" s="129">
        <f t="shared" si="38"/>
        <v>1.1399999999999999</v>
      </c>
      <c r="AC136" s="129">
        <f t="shared" si="38"/>
        <v>1.1399999999999999</v>
      </c>
      <c r="AD136" s="129">
        <f t="shared" si="38"/>
        <v>1.1399999999999999</v>
      </c>
      <c r="AE136" s="129">
        <f t="shared" si="38"/>
        <v>1.1399999999999999</v>
      </c>
      <c r="AF136" s="129">
        <f t="shared" si="38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6"/>
        <v>0.82</v>
      </c>
      <c r="C137" s="130">
        <v>0.82</v>
      </c>
      <c r="D137" s="129">
        <f t="shared" si="37"/>
        <v>0.82</v>
      </c>
      <c r="E137" s="129">
        <f t="shared" si="37"/>
        <v>0.82</v>
      </c>
      <c r="F137" s="129">
        <f t="shared" si="37"/>
        <v>0.82</v>
      </c>
      <c r="G137" s="129">
        <f t="shared" si="37"/>
        <v>0.82</v>
      </c>
      <c r="H137" s="129">
        <f t="shared" si="37"/>
        <v>0.82</v>
      </c>
      <c r="I137" s="129">
        <f t="shared" si="37"/>
        <v>0.82</v>
      </c>
      <c r="J137" s="129">
        <f t="shared" si="37"/>
        <v>0.82</v>
      </c>
      <c r="K137" s="129">
        <f t="shared" si="37"/>
        <v>0.82</v>
      </c>
      <c r="L137" s="129">
        <f t="shared" si="37"/>
        <v>0.82</v>
      </c>
      <c r="M137" s="129">
        <f t="shared" si="37"/>
        <v>0.82</v>
      </c>
      <c r="N137" s="129">
        <f t="shared" si="37"/>
        <v>0.82</v>
      </c>
      <c r="O137" s="129">
        <f t="shared" si="37"/>
        <v>0.82</v>
      </c>
      <c r="P137" s="129">
        <f t="shared" si="37"/>
        <v>0.82</v>
      </c>
      <c r="Q137" s="129">
        <f t="shared" si="37"/>
        <v>0.82</v>
      </c>
      <c r="R137" s="129">
        <f t="shared" si="37"/>
        <v>0.82</v>
      </c>
      <c r="S137" s="129">
        <f t="shared" si="37"/>
        <v>0.82</v>
      </c>
      <c r="T137" s="129">
        <f t="shared" si="38"/>
        <v>0.82</v>
      </c>
      <c r="U137" s="129">
        <f t="shared" si="38"/>
        <v>0.82</v>
      </c>
      <c r="V137" s="129">
        <f t="shared" si="38"/>
        <v>0.82</v>
      </c>
      <c r="W137" s="129">
        <f t="shared" si="38"/>
        <v>0.82</v>
      </c>
      <c r="X137" s="129">
        <f t="shared" si="38"/>
        <v>0.82</v>
      </c>
      <c r="Y137" s="129">
        <f t="shared" si="38"/>
        <v>0.82</v>
      </c>
      <c r="Z137" s="129">
        <f t="shared" si="38"/>
        <v>0.82</v>
      </c>
      <c r="AA137" s="129">
        <f t="shared" si="38"/>
        <v>0.82</v>
      </c>
      <c r="AB137" s="129">
        <f t="shared" si="38"/>
        <v>0.82</v>
      </c>
      <c r="AC137" s="129">
        <f t="shared" si="38"/>
        <v>0.82</v>
      </c>
      <c r="AD137" s="129">
        <f t="shared" si="38"/>
        <v>0.82</v>
      </c>
      <c r="AE137" s="129">
        <f t="shared" si="38"/>
        <v>0.82</v>
      </c>
      <c r="AF137" s="129">
        <f t="shared" si="38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9">AF139</f>
        <v>2</v>
      </c>
      <c r="C139" s="130">
        <v>2</v>
      </c>
      <c r="D139" s="129">
        <f t="shared" ref="D139:S145" si="40">C139</f>
        <v>2</v>
      </c>
      <c r="E139" s="129">
        <f t="shared" si="40"/>
        <v>2</v>
      </c>
      <c r="F139" s="129">
        <f t="shared" si="40"/>
        <v>2</v>
      </c>
      <c r="G139" s="129">
        <f t="shared" si="40"/>
        <v>2</v>
      </c>
      <c r="H139" s="129">
        <f t="shared" si="40"/>
        <v>2</v>
      </c>
      <c r="I139" s="129">
        <f t="shared" si="40"/>
        <v>2</v>
      </c>
      <c r="J139" s="129">
        <f t="shared" si="40"/>
        <v>2</v>
      </c>
      <c r="K139" s="129">
        <f t="shared" si="40"/>
        <v>2</v>
      </c>
      <c r="L139" s="129">
        <f t="shared" si="40"/>
        <v>2</v>
      </c>
      <c r="M139" s="129">
        <f t="shared" si="40"/>
        <v>2</v>
      </c>
      <c r="N139" s="129">
        <f t="shared" si="40"/>
        <v>2</v>
      </c>
      <c r="O139" s="129">
        <f t="shared" si="40"/>
        <v>2</v>
      </c>
      <c r="P139" s="129">
        <f t="shared" si="40"/>
        <v>2</v>
      </c>
      <c r="Q139" s="129">
        <f t="shared" si="40"/>
        <v>2</v>
      </c>
      <c r="R139" s="129">
        <f t="shared" si="40"/>
        <v>2</v>
      </c>
      <c r="S139" s="129">
        <f t="shared" si="40"/>
        <v>2</v>
      </c>
      <c r="T139" s="129">
        <f t="shared" ref="T139:AF145" si="41">S139</f>
        <v>2</v>
      </c>
      <c r="U139" s="129">
        <f t="shared" si="41"/>
        <v>2</v>
      </c>
      <c r="V139" s="129">
        <f t="shared" si="41"/>
        <v>2</v>
      </c>
      <c r="W139" s="129">
        <f t="shared" si="41"/>
        <v>2</v>
      </c>
      <c r="X139" s="129">
        <f t="shared" si="41"/>
        <v>2</v>
      </c>
      <c r="Y139" s="129">
        <f t="shared" si="41"/>
        <v>2</v>
      </c>
      <c r="Z139" s="129">
        <f t="shared" si="41"/>
        <v>2</v>
      </c>
      <c r="AA139" s="129">
        <f t="shared" si="41"/>
        <v>2</v>
      </c>
      <c r="AB139" s="129">
        <f t="shared" si="41"/>
        <v>2</v>
      </c>
      <c r="AC139" s="129">
        <f t="shared" si="41"/>
        <v>2</v>
      </c>
      <c r="AD139" s="129">
        <f t="shared" si="41"/>
        <v>2</v>
      </c>
      <c r="AE139" s="129">
        <f t="shared" si="41"/>
        <v>2</v>
      </c>
      <c r="AF139" s="129">
        <f t="shared" si="41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9"/>
        <v>5.61</v>
      </c>
      <c r="C140" s="130">
        <v>5.61</v>
      </c>
      <c r="D140" s="129">
        <f t="shared" si="40"/>
        <v>5.61</v>
      </c>
      <c r="E140" s="129">
        <f t="shared" si="40"/>
        <v>5.61</v>
      </c>
      <c r="F140" s="129">
        <f t="shared" si="40"/>
        <v>5.61</v>
      </c>
      <c r="G140" s="129">
        <f t="shared" si="40"/>
        <v>5.61</v>
      </c>
      <c r="H140" s="129">
        <f t="shared" si="40"/>
        <v>5.61</v>
      </c>
      <c r="I140" s="129">
        <f t="shared" si="40"/>
        <v>5.61</v>
      </c>
      <c r="J140" s="129">
        <f t="shared" si="40"/>
        <v>5.61</v>
      </c>
      <c r="K140" s="129">
        <f t="shared" si="40"/>
        <v>5.61</v>
      </c>
      <c r="L140" s="129">
        <f t="shared" si="40"/>
        <v>5.61</v>
      </c>
      <c r="M140" s="129">
        <f t="shared" si="40"/>
        <v>5.61</v>
      </c>
      <c r="N140" s="129">
        <f t="shared" si="40"/>
        <v>5.61</v>
      </c>
      <c r="O140" s="129">
        <f t="shared" si="40"/>
        <v>5.61</v>
      </c>
      <c r="P140" s="129">
        <f t="shared" si="40"/>
        <v>5.61</v>
      </c>
      <c r="Q140" s="129">
        <f t="shared" si="40"/>
        <v>5.61</v>
      </c>
      <c r="R140" s="129">
        <f t="shared" si="40"/>
        <v>5.61</v>
      </c>
      <c r="S140" s="129">
        <f t="shared" si="40"/>
        <v>5.61</v>
      </c>
      <c r="T140" s="129">
        <f t="shared" si="41"/>
        <v>5.61</v>
      </c>
      <c r="U140" s="129">
        <f t="shared" si="41"/>
        <v>5.61</v>
      </c>
      <c r="V140" s="129">
        <f t="shared" si="41"/>
        <v>5.61</v>
      </c>
      <c r="W140" s="129">
        <f t="shared" si="41"/>
        <v>5.61</v>
      </c>
      <c r="X140" s="129">
        <f t="shared" si="41"/>
        <v>5.61</v>
      </c>
      <c r="Y140" s="129">
        <f t="shared" si="41"/>
        <v>5.61</v>
      </c>
      <c r="Z140" s="129">
        <f t="shared" si="41"/>
        <v>5.61</v>
      </c>
      <c r="AA140" s="129">
        <f t="shared" si="41"/>
        <v>5.61</v>
      </c>
      <c r="AB140" s="129">
        <f t="shared" si="41"/>
        <v>5.61</v>
      </c>
      <c r="AC140" s="129">
        <f t="shared" si="41"/>
        <v>5.61</v>
      </c>
      <c r="AD140" s="129">
        <f t="shared" si="41"/>
        <v>5.61</v>
      </c>
      <c r="AE140" s="129">
        <f t="shared" si="41"/>
        <v>5.61</v>
      </c>
      <c r="AF140" s="129">
        <f t="shared" si="41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9"/>
        <v>1.25</v>
      </c>
      <c r="C141" s="130">
        <v>1.25</v>
      </c>
      <c r="D141" s="129">
        <f t="shared" si="40"/>
        <v>1.25</v>
      </c>
      <c r="E141" s="129">
        <f t="shared" si="40"/>
        <v>1.25</v>
      </c>
      <c r="F141" s="129">
        <f t="shared" si="40"/>
        <v>1.25</v>
      </c>
      <c r="G141" s="129">
        <f t="shared" si="40"/>
        <v>1.25</v>
      </c>
      <c r="H141" s="129">
        <f t="shared" si="40"/>
        <v>1.25</v>
      </c>
      <c r="I141" s="129">
        <f t="shared" si="40"/>
        <v>1.25</v>
      </c>
      <c r="J141" s="129">
        <f t="shared" si="40"/>
        <v>1.25</v>
      </c>
      <c r="K141" s="129">
        <f t="shared" si="40"/>
        <v>1.25</v>
      </c>
      <c r="L141" s="129">
        <f t="shared" si="40"/>
        <v>1.25</v>
      </c>
      <c r="M141" s="129">
        <f t="shared" si="40"/>
        <v>1.25</v>
      </c>
      <c r="N141" s="129">
        <f t="shared" si="40"/>
        <v>1.25</v>
      </c>
      <c r="O141" s="129">
        <f t="shared" si="40"/>
        <v>1.25</v>
      </c>
      <c r="P141" s="129">
        <f t="shared" si="40"/>
        <v>1.25</v>
      </c>
      <c r="Q141" s="129">
        <f t="shared" si="40"/>
        <v>1.25</v>
      </c>
      <c r="R141" s="129">
        <f t="shared" si="40"/>
        <v>1.25</v>
      </c>
      <c r="S141" s="129">
        <f t="shared" si="40"/>
        <v>1.25</v>
      </c>
      <c r="T141" s="129">
        <f t="shared" si="41"/>
        <v>1.25</v>
      </c>
      <c r="U141" s="129">
        <f t="shared" si="41"/>
        <v>1.25</v>
      </c>
      <c r="V141" s="129">
        <f t="shared" si="41"/>
        <v>1.25</v>
      </c>
      <c r="W141" s="129">
        <f t="shared" si="41"/>
        <v>1.25</v>
      </c>
      <c r="X141" s="129">
        <f t="shared" si="41"/>
        <v>1.25</v>
      </c>
      <c r="Y141" s="129">
        <f t="shared" si="41"/>
        <v>1.25</v>
      </c>
      <c r="Z141" s="129">
        <f t="shared" si="41"/>
        <v>1.25</v>
      </c>
      <c r="AA141" s="129">
        <f t="shared" si="41"/>
        <v>1.25</v>
      </c>
      <c r="AB141" s="129">
        <f t="shared" si="41"/>
        <v>1.25</v>
      </c>
      <c r="AC141" s="129">
        <f t="shared" si="41"/>
        <v>1.25</v>
      </c>
      <c r="AD141" s="129">
        <f t="shared" si="41"/>
        <v>1.25</v>
      </c>
      <c r="AE141" s="129">
        <f t="shared" si="41"/>
        <v>1.25</v>
      </c>
      <c r="AF141" s="129">
        <f t="shared" si="41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9"/>
        <v>1.25</v>
      </c>
      <c r="C142" s="130">
        <v>1.25</v>
      </c>
      <c r="D142" s="129">
        <f t="shared" si="40"/>
        <v>1.25</v>
      </c>
      <c r="E142" s="129">
        <f t="shared" si="40"/>
        <v>1.25</v>
      </c>
      <c r="F142" s="129">
        <f t="shared" si="40"/>
        <v>1.25</v>
      </c>
      <c r="G142" s="129">
        <f t="shared" si="40"/>
        <v>1.25</v>
      </c>
      <c r="H142" s="129">
        <f t="shared" si="40"/>
        <v>1.25</v>
      </c>
      <c r="I142" s="129">
        <f t="shared" si="40"/>
        <v>1.25</v>
      </c>
      <c r="J142" s="129">
        <f t="shared" si="40"/>
        <v>1.25</v>
      </c>
      <c r="K142" s="129">
        <f t="shared" si="40"/>
        <v>1.25</v>
      </c>
      <c r="L142" s="129">
        <f t="shared" si="40"/>
        <v>1.25</v>
      </c>
      <c r="M142" s="129">
        <f t="shared" si="40"/>
        <v>1.25</v>
      </c>
      <c r="N142" s="129">
        <f t="shared" si="40"/>
        <v>1.25</v>
      </c>
      <c r="O142" s="129">
        <f t="shared" si="40"/>
        <v>1.25</v>
      </c>
      <c r="P142" s="129">
        <f t="shared" si="40"/>
        <v>1.25</v>
      </c>
      <c r="Q142" s="129">
        <f t="shared" si="40"/>
        <v>1.25</v>
      </c>
      <c r="R142" s="129">
        <f t="shared" si="40"/>
        <v>1.25</v>
      </c>
      <c r="S142" s="129">
        <f t="shared" si="40"/>
        <v>1.25</v>
      </c>
      <c r="T142" s="129">
        <f t="shared" si="41"/>
        <v>1.25</v>
      </c>
      <c r="U142" s="129">
        <f t="shared" si="41"/>
        <v>1.25</v>
      </c>
      <c r="V142" s="129">
        <f t="shared" si="41"/>
        <v>1.25</v>
      </c>
      <c r="W142" s="129">
        <f t="shared" si="41"/>
        <v>1.25</v>
      </c>
      <c r="X142" s="129">
        <f t="shared" si="41"/>
        <v>1.25</v>
      </c>
      <c r="Y142" s="129">
        <f t="shared" si="41"/>
        <v>1.25</v>
      </c>
      <c r="Z142" s="129">
        <f t="shared" si="41"/>
        <v>1.25</v>
      </c>
      <c r="AA142" s="129">
        <f t="shared" si="41"/>
        <v>1.25</v>
      </c>
      <c r="AB142" s="129">
        <f t="shared" si="41"/>
        <v>1.25</v>
      </c>
      <c r="AC142" s="129">
        <f t="shared" si="41"/>
        <v>1.25</v>
      </c>
      <c r="AD142" s="129">
        <f t="shared" si="41"/>
        <v>1.25</v>
      </c>
      <c r="AE142" s="129">
        <f t="shared" si="41"/>
        <v>1.25</v>
      </c>
      <c r="AF142" s="129">
        <f t="shared" si="41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9"/>
        <v>1.46</v>
      </c>
      <c r="C143" s="130">
        <v>1.46</v>
      </c>
      <c r="D143" s="129">
        <f t="shared" si="40"/>
        <v>1.46</v>
      </c>
      <c r="E143" s="129">
        <f t="shared" si="40"/>
        <v>1.46</v>
      </c>
      <c r="F143" s="129">
        <f t="shared" si="40"/>
        <v>1.46</v>
      </c>
      <c r="G143" s="129">
        <f t="shared" si="40"/>
        <v>1.46</v>
      </c>
      <c r="H143" s="129">
        <f t="shared" si="40"/>
        <v>1.46</v>
      </c>
      <c r="I143" s="129">
        <f t="shared" si="40"/>
        <v>1.46</v>
      </c>
      <c r="J143" s="129">
        <f t="shared" si="40"/>
        <v>1.46</v>
      </c>
      <c r="K143" s="129">
        <f t="shared" si="40"/>
        <v>1.46</v>
      </c>
      <c r="L143" s="129">
        <f t="shared" si="40"/>
        <v>1.46</v>
      </c>
      <c r="M143" s="129">
        <f t="shared" si="40"/>
        <v>1.46</v>
      </c>
      <c r="N143" s="129">
        <f t="shared" si="40"/>
        <v>1.46</v>
      </c>
      <c r="O143" s="129">
        <f t="shared" si="40"/>
        <v>1.46</v>
      </c>
      <c r="P143" s="129">
        <f t="shared" si="40"/>
        <v>1.46</v>
      </c>
      <c r="Q143" s="129">
        <f t="shared" si="40"/>
        <v>1.46</v>
      </c>
      <c r="R143" s="129">
        <f t="shared" si="40"/>
        <v>1.46</v>
      </c>
      <c r="S143" s="129">
        <f t="shared" si="40"/>
        <v>1.46</v>
      </c>
      <c r="T143" s="129">
        <f t="shared" si="41"/>
        <v>1.46</v>
      </c>
      <c r="U143" s="129">
        <f t="shared" si="41"/>
        <v>1.46</v>
      </c>
      <c r="V143" s="129">
        <f t="shared" si="41"/>
        <v>1.46</v>
      </c>
      <c r="W143" s="129">
        <f t="shared" si="41"/>
        <v>1.46</v>
      </c>
      <c r="X143" s="129">
        <f t="shared" si="41"/>
        <v>1.46</v>
      </c>
      <c r="Y143" s="129">
        <f t="shared" si="41"/>
        <v>1.46</v>
      </c>
      <c r="Z143" s="129">
        <f t="shared" si="41"/>
        <v>1.46</v>
      </c>
      <c r="AA143" s="129">
        <f t="shared" si="41"/>
        <v>1.46</v>
      </c>
      <c r="AB143" s="129">
        <f t="shared" si="41"/>
        <v>1.46</v>
      </c>
      <c r="AC143" s="129">
        <f t="shared" si="41"/>
        <v>1.46</v>
      </c>
      <c r="AD143" s="129">
        <f t="shared" si="41"/>
        <v>1.46</v>
      </c>
      <c r="AE143" s="129">
        <f t="shared" si="41"/>
        <v>1.46</v>
      </c>
      <c r="AF143" s="129">
        <f t="shared" si="41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9"/>
        <v>3</v>
      </c>
      <c r="C144" s="130">
        <v>3</v>
      </c>
      <c r="D144" s="129">
        <f t="shared" si="40"/>
        <v>3</v>
      </c>
      <c r="E144" s="129">
        <f t="shared" si="40"/>
        <v>3</v>
      </c>
      <c r="F144" s="129">
        <f t="shared" si="40"/>
        <v>3</v>
      </c>
      <c r="G144" s="129">
        <f t="shared" si="40"/>
        <v>3</v>
      </c>
      <c r="H144" s="129">
        <f t="shared" si="40"/>
        <v>3</v>
      </c>
      <c r="I144" s="129">
        <f t="shared" si="40"/>
        <v>3</v>
      </c>
      <c r="J144" s="129">
        <f t="shared" si="40"/>
        <v>3</v>
      </c>
      <c r="K144" s="129">
        <f t="shared" si="40"/>
        <v>3</v>
      </c>
      <c r="L144" s="129">
        <f t="shared" si="40"/>
        <v>3</v>
      </c>
      <c r="M144" s="129">
        <f t="shared" si="40"/>
        <v>3</v>
      </c>
      <c r="N144" s="129">
        <f t="shared" si="40"/>
        <v>3</v>
      </c>
      <c r="O144" s="129">
        <f t="shared" si="40"/>
        <v>3</v>
      </c>
      <c r="P144" s="129">
        <f t="shared" si="40"/>
        <v>3</v>
      </c>
      <c r="Q144" s="129">
        <f t="shared" si="40"/>
        <v>3</v>
      </c>
      <c r="R144" s="129">
        <f t="shared" si="40"/>
        <v>3</v>
      </c>
      <c r="S144" s="129">
        <f t="shared" si="40"/>
        <v>3</v>
      </c>
      <c r="T144" s="129">
        <f t="shared" si="41"/>
        <v>3</v>
      </c>
      <c r="U144" s="129">
        <f t="shared" si="41"/>
        <v>3</v>
      </c>
      <c r="V144" s="129">
        <f t="shared" si="41"/>
        <v>3</v>
      </c>
      <c r="W144" s="129">
        <f t="shared" si="41"/>
        <v>3</v>
      </c>
      <c r="X144" s="129">
        <f t="shared" si="41"/>
        <v>3</v>
      </c>
      <c r="Y144" s="129">
        <f t="shared" si="41"/>
        <v>3</v>
      </c>
      <c r="Z144" s="129">
        <f t="shared" si="41"/>
        <v>3</v>
      </c>
      <c r="AA144" s="129">
        <f t="shared" si="41"/>
        <v>3</v>
      </c>
      <c r="AB144" s="129">
        <f t="shared" si="41"/>
        <v>3</v>
      </c>
      <c r="AC144" s="129">
        <f t="shared" si="41"/>
        <v>3</v>
      </c>
      <c r="AD144" s="129">
        <f t="shared" si="41"/>
        <v>3</v>
      </c>
      <c r="AE144" s="129">
        <f t="shared" si="41"/>
        <v>3</v>
      </c>
      <c r="AF144" s="129">
        <f t="shared" si="41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9"/>
        <v>3.3</v>
      </c>
      <c r="C145" s="130">
        <v>3.3</v>
      </c>
      <c r="D145" s="129">
        <f t="shared" si="40"/>
        <v>3.3</v>
      </c>
      <c r="E145" s="129">
        <f t="shared" si="40"/>
        <v>3.3</v>
      </c>
      <c r="F145" s="129">
        <f t="shared" si="40"/>
        <v>3.3</v>
      </c>
      <c r="G145" s="129">
        <f t="shared" si="40"/>
        <v>3.3</v>
      </c>
      <c r="H145" s="129">
        <f t="shared" si="40"/>
        <v>3.3</v>
      </c>
      <c r="I145" s="129">
        <f t="shared" si="40"/>
        <v>3.3</v>
      </c>
      <c r="J145" s="129">
        <f t="shared" si="40"/>
        <v>3.3</v>
      </c>
      <c r="K145" s="129">
        <f t="shared" si="40"/>
        <v>3.3</v>
      </c>
      <c r="L145" s="129">
        <f t="shared" si="40"/>
        <v>3.3</v>
      </c>
      <c r="M145" s="129">
        <f t="shared" si="40"/>
        <v>3.3</v>
      </c>
      <c r="N145" s="129">
        <f t="shared" si="40"/>
        <v>3.3</v>
      </c>
      <c r="O145" s="129">
        <f t="shared" si="40"/>
        <v>3.3</v>
      </c>
      <c r="P145" s="129">
        <f t="shared" si="40"/>
        <v>3.3</v>
      </c>
      <c r="Q145" s="129">
        <f t="shared" si="40"/>
        <v>3.3</v>
      </c>
      <c r="R145" s="129">
        <f t="shared" si="40"/>
        <v>3.3</v>
      </c>
      <c r="S145" s="129">
        <f t="shared" si="40"/>
        <v>3.3</v>
      </c>
      <c r="T145" s="129">
        <f t="shared" si="41"/>
        <v>3.3</v>
      </c>
      <c r="U145" s="129">
        <f t="shared" si="41"/>
        <v>3.3</v>
      </c>
      <c r="V145" s="129">
        <f t="shared" si="41"/>
        <v>3.3</v>
      </c>
      <c r="W145" s="129">
        <f t="shared" si="41"/>
        <v>3.3</v>
      </c>
      <c r="X145" s="129">
        <f t="shared" si="41"/>
        <v>3.3</v>
      </c>
      <c r="Y145" s="129">
        <f t="shared" si="41"/>
        <v>3.3</v>
      </c>
      <c r="Z145" s="129">
        <f t="shared" si="41"/>
        <v>3.3</v>
      </c>
      <c r="AA145" s="129">
        <f t="shared" si="41"/>
        <v>3.3</v>
      </c>
      <c r="AB145" s="129">
        <f t="shared" si="41"/>
        <v>3.3</v>
      </c>
      <c r="AC145" s="129">
        <f t="shared" si="41"/>
        <v>3.3</v>
      </c>
      <c r="AD145" s="129">
        <f t="shared" si="41"/>
        <v>3.3</v>
      </c>
      <c r="AE145" s="129">
        <f t="shared" si="41"/>
        <v>3.3</v>
      </c>
      <c r="AF145" s="129">
        <f t="shared" si="41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2">C147</f>
        <v>1.76</v>
      </c>
      <c r="E147" s="129">
        <f t="shared" si="42"/>
        <v>1.76</v>
      </c>
      <c r="F147" s="129">
        <f t="shared" si="42"/>
        <v>1.76</v>
      </c>
      <c r="G147" s="129">
        <f t="shared" si="42"/>
        <v>1.76</v>
      </c>
      <c r="H147" s="129">
        <f t="shared" si="42"/>
        <v>1.76</v>
      </c>
      <c r="I147" s="129">
        <f t="shared" si="42"/>
        <v>1.76</v>
      </c>
      <c r="J147" s="129">
        <f t="shared" si="42"/>
        <v>1.76</v>
      </c>
      <c r="K147" s="129">
        <f t="shared" si="42"/>
        <v>1.76</v>
      </c>
      <c r="L147" s="129">
        <f t="shared" si="42"/>
        <v>1.76</v>
      </c>
      <c r="M147" s="129">
        <f t="shared" si="42"/>
        <v>1.76</v>
      </c>
      <c r="N147" s="129">
        <f t="shared" si="42"/>
        <v>1.76</v>
      </c>
      <c r="O147" s="129">
        <f t="shared" si="42"/>
        <v>1.76</v>
      </c>
      <c r="P147" s="129">
        <f t="shared" si="42"/>
        <v>1.76</v>
      </c>
      <c r="Q147" s="129">
        <f t="shared" si="42"/>
        <v>1.76</v>
      </c>
      <c r="R147" s="129">
        <f t="shared" si="42"/>
        <v>1.76</v>
      </c>
      <c r="S147" s="129">
        <f t="shared" si="42"/>
        <v>1.76</v>
      </c>
      <c r="T147" s="129">
        <f t="shared" ref="T147:AF148" si="43">S147</f>
        <v>1.76</v>
      </c>
      <c r="U147" s="129">
        <f t="shared" si="43"/>
        <v>1.76</v>
      </c>
      <c r="V147" s="129">
        <f t="shared" si="43"/>
        <v>1.76</v>
      </c>
      <c r="W147" s="129">
        <f t="shared" si="43"/>
        <v>1.76</v>
      </c>
      <c r="X147" s="129">
        <f t="shared" si="43"/>
        <v>1.76</v>
      </c>
      <c r="Y147" s="129">
        <f t="shared" si="43"/>
        <v>1.76</v>
      </c>
      <c r="Z147" s="129">
        <f t="shared" si="43"/>
        <v>1.76</v>
      </c>
      <c r="AA147" s="129">
        <f t="shared" si="43"/>
        <v>1.76</v>
      </c>
      <c r="AB147" s="129">
        <f t="shared" si="43"/>
        <v>1.76</v>
      </c>
      <c r="AC147" s="129">
        <f t="shared" si="43"/>
        <v>1.76</v>
      </c>
      <c r="AD147" s="129">
        <f t="shared" si="43"/>
        <v>1.76</v>
      </c>
      <c r="AE147" s="129">
        <f t="shared" si="43"/>
        <v>1.76</v>
      </c>
      <c r="AF147" s="129">
        <f t="shared" si="43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2"/>
        <v>0</v>
      </c>
      <c r="E148" s="129">
        <f t="shared" si="42"/>
        <v>0</v>
      </c>
      <c r="F148" s="129">
        <f t="shared" si="42"/>
        <v>0</v>
      </c>
      <c r="G148" s="129">
        <f t="shared" si="42"/>
        <v>0</v>
      </c>
      <c r="H148" s="129">
        <f t="shared" si="42"/>
        <v>0</v>
      </c>
      <c r="I148" s="129">
        <f t="shared" si="42"/>
        <v>0</v>
      </c>
      <c r="J148" s="129">
        <f t="shared" si="42"/>
        <v>0</v>
      </c>
      <c r="K148" s="129">
        <f t="shared" si="42"/>
        <v>0</v>
      </c>
      <c r="L148" s="129">
        <f t="shared" si="42"/>
        <v>0</v>
      </c>
      <c r="M148" s="129">
        <f t="shared" si="42"/>
        <v>0</v>
      </c>
      <c r="N148" s="129">
        <f t="shared" si="42"/>
        <v>0</v>
      </c>
      <c r="O148" s="129">
        <f t="shared" si="42"/>
        <v>0</v>
      </c>
      <c r="P148" s="129">
        <f t="shared" si="42"/>
        <v>0</v>
      </c>
      <c r="Q148" s="129">
        <f t="shared" si="42"/>
        <v>0</v>
      </c>
      <c r="R148" s="129">
        <f t="shared" si="42"/>
        <v>0</v>
      </c>
      <c r="S148" s="129">
        <f t="shared" si="42"/>
        <v>0</v>
      </c>
      <c r="T148" s="129">
        <f t="shared" si="43"/>
        <v>0</v>
      </c>
      <c r="U148" s="129">
        <f t="shared" si="43"/>
        <v>0</v>
      </c>
      <c r="V148" s="129">
        <f t="shared" si="43"/>
        <v>0</v>
      </c>
      <c r="W148" s="129">
        <f t="shared" si="43"/>
        <v>0</v>
      </c>
      <c r="X148" s="129">
        <f t="shared" si="43"/>
        <v>0</v>
      </c>
      <c r="Y148" s="129">
        <f t="shared" si="43"/>
        <v>0</v>
      </c>
      <c r="Z148" s="129">
        <f t="shared" si="43"/>
        <v>0</v>
      </c>
      <c r="AA148" s="129">
        <f t="shared" si="43"/>
        <v>0</v>
      </c>
      <c r="AB148" s="129">
        <f t="shared" si="43"/>
        <v>0</v>
      </c>
      <c r="AC148" s="129">
        <f t="shared" si="43"/>
        <v>0</v>
      </c>
      <c r="AD148" s="129">
        <f t="shared" si="43"/>
        <v>0</v>
      </c>
      <c r="AE148" s="129">
        <f t="shared" si="43"/>
        <v>0</v>
      </c>
      <c r="AF148" s="129">
        <f t="shared" si="43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4">C150</f>
        <v>0.1</v>
      </c>
      <c r="E150" s="129">
        <f t="shared" si="44"/>
        <v>0.1</v>
      </c>
      <c r="F150" s="129">
        <f t="shared" si="44"/>
        <v>0.1</v>
      </c>
      <c r="G150" s="129">
        <f t="shared" si="44"/>
        <v>0.1</v>
      </c>
      <c r="H150" s="129">
        <f t="shared" si="44"/>
        <v>0.1</v>
      </c>
      <c r="I150" s="129">
        <f t="shared" si="44"/>
        <v>0.1</v>
      </c>
      <c r="J150" s="129">
        <f t="shared" si="44"/>
        <v>0.1</v>
      </c>
      <c r="K150" s="129">
        <f t="shared" si="44"/>
        <v>0.1</v>
      </c>
      <c r="L150" s="129">
        <f t="shared" si="44"/>
        <v>0.1</v>
      </c>
      <c r="M150" s="129">
        <f t="shared" si="44"/>
        <v>0.1</v>
      </c>
      <c r="N150" s="129">
        <f t="shared" si="44"/>
        <v>0.1</v>
      </c>
      <c r="O150" s="129">
        <f t="shared" si="44"/>
        <v>0.1</v>
      </c>
      <c r="P150" s="129">
        <f t="shared" si="44"/>
        <v>0.1</v>
      </c>
      <c r="Q150" s="129">
        <f t="shared" si="44"/>
        <v>0.1</v>
      </c>
      <c r="R150" s="129">
        <f t="shared" si="44"/>
        <v>0.1</v>
      </c>
      <c r="S150" s="129">
        <f t="shared" si="44"/>
        <v>0.1</v>
      </c>
      <c r="T150" s="129">
        <f t="shared" ref="T150:AF153" si="45">S150</f>
        <v>0.1</v>
      </c>
      <c r="U150" s="129">
        <f t="shared" si="45"/>
        <v>0.1</v>
      </c>
      <c r="V150" s="129">
        <f t="shared" si="45"/>
        <v>0.1</v>
      </c>
      <c r="W150" s="129">
        <f t="shared" si="45"/>
        <v>0.1</v>
      </c>
      <c r="X150" s="129">
        <f t="shared" si="45"/>
        <v>0.1</v>
      </c>
      <c r="Y150" s="129">
        <f t="shared" si="45"/>
        <v>0.1</v>
      </c>
      <c r="Z150" s="129">
        <f t="shared" si="45"/>
        <v>0.1</v>
      </c>
      <c r="AA150" s="129">
        <f t="shared" si="45"/>
        <v>0.1</v>
      </c>
      <c r="AB150" s="129">
        <f t="shared" si="45"/>
        <v>0.1</v>
      </c>
      <c r="AC150" s="129">
        <f t="shared" si="45"/>
        <v>0.1</v>
      </c>
      <c r="AD150" s="129">
        <f t="shared" si="45"/>
        <v>0.1</v>
      </c>
      <c r="AE150" s="129">
        <f t="shared" si="45"/>
        <v>0.1</v>
      </c>
      <c r="AF150" s="129">
        <f t="shared" si="45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4"/>
        <v>2.0499999999999998</v>
      </c>
      <c r="E151" s="129">
        <f t="shared" si="44"/>
        <v>2.0499999999999998</v>
      </c>
      <c r="F151" s="129">
        <f t="shared" si="44"/>
        <v>2.0499999999999998</v>
      </c>
      <c r="G151" s="129">
        <f t="shared" si="44"/>
        <v>2.0499999999999998</v>
      </c>
      <c r="H151" s="129">
        <f t="shared" si="44"/>
        <v>2.0499999999999998</v>
      </c>
      <c r="I151" s="129">
        <f t="shared" si="44"/>
        <v>2.0499999999999998</v>
      </c>
      <c r="J151" s="129">
        <f t="shared" si="44"/>
        <v>2.0499999999999998</v>
      </c>
      <c r="K151" s="129">
        <f t="shared" si="44"/>
        <v>2.0499999999999998</v>
      </c>
      <c r="L151" s="129">
        <f t="shared" si="44"/>
        <v>2.0499999999999998</v>
      </c>
      <c r="M151" s="129">
        <f t="shared" si="44"/>
        <v>2.0499999999999998</v>
      </c>
      <c r="N151" s="129">
        <f t="shared" si="44"/>
        <v>2.0499999999999998</v>
      </c>
      <c r="O151" s="129">
        <f t="shared" si="44"/>
        <v>2.0499999999999998</v>
      </c>
      <c r="P151" s="129">
        <f t="shared" si="44"/>
        <v>2.0499999999999998</v>
      </c>
      <c r="Q151" s="129">
        <f t="shared" si="44"/>
        <v>2.0499999999999998</v>
      </c>
      <c r="R151" s="129">
        <f t="shared" si="44"/>
        <v>2.0499999999999998</v>
      </c>
      <c r="S151" s="129">
        <f t="shared" si="44"/>
        <v>2.0499999999999998</v>
      </c>
      <c r="T151" s="129">
        <f t="shared" si="45"/>
        <v>2.0499999999999998</v>
      </c>
      <c r="U151" s="129">
        <f t="shared" si="45"/>
        <v>2.0499999999999998</v>
      </c>
      <c r="V151" s="129">
        <f t="shared" si="45"/>
        <v>2.0499999999999998</v>
      </c>
      <c r="W151" s="129">
        <f t="shared" si="45"/>
        <v>2.0499999999999998</v>
      </c>
      <c r="X151" s="129">
        <f t="shared" si="45"/>
        <v>2.0499999999999998</v>
      </c>
      <c r="Y151" s="129">
        <f t="shared" si="45"/>
        <v>2.0499999999999998</v>
      </c>
      <c r="Z151" s="129">
        <f t="shared" si="45"/>
        <v>2.0499999999999998</v>
      </c>
      <c r="AA151" s="129">
        <f t="shared" si="45"/>
        <v>2.0499999999999998</v>
      </c>
      <c r="AB151" s="129">
        <f t="shared" si="45"/>
        <v>2.0499999999999998</v>
      </c>
      <c r="AC151" s="129">
        <f t="shared" si="45"/>
        <v>2.0499999999999998</v>
      </c>
      <c r="AD151" s="129">
        <f t="shared" si="45"/>
        <v>2.0499999999999998</v>
      </c>
      <c r="AE151" s="129">
        <f t="shared" si="45"/>
        <v>2.0499999999999998</v>
      </c>
      <c r="AF151" s="129">
        <f t="shared" si="45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4"/>
        <v>2.7</v>
      </c>
      <c r="E152" s="129">
        <f t="shared" si="44"/>
        <v>2.7</v>
      </c>
      <c r="F152" s="129">
        <f t="shared" si="44"/>
        <v>2.7</v>
      </c>
      <c r="G152" s="129">
        <f t="shared" si="44"/>
        <v>2.7</v>
      </c>
      <c r="H152" s="129">
        <f t="shared" si="44"/>
        <v>2.7</v>
      </c>
      <c r="I152" s="129">
        <f t="shared" si="44"/>
        <v>2.7</v>
      </c>
      <c r="J152" s="129">
        <f t="shared" si="44"/>
        <v>2.7</v>
      </c>
      <c r="K152" s="129">
        <f t="shared" si="44"/>
        <v>2.7</v>
      </c>
      <c r="L152" s="129">
        <f t="shared" si="44"/>
        <v>2.7</v>
      </c>
      <c r="M152" s="129">
        <f t="shared" si="44"/>
        <v>2.7</v>
      </c>
      <c r="N152" s="129">
        <f t="shared" si="44"/>
        <v>2.7</v>
      </c>
      <c r="O152" s="129">
        <f t="shared" si="44"/>
        <v>2.7</v>
      </c>
      <c r="P152" s="129">
        <f t="shared" si="44"/>
        <v>2.7</v>
      </c>
      <c r="Q152" s="129">
        <f t="shared" si="44"/>
        <v>2.7</v>
      </c>
      <c r="R152" s="129">
        <f t="shared" si="44"/>
        <v>2.7</v>
      </c>
      <c r="S152" s="129">
        <f t="shared" si="44"/>
        <v>2.7</v>
      </c>
      <c r="T152" s="129">
        <f t="shared" si="45"/>
        <v>2.7</v>
      </c>
      <c r="U152" s="129">
        <f t="shared" si="45"/>
        <v>2.7</v>
      </c>
      <c r="V152" s="129">
        <f t="shared" si="45"/>
        <v>2.7</v>
      </c>
      <c r="W152" s="129">
        <f t="shared" si="45"/>
        <v>2.7</v>
      </c>
      <c r="X152" s="129">
        <f t="shared" si="45"/>
        <v>2.7</v>
      </c>
      <c r="Y152" s="129">
        <f t="shared" si="45"/>
        <v>2.7</v>
      </c>
      <c r="Z152" s="129">
        <f t="shared" si="45"/>
        <v>2.7</v>
      </c>
      <c r="AA152" s="129">
        <f t="shared" si="45"/>
        <v>2.7</v>
      </c>
      <c r="AB152" s="129">
        <f t="shared" si="45"/>
        <v>2.7</v>
      </c>
      <c r="AC152" s="129">
        <f t="shared" si="45"/>
        <v>2.7</v>
      </c>
      <c r="AD152" s="129">
        <f t="shared" si="45"/>
        <v>2.7</v>
      </c>
      <c r="AE152" s="129">
        <f t="shared" si="45"/>
        <v>2.7</v>
      </c>
      <c r="AF152" s="129">
        <f t="shared" si="45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4"/>
        <v>2.15</v>
      </c>
      <c r="E153" s="129">
        <f t="shared" si="44"/>
        <v>2.15</v>
      </c>
      <c r="F153" s="129">
        <f t="shared" si="44"/>
        <v>2.15</v>
      </c>
      <c r="G153" s="129">
        <f t="shared" si="44"/>
        <v>2.15</v>
      </c>
      <c r="H153" s="129">
        <f t="shared" si="44"/>
        <v>2.15</v>
      </c>
      <c r="I153" s="129">
        <f t="shared" si="44"/>
        <v>2.15</v>
      </c>
      <c r="J153" s="129">
        <f t="shared" si="44"/>
        <v>2.15</v>
      </c>
      <c r="K153" s="129">
        <f t="shared" si="44"/>
        <v>2.15</v>
      </c>
      <c r="L153" s="129">
        <f t="shared" si="44"/>
        <v>2.15</v>
      </c>
      <c r="M153" s="129">
        <f t="shared" si="44"/>
        <v>2.15</v>
      </c>
      <c r="N153" s="129">
        <f t="shared" si="44"/>
        <v>2.15</v>
      </c>
      <c r="O153" s="129">
        <f t="shared" si="44"/>
        <v>2.15</v>
      </c>
      <c r="P153" s="129">
        <f t="shared" si="44"/>
        <v>2.15</v>
      </c>
      <c r="Q153" s="129">
        <f t="shared" si="44"/>
        <v>2.15</v>
      </c>
      <c r="R153" s="129">
        <f t="shared" si="44"/>
        <v>2.15</v>
      </c>
      <c r="S153" s="129">
        <f t="shared" si="44"/>
        <v>2.15</v>
      </c>
      <c r="T153" s="129">
        <f t="shared" si="45"/>
        <v>2.15</v>
      </c>
      <c r="U153" s="129">
        <f t="shared" si="45"/>
        <v>2.15</v>
      </c>
      <c r="V153" s="129">
        <f t="shared" si="45"/>
        <v>2.15</v>
      </c>
      <c r="W153" s="129">
        <f t="shared" si="45"/>
        <v>2.15</v>
      </c>
      <c r="X153" s="129">
        <f t="shared" si="45"/>
        <v>2.15</v>
      </c>
      <c r="Y153" s="129">
        <f t="shared" si="45"/>
        <v>2.15</v>
      </c>
      <c r="Z153" s="129">
        <f t="shared" si="45"/>
        <v>2.15</v>
      </c>
      <c r="AA153" s="129">
        <f t="shared" si="45"/>
        <v>2.15</v>
      </c>
      <c r="AB153" s="129">
        <f t="shared" si="45"/>
        <v>2.15</v>
      </c>
      <c r="AC153" s="129">
        <f t="shared" si="45"/>
        <v>2.15</v>
      </c>
      <c r="AD153" s="129">
        <f t="shared" si="45"/>
        <v>2.15</v>
      </c>
      <c r="AE153" s="129">
        <f t="shared" si="45"/>
        <v>2.15</v>
      </c>
      <c r="AF153" s="129">
        <f t="shared" si="45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6">AF155</f>
        <v>0.9</v>
      </c>
      <c r="C155" s="130">
        <v>0.9</v>
      </c>
      <c r="D155" s="129">
        <f t="shared" ref="D155:S167" si="47">C155</f>
        <v>0.9</v>
      </c>
      <c r="E155" s="129">
        <f t="shared" si="47"/>
        <v>0.9</v>
      </c>
      <c r="F155" s="129">
        <f t="shared" si="47"/>
        <v>0.9</v>
      </c>
      <c r="G155" s="129">
        <f t="shared" si="47"/>
        <v>0.9</v>
      </c>
      <c r="H155" s="129">
        <f t="shared" si="47"/>
        <v>0.9</v>
      </c>
      <c r="I155" s="129">
        <f t="shared" si="47"/>
        <v>0.9</v>
      </c>
      <c r="J155" s="129">
        <f t="shared" si="47"/>
        <v>0.9</v>
      </c>
      <c r="K155" s="129">
        <f t="shared" si="47"/>
        <v>0.9</v>
      </c>
      <c r="L155" s="129">
        <f t="shared" si="47"/>
        <v>0.9</v>
      </c>
      <c r="M155" s="129">
        <f t="shared" si="47"/>
        <v>0.9</v>
      </c>
      <c r="N155" s="129">
        <f t="shared" si="47"/>
        <v>0.9</v>
      </c>
      <c r="O155" s="129">
        <f t="shared" si="47"/>
        <v>0.9</v>
      </c>
      <c r="P155" s="129">
        <f t="shared" si="47"/>
        <v>0.9</v>
      </c>
      <c r="Q155" s="129">
        <f t="shared" si="47"/>
        <v>0.9</v>
      </c>
      <c r="R155" s="129">
        <f t="shared" si="47"/>
        <v>0.9</v>
      </c>
      <c r="S155" s="129">
        <f t="shared" si="47"/>
        <v>0.9</v>
      </c>
      <c r="T155" s="129">
        <f t="shared" ref="S155:AF167" si="48">S155</f>
        <v>0.9</v>
      </c>
      <c r="U155" s="129">
        <f t="shared" si="48"/>
        <v>0.9</v>
      </c>
      <c r="V155" s="129">
        <f t="shared" si="48"/>
        <v>0.9</v>
      </c>
      <c r="W155" s="129">
        <f t="shared" si="48"/>
        <v>0.9</v>
      </c>
      <c r="X155" s="129">
        <f t="shared" si="48"/>
        <v>0.9</v>
      </c>
      <c r="Y155" s="129">
        <f t="shared" si="48"/>
        <v>0.9</v>
      </c>
      <c r="Z155" s="129">
        <f t="shared" si="48"/>
        <v>0.9</v>
      </c>
      <c r="AA155" s="129">
        <f t="shared" si="48"/>
        <v>0.9</v>
      </c>
      <c r="AB155" s="129">
        <f t="shared" si="48"/>
        <v>0.9</v>
      </c>
      <c r="AC155" s="129">
        <f t="shared" si="48"/>
        <v>0.9</v>
      </c>
      <c r="AD155" s="129">
        <f t="shared" si="48"/>
        <v>0.9</v>
      </c>
      <c r="AE155" s="129">
        <f t="shared" si="48"/>
        <v>0.9</v>
      </c>
      <c r="AF155" s="129">
        <f t="shared" si="48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6"/>
        <v>1.08</v>
      </c>
      <c r="C156" s="130">
        <v>1.08</v>
      </c>
      <c r="D156" s="129">
        <f t="shared" si="47"/>
        <v>1.08</v>
      </c>
      <c r="E156" s="129">
        <f t="shared" si="47"/>
        <v>1.08</v>
      </c>
      <c r="F156" s="129">
        <f t="shared" si="47"/>
        <v>1.08</v>
      </c>
      <c r="G156" s="129">
        <f t="shared" si="47"/>
        <v>1.08</v>
      </c>
      <c r="H156" s="129">
        <f t="shared" si="47"/>
        <v>1.08</v>
      </c>
      <c r="I156" s="129">
        <f t="shared" si="47"/>
        <v>1.08</v>
      </c>
      <c r="J156" s="129">
        <f t="shared" si="47"/>
        <v>1.08</v>
      </c>
      <c r="K156" s="129">
        <f t="shared" si="47"/>
        <v>1.08</v>
      </c>
      <c r="L156" s="129">
        <f t="shared" si="47"/>
        <v>1.08</v>
      </c>
      <c r="M156" s="129">
        <f t="shared" si="47"/>
        <v>1.08</v>
      </c>
      <c r="N156" s="129">
        <f t="shared" si="47"/>
        <v>1.08</v>
      </c>
      <c r="O156" s="129">
        <f t="shared" si="47"/>
        <v>1.08</v>
      </c>
      <c r="P156" s="129">
        <f t="shared" si="47"/>
        <v>1.08</v>
      </c>
      <c r="Q156" s="129">
        <f t="shared" si="47"/>
        <v>1.08</v>
      </c>
      <c r="R156" s="129">
        <f t="shared" si="47"/>
        <v>1.08</v>
      </c>
      <c r="S156" s="129">
        <f t="shared" si="47"/>
        <v>1.08</v>
      </c>
      <c r="T156" s="129">
        <f t="shared" si="48"/>
        <v>1.08</v>
      </c>
      <c r="U156" s="129">
        <f t="shared" si="48"/>
        <v>1.08</v>
      </c>
      <c r="V156" s="129">
        <f t="shared" si="48"/>
        <v>1.08</v>
      </c>
      <c r="W156" s="129">
        <f t="shared" si="48"/>
        <v>1.08</v>
      </c>
      <c r="X156" s="129">
        <f t="shared" si="48"/>
        <v>1.08</v>
      </c>
      <c r="Y156" s="129">
        <f t="shared" si="48"/>
        <v>1.08</v>
      </c>
      <c r="Z156" s="129">
        <f t="shared" si="48"/>
        <v>1.08</v>
      </c>
      <c r="AA156" s="129">
        <f t="shared" si="48"/>
        <v>1.08</v>
      </c>
      <c r="AB156" s="129">
        <f t="shared" si="48"/>
        <v>1.08</v>
      </c>
      <c r="AC156" s="129">
        <f t="shared" si="48"/>
        <v>1.08</v>
      </c>
      <c r="AD156" s="129">
        <f t="shared" si="48"/>
        <v>1.08</v>
      </c>
      <c r="AE156" s="129">
        <f t="shared" si="48"/>
        <v>1.08</v>
      </c>
      <c r="AF156" s="129">
        <f t="shared" si="48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6"/>
        <v>2.37</v>
      </c>
      <c r="C157" s="130">
        <v>2.37</v>
      </c>
      <c r="D157" s="129">
        <f t="shared" si="47"/>
        <v>2.37</v>
      </c>
      <c r="E157" s="129">
        <f t="shared" si="47"/>
        <v>2.37</v>
      </c>
      <c r="F157" s="129">
        <f t="shared" si="47"/>
        <v>2.37</v>
      </c>
      <c r="G157" s="129">
        <f t="shared" si="47"/>
        <v>2.37</v>
      </c>
      <c r="H157" s="129">
        <f t="shared" si="47"/>
        <v>2.37</v>
      </c>
      <c r="I157" s="129">
        <f t="shared" si="47"/>
        <v>2.37</v>
      </c>
      <c r="J157" s="129">
        <f t="shared" si="47"/>
        <v>2.37</v>
      </c>
      <c r="K157" s="129">
        <f t="shared" si="47"/>
        <v>2.37</v>
      </c>
      <c r="L157" s="129">
        <f t="shared" si="47"/>
        <v>2.37</v>
      </c>
      <c r="M157" s="129">
        <f t="shared" si="47"/>
        <v>2.37</v>
      </c>
      <c r="N157" s="129">
        <f t="shared" si="47"/>
        <v>2.37</v>
      </c>
      <c r="O157" s="129">
        <f t="shared" si="47"/>
        <v>2.37</v>
      </c>
      <c r="P157" s="129">
        <f t="shared" si="47"/>
        <v>2.37</v>
      </c>
      <c r="Q157" s="129">
        <f t="shared" si="47"/>
        <v>2.37</v>
      </c>
      <c r="R157" s="129">
        <f t="shared" si="47"/>
        <v>2.37</v>
      </c>
      <c r="S157" s="129">
        <f t="shared" si="47"/>
        <v>2.37</v>
      </c>
      <c r="T157" s="129">
        <f t="shared" si="48"/>
        <v>2.37</v>
      </c>
      <c r="U157" s="129">
        <f t="shared" si="48"/>
        <v>2.37</v>
      </c>
      <c r="V157" s="129">
        <f t="shared" si="48"/>
        <v>2.37</v>
      </c>
      <c r="W157" s="129">
        <f t="shared" si="48"/>
        <v>2.37</v>
      </c>
      <c r="X157" s="129">
        <f t="shared" si="48"/>
        <v>2.37</v>
      </c>
      <c r="Y157" s="129">
        <f t="shared" si="48"/>
        <v>2.37</v>
      </c>
      <c r="Z157" s="129">
        <f t="shared" si="48"/>
        <v>2.37</v>
      </c>
      <c r="AA157" s="129">
        <f t="shared" si="48"/>
        <v>2.37</v>
      </c>
      <c r="AB157" s="129">
        <f t="shared" si="48"/>
        <v>2.37</v>
      </c>
      <c r="AC157" s="129">
        <f t="shared" si="48"/>
        <v>2.37</v>
      </c>
      <c r="AD157" s="129">
        <f t="shared" si="48"/>
        <v>2.37</v>
      </c>
      <c r="AE157" s="129">
        <f t="shared" si="48"/>
        <v>2.37</v>
      </c>
      <c r="AF157" s="129">
        <f t="shared" si="48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6"/>
        <v>1.81</v>
      </c>
      <c r="C158" s="130">
        <v>1.81</v>
      </c>
      <c r="D158" s="129">
        <f t="shared" si="47"/>
        <v>1.81</v>
      </c>
      <c r="E158" s="129">
        <f t="shared" si="47"/>
        <v>1.81</v>
      </c>
      <c r="F158" s="129">
        <f t="shared" si="47"/>
        <v>1.81</v>
      </c>
      <c r="G158" s="129">
        <f t="shared" si="47"/>
        <v>1.81</v>
      </c>
      <c r="H158" s="129">
        <f t="shared" si="47"/>
        <v>1.81</v>
      </c>
      <c r="I158" s="129">
        <f t="shared" si="47"/>
        <v>1.81</v>
      </c>
      <c r="J158" s="129">
        <f t="shared" si="47"/>
        <v>1.81</v>
      </c>
      <c r="K158" s="129">
        <f t="shared" si="47"/>
        <v>1.81</v>
      </c>
      <c r="L158" s="129">
        <f t="shared" si="47"/>
        <v>1.81</v>
      </c>
      <c r="M158" s="129">
        <f t="shared" si="47"/>
        <v>1.81</v>
      </c>
      <c r="N158" s="129">
        <f t="shared" si="47"/>
        <v>1.81</v>
      </c>
      <c r="O158" s="129">
        <f t="shared" si="47"/>
        <v>1.81</v>
      </c>
      <c r="P158" s="129">
        <f t="shared" si="47"/>
        <v>1.81</v>
      </c>
      <c r="Q158" s="129">
        <f t="shared" si="47"/>
        <v>1.81</v>
      </c>
      <c r="R158" s="129">
        <f t="shared" si="47"/>
        <v>1.81</v>
      </c>
      <c r="S158" s="129">
        <f t="shared" si="47"/>
        <v>1.81</v>
      </c>
      <c r="T158" s="129">
        <f t="shared" si="48"/>
        <v>1.81</v>
      </c>
      <c r="U158" s="129">
        <f t="shared" si="48"/>
        <v>1.81</v>
      </c>
      <c r="V158" s="129">
        <f t="shared" si="48"/>
        <v>1.81</v>
      </c>
      <c r="W158" s="129">
        <f t="shared" si="48"/>
        <v>1.81</v>
      </c>
      <c r="X158" s="129">
        <f t="shared" si="48"/>
        <v>1.81</v>
      </c>
      <c r="Y158" s="129">
        <f t="shared" si="48"/>
        <v>1.81</v>
      </c>
      <c r="Z158" s="129">
        <f t="shared" si="48"/>
        <v>1.81</v>
      </c>
      <c r="AA158" s="129">
        <f t="shared" si="48"/>
        <v>1.81</v>
      </c>
      <c r="AB158" s="129">
        <f t="shared" si="48"/>
        <v>1.81</v>
      </c>
      <c r="AC158" s="129">
        <f t="shared" si="48"/>
        <v>1.81</v>
      </c>
      <c r="AD158" s="129">
        <f t="shared" si="48"/>
        <v>1.81</v>
      </c>
      <c r="AE158" s="129">
        <f t="shared" si="48"/>
        <v>1.81</v>
      </c>
      <c r="AF158" s="129">
        <f t="shared" si="48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6"/>
        <v>1.0900000000000001</v>
      </c>
      <c r="C159" s="130">
        <v>1.0900000000000001</v>
      </c>
      <c r="D159" s="129">
        <f t="shared" si="47"/>
        <v>1.0900000000000001</v>
      </c>
      <c r="E159" s="129">
        <f t="shared" si="47"/>
        <v>1.0900000000000001</v>
      </c>
      <c r="F159" s="129">
        <f t="shared" si="47"/>
        <v>1.0900000000000001</v>
      </c>
      <c r="G159" s="129">
        <f t="shared" si="47"/>
        <v>1.0900000000000001</v>
      </c>
      <c r="H159" s="129">
        <f t="shared" si="47"/>
        <v>1.0900000000000001</v>
      </c>
      <c r="I159" s="129">
        <f t="shared" si="47"/>
        <v>1.0900000000000001</v>
      </c>
      <c r="J159" s="129">
        <f t="shared" si="47"/>
        <v>1.0900000000000001</v>
      </c>
      <c r="K159" s="129">
        <f t="shared" si="47"/>
        <v>1.0900000000000001</v>
      </c>
      <c r="L159" s="129">
        <f t="shared" si="47"/>
        <v>1.0900000000000001</v>
      </c>
      <c r="M159" s="129">
        <f t="shared" si="47"/>
        <v>1.0900000000000001</v>
      </c>
      <c r="N159" s="129">
        <f t="shared" si="47"/>
        <v>1.0900000000000001</v>
      </c>
      <c r="O159" s="129">
        <f t="shared" si="47"/>
        <v>1.0900000000000001</v>
      </c>
      <c r="P159" s="129">
        <f t="shared" si="47"/>
        <v>1.0900000000000001</v>
      </c>
      <c r="Q159" s="129">
        <f t="shared" si="47"/>
        <v>1.0900000000000001</v>
      </c>
      <c r="R159" s="129">
        <f t="shared" si="47"/>
        <v>1.0900000000000001</v>
      </c>
      <c r="S159" s="129">
        <f t="shared" si="47"/>
        <v>1.0900000000000001</v>
      </c>
      <c r="T159" s="129">
        <f t="shared" si="48"/>
        <v>1.0900000000000001</v>
      </c>
      <c r="U159" s="129">
        <f t="shared" si="48"/>
        <v>1.0900000000000001</v>
      </c>
      <c r="V159" s="129">
        <f t="shared" si="48"/>
        <v>1.0900000000000001</v>
      </c>
      <c r="W159" s="129">
        <f t="shared" si="48"/>
        <v>1.0900000000000001</v>
      </c>
      <c r="X159" s="129">
        <f t="shared" si="48"/>
        <v>1.0900000000000001</v>
      </c>
      <c r="Y159" s="129">
        <f t="shared" si="48"/>
        <v>1.0900000000000001</v>
      </c>
      <c r="Z159" s="129">
        <f t="shared" si="48"/>
        <v>1.0900000000000001</v>
      </c>
      <c r="AA159" s="129">
        <f t="shared" si="48"/>
        <v>1.0900000000000001</v>
      </c>
      <c r="AB159" s="129">
        <f t="shared" si="48"/>
        <v>1.0900000000000001</v>
      </c>
      <c r="AC159" s="129">
        <f t="shared" si="48"/>
        <v>1.0900000000000001</v>
      </c>
      <c r="AD159" s="129">
        <f t="shared" si="48"/>
        <v>1.0900000000000001</v>
      </c>
      <c r="AE159" s="129">
        <f t="shared" si="48"/>
        <v>1.0900000000000001</v>
      </c>
      <c r="AF159" s="129">
        <f t="shared" si="48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6"/>
        <v>1.58</v>
      </c>
      <c r="C160" s="130">
        <v>1.58</v>
      </c>
      <c r="D160" s="129">
        <f t="shared" si="47"/>
        <v>1.58</v>
      </c>
      <c r="E160" s="129">
        <f t="shared" si="47"/>
        <v>1.58</v>
      </c>
      <c r="F160" s="129">
        <f t="shared" si="47"/>
        <v>1.58</v>
      </c>
      <c r="G160" s="129">
        <f t="shared" si="47"/>
        <v>1.58</v>
      </c>
      <c r="H160" s="129">
        <f t="shared" si="47"/>
        <v>1.58</v>
      </c>
      <c r="I160" s="129">
        <f t="shared" si="47"/>
        <v>1.58</v>
      </c>
      <c r="J160" s="129">
        <f t="shared" si="47"/>
        <v>1.58</v>
      </c>
      <c r="K160" s="129">
        <f t="shared" si="47"/>
        <v>1.58</v>
      </c>
      <c r="L160" s="129">
        <f t="shared" si="47"/>
        <v>1.58</v>
      </c>
      <c r="M160" s="129">
        <f t="shared" si="47"/>
        <v>1.58</v>
      </c>
      <c r="N160" s="129">
        <f t="shared" si="47"/>
        <v>1.58</v>
      </c>
      <c r="O160" s="129">
        <f t="shared" si="47"/>
        <v>1.58</v>
      </c>
      <c r="P160" s="129">
        <f t="shared" si="47"/>
        <v>1.58</v>
      </c>
      <c r="Q160" s="129">
        <f t="shared" si="47"/>
        <v>1.58</v>
      </c>
      <c r="R160" s="129">
        <f t="shared" si="47"/>
        <v>1.58</v>
      </c>
      <c r="S160" s="129">
        <f t="shared" si="47"/>
        <v>1.58</v>
      </c>
      <c r="T160" s="129">
        <f t="shared" si="48"/>
        <v>1.58</v>
      </c>
      <c r="U160" s="129">
        <f t="shared" si="48"/>
        <v>1.58</v>
      </c>
      <c r="V160" s="129">
        <f t="shared" si="48"/>
        <v>1.58</v>
      </c>
      <c r="W160" s="129">
        <f t="shared" si="48"/>
        <v>1.58</v>
      </c>
      <c r="X160" s="129">
        <f t="shared" si="48"/>
        <v>1.58</v>
      </c>
      <c r="Y160" s="129">
        <f t="shared" si="48"/>
        <v>1.58</v>
      </c>
      <c r="Z160" s="129">
        <f t="shared" si="48"/>
        <v>1.58</v>
      </c>
      <c r="AA160" s="129">
        <f t="shared" si="48"/>
        <v>1.58</v>
      </c>
      <c r="AB160" s="129">
        <f t="shared" si="48"/>
        <v>1.58</v>
      </c>
      <c r="AC160" s="129">
        <f t="shared" si="48"/>
        <v>1.58</v>
      </c>
      <c r="AD160" s="129">
        <f t="shared" si="48"/>
        <v>1.58</v>
      </c>
      <c r="AE160" s="129">
        <f t="shared" si="48"/>
        <v>1.58</v>
      </c>
      <c r="AF160" s="129">
        <f t="shared" si="48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6"/>
        <v>2</v>
      </c>
      <c r="C161" s="130">
        <v>2</v>
      </c>
      <c r="D161" s="129">
        <f t="shared" si="47"/>
        <v>2</v>
      </c>
      <c r="E161" s="129">
        <f t="shared" si="47"/>
        <v>2</v>
      </c>
      <c r="F161" s="129">
        <f t="shared" si="47"/>
        <v>2</v>
      </c>
      <c r="G161" s="129">
        <f t="shared" si="47"/>
        <v>2</v>
      </c>
      <c r="H161" s="129">
        <f t="shared" si="47"/>
        <v>2</v>
      </c>
      <c r="I161" s="129">
        <f t="shared" si="47"/>
        <v>2</v>
      </c>
      <c r="J161" s="129">
        <f t="shared" si="47"/>
        <v>2</v>
      </c>
      <c r="K161" s="129">
        <f t="shared" si="47"/>
        <v>2</v>
      </c>
      <c r="L161" s="129">
        <f t="shared" si="47"/>
        <v>2</v>
      </c>
      <c r="M161" s="129">
        <f t="shared" si="47"/>
        <v>2</v>
      </c>
      <c r="N161" s="129">
        <f t="shared" si="47"/>
        <v>2</v>
      </c>
      <c r="O161" s="129">
        <f t="shared" si="47"/>
        <v>2</v>
      </c>
      <c r="P161" s="129">
        <f t="shared" si="47"/>
        <v>2</v>
      </c>
      <c r="Q161" s="129">
        <f t="shared" si="47"/>
        <v>2</v>
      </c>
      <c r="R161" s="129">
        <f t="shared" si="47"/>
        <v>2</v>
      </c>
      <c r="S161" s="129">
        <f t="shared" si="47"/>
        <v>2</v>
      </c>
      <c r="T161" s="129">
        <f t="shared" si="48"/>
        <v>2</v>
      </c>
      <c r="U161" s="129">
        <f t="shared" si="48"/>
        <v>2</v>
      </c>
      <c r="V161" s="129">
        <f t="shared" si="48"/>
        <v>2</v>
      </c>
      <c r="W161" s="129">
        <f t="shared" si="48"/>
        <v>2</v>
      </c>
      <c r="X161" s="129">
        <f t="shared" si="48"/>
        <v>2</v>
      </c>
      <c r="Y161" s="129">
        <f t="shared" si="48"/>
        <v>2</v>
      </c>
      <c r="Z161" s="129">
        <f t="shared" si="48"/>
        <v>2</v>
      </c>
      <c r="AA161" s="129">
        <f t="shared" si="48"/>
        <v>2</v>
      </c>
      <c r="AB161" s="129">
        <f t="shared" si="48"/>
        <v>2</v>
      </c>
      <c r="AC161" s="129">
        <f t="shared" si="48"/>
        <v>2</v>
      </c>
      <c r="AD161" s="129">
        <f t="shared" si="48"/>
        <v>2</v>
      </c>
      <c r="AE161" s="129">
        <f t="shared" si="48"/>
        <v>2</v>
      </c>
      <c r="AF161" s="129">
        <f t="shared" si="48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6"/>
        <v>0.47</v>
      </c>
      <c r="C162" s="130">
        <v>0.47</v>
      </c>
      <c r="D162" s="129">
        <f t="shared" si="47"/>
        <v>0.47</v>
      </c>
      <c r="E162" s="129">
        <f t="shared" si="47"/>
        <v>0.47</v>
      </c>
      <c r="F162" s="129">
        <f t="shared" si="47"/>
        <v>0.47</v>
      </c>
      <c r="G162" s="129">
        <f t="shared" si="47"/>
        <v>0.47</v>
      </c>
      <c r="H162" s="129">
        <f t="shared" si="47"/>
        <v>0.47</v>
      </c>
      <c r="I162" s="129">
        <f t="shared" si="47"/>
        <v>0.47</v>
      </c>
      <c r="J162" s="129">
        <f t="shared" si="47"/>
        <v>0.47</v>
      </c>
      <c r="K162" s="129">
        <f t="shared" si="47"/>
        <v>0.47</v>
      </c>
      <c r="L162" s="129">
        <f t="shared" si="47"/>
        <v>0.47</v>
      </c>
      <c r="M162" s="129">
        <f t="shared" si="47"/>
        <v>0.47</v>
      </c>
      <c r="N162" s="129">
        <f t="shared" si="47"/>
        <v>0.47</v>
      </c>
      <c r="O162" s="129">
        <f t="shared" si="47"/>
        <v>0.47</v>
      </c>
      <c r="P162" s="129">
        <f t="shared" si="47"/>
        <v>0.47</v>
      </c>
      <c r="Q162" s="129">
        <f t="shared" si="47"/>
        <v>0.47</v>
      </c>
      <c r="R162" s="129">
        <f t="shared" si="47"/>
        <v>0.47</v>
      </c>
      <c r="S162" s="129">
        <f t="shared" si="47"/>
        <v>0.47</v>
      </c>
      <c r="T162" s="129">
        <f t="shared" si="48"/>
        <v>0.47</v>
      </c>
      <c r="U162" s="129">
        <f t="shared" si="48"/>
        <v>0.47</v>
      </c>
      <c r="V162" s="129">
        <f t="shared" si="48"/>
        <v>0.47</v>
      </c>
      <c r="W162" s="129">
        <f t="shared" si="48"/>
        <v>0.47</v>
      </c>
      <c r="X162" s="129">
        <f t="shared" si="48"/>
        <v>0.47</v>
      </c>
      <c r="Y162" s="129">
        <f t="shared" si="48"/>
        <v>0.47</v>
      </c>
      <c r="Z162" s="129">
        <f t="shared" si="48"/>
        <v>0.47</v>
      </c>
      <c r="AA162" s="129">
        <f t="shared" si="48"/>
        <v>0.47</v>
      </c>
      <c r="AB162" s="129">
        <f t="shared" si="48"/>
        <v>0.47</v>
      </c>
      <c r="AC162" s="129">
        <f t="shared" si="48"/>
        <v>0.47</v>
      </c>
      <c r="AD162" s="129">
        <f t="shared" si="48"/>
        <v>0.47</v>
      </c>
      <c r="AE162" s="129">
        <f t="shared" si="48"/>
        <v>0.47</v>
      </c>
      <c r="AF162" s="129">
        <f t="shared" si="48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6"/>
        <v>0</v>
      </c>
      <c r="C163" s="130">
        <v>0</v>
      </c>
      <c r="D163" s="129">
        <f t="shared" si="47"/>
        <v>0</v>
      </c>
      <c r="E163" s="129">
        <f t="shared" si="47"/>
        <v>0</v>
      </c>
      <c r="F163" s="129">
        <f t="shared" si="47"/>
        <v>0</v>
      </c>
      <c r="G163" s="129">
        <f t="shared" si="47"/>
        <v>0</v>
      </c>
      <c r="H163" s="129">
        <f t="shared" si="47"/>
        <v>0</v>
      </c>
      <c r="I163" s="129">
        <f t="shared" si="47"/>
        <v>0</v>
      </c>
      <c r="J163" s="129">
        <f t="shared" si="47"/>
        <v>0</v>
      </c>
      <c r="K163" s="129">
        <f t="shared" si="47"/>
        <v>0</v>
      </c>
      <c r="L163" s="129">
        <f t="shared" si="47"/>
        <v>0</v>
      </c>
      <c r="M163" s="129">
        <f t="shared" si="47"/>
        <v>0</v>
      </c>
      <c r="N163" s="129">
        <f t="shared" si="47"/>
        <v>0</v>
      </c>
      <c r="O163" s="129">
        <f t="shared" si="47"/>
        <v>0</v>
      </c>
      <c r="P163" s="129">
        <f t="shared" si="47"/>
        <v>0</v>
      </c>
      <c r="Q163" s="129">
        <f t="shared" si="47"/>
        <v>0</v>
      </c>
      <c r="R163" s="129">
        <f t="shared" si="47"/>
        <v>0</v>
      </c>
      <c r="S163" s="129">
        <f t="shared" si="47"/>
        <v>0</v>
      </c>
      <c r="T163" s="129">
        <f t="shared" si="48"/>
        <v>0</v>
      </c>
      <c r="U163" s="129">
        <f t="shared" si="48"/>
        <v>0</v>
      </c>
      <c r="V163" s="129">
        <f t="shared" si="48"/>
        <v>0</v>
      </c>
      <c r="W163" s="129">
        <f t="shared" si="48"/>
        <v>0</v>
      </c>
      <c r="X163" s="129">
        <f t="shared" si="48"/>
        <v>0</v>
      </c>
      <c r="Y163" s="129">
        <f t="shared" si="48"/>
        <v>0</v>
      </c>
      <c r="Z163" s="129">
        <f t="shared" si="48"/>
        <v>0</v>
      </c>
      <c r="AA163" s="129">
        <f t="shared" si="48"/>
        <v>0</v>
      </c>
      <c r="AB163" s="129">
        <f t="shared" si="48"/>
        <v>0</v>
      </c>
      <c r="AC163" s="129">
        <f t="shared" si="48"/>
        <v>0</v>
      </c>
      <c r="AD163" s="129">
        <f t="shared" si="48"/>
        <v>0</v>
      </c>
      <c r="AE163" s="129">
        <f t="shared" si="48"/>
        <v>0</v>
      </c>
      <c r="AF163" s="129">
        <f t="shared" si="48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6"/>
        <v>0</v>
      </c>
      <c r="C164" s="130">
        <v>0</v>
      </c>
      <c r="D164" s="129">
        <f t="shared" si="47"/>
        <v>0</v>
      </c>
      <c r="E164" s="129">
        <f t="shared" si="47"/>
        <v>0</v>
      </c>
      <c r="F164" s="129">
        <f t="shared" si="47"/>
        <v>0</v>
      </c>
      <c r="G164" s="129">
        <f t="shared" si="47"/>
        <v>0</v>
      </c>
      <c r="H164" s="129">
        <f t="shared" si="47"/>
        <v>0</v>
      </c>
      <c r="I164" s="129">
        <f t="shared" si="47"/>
        <v>0</v>
      </c>
      <c r="J164" s="129">
        <f t="shared" si="47"/>
        <v>0</v>
      </c>
      <c r="K164" s="129">
        <f t="shared" si="47"/>
        <v>0</v>
      </c>
      <c r="L164" s="129">
        <f t="shared" si="47"/>
        <v>0</v>
      </c>
      <c r="M164" s="129">
        <f t="shared" si="47"/>
        <v>0</v>
      </c>
      <c r="N164" s="129">
        <f t="shared" si="47"/>
        <v>0</v>
      </c>
      <c r="O164" s="129">
        <f t="shared" si="47"/>
        <v>0</v>
      </c>
      <c r="P164" s="129">
        <f t="shared" si="47"/>
        <v>0</v>
      </c>
      <c r="Q164" s="129">
        <f t="shared" si="47"/>
        <v>0</v>
      </c>
      <c r="R164" s="129">
        <f t="shared" si="47"/>
        <v>0</v>
      </c>
      <c r="S164" s="129">
        <f t="shared" si="48"/>
        <v>0</v>
      </c>
      <c r="T164" s="129">
        <f t="shared" si="48"/>
        <v>0</v>
      </c>
      <c r="U164" s="129">
        <f t="shared" si="48"/>
        <v>0</v>
      </c>
      <c r="V164" s="129">
        <f t="shared" si="48"/>
        <v>0</v>
      </c>
      <c r="W164" s="129">
        <f t="shared" si="48"/>
        <v>0</v>
      </c>
      <c r="X164" s="129">
        <f t="shared" si="48"/>
        <v>0</v>
      </c>
      <c r="Y164" s="129">
        <f t="shared" si="48"/>
        <v>0</v>
      </c>
      <c r="Z164" s="129">
        <f t="shared" si="48"/>
        <v>0</v>
      </c>
      <c r="AA164" s="129">
        <f t="shared" si="48"/>
        <v>0</v>
      </c>
      <c r="AB164" s="129">
        <f t="shared" si="48"/>
        <v>0</v>
      </c>
      <c r="AC164" s="129">
        <f t="shared" si="48"/>
        <v>0</v>
      </c>
      <c r="AD164" s="129">
        <f t="shared" si="48"/>
        <v>0</v>
      </c>
      <c r="AE164" s="129">
        <f t="shared" si="48"/>
        <v>0</v>
      </c>
      <c r="AF164" s="129">
        <f t="shared" si="48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6"/>
        <v>0.8</v>
      </c>
      <c r="C165" s="130">
        <v>0.8</v>
      </c>
      <c r="D165" s="129">
        <f t="shared" si="47"/>
        <v>0.8</v>
      </c>
      <c r="E165" s="129">
        <f t="shared" si="47"/>
        <v>0.8</v>
      </c>
      <c r="F165" s="129">
        <f t="shared" si="47"/>
        <v>0.8</v>
      </c>
      <c r="G165" s="129">
        <f t="shared" si="47"/>
        <v>0.8</v>
      </c>
      <c r="H165" s="129">
        <f t="shared" si="47"/>
        <v>0.8</v>
      </c>
      <c r="I165" s="129">
        <f t="shared" si="47"/>
        <v>0.8</v>
      </c>
      <c r="J165" s="129">
        <f t="shared" si="47"/>
        <v>0.8</v>
      </c>
      <c r="K165" s="129">
        <f t="shared" si="47"/>
        <v>0.8</v>
      </c>
      <c r="L165" s="129">
        <f t="shared" si="47"/>
        <v>0.8</v>
      </c>
      <c r="M165" s="129">
        <f t="shared" si="47"/>
        <v>0.8</v>
      </c>
      <c r="N165" s="129">
        <f t="shared" si="47"/>
        <v>0.8</v>
      </c>
      <c r="O165" s="129">
        <f t="shared" si="47"/>
        <v>0.8</v>
      </c>
      <c r="P165" s="129">
        <f t="shared" si="47"/>
        <v>0.8</v>
      </c>
      <c r="Q165" s="129">
        <f t="shared" si="47"/>
        <v>0.8</v>
      </c>
      <c r="R165" s="129">
        <f t="shared" si="47"/>
        <v>0.8</v>
      </c>
      <c r="S165" s="129">
        <f t="shared" si="48"/>
        <v>0.8</v>
      </c>
      <c r="T165" s="129">
        <f t="shared" si="48"/>
        <v>0.8</v>
      </c>
      <c r="U165" s="129">
        <f t="shared" si="48"/>
        <v>0.8</v>
      </c>
      <c r="V165" s="129">
        <f t="shared" si="48"/>
        <v>0.8</v>
      </c>
      <c r="W165" s="129">
        <f t="shared" si="48"/>
        <v>0.8</v>
      </c>
      <c r="X165" s="129">
        <f t="shared" si="48"/>
        <v>0.8</v>
      </c>
      <c r="Y165" s="129">
        <f t="shared" si="48"/>
        <v>0.8</v>
      </c>
      <c r="Z165" s="129">
        <f t="shared" si="48"/>
        <v>0.8</v>
      </c>
      <c r="AA165" s="129">
        <f t="shared" si="48"/>
        <v>0.8</v>
      </c>
      <c r="AB165" s="129">
        <f t="shared" si="48"/>
        <v>0.8</v>
      </c>
      <c r="AC165" s="129">
        <f t="shared" si="48"/>
        <v>0.8</v>
      </c>
      <c r="AD165" s="129">
        <f t="shared" si="48"/>
        <v>0.8</v>
      </c>
      <c r="AE165" s="129">
        <f t="shared" si="48"/>
        <v>0.8</v>
      </c>
      <c r="AF165" s="129">
        <f t="shared" si="48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6"/>
        <v>1.5</v>
      </c>
      <c r="C166" s="130">
        <v>1.5</v>
      </c>
      <c r="D166" s="129">
        <f t="shared" si="47"/>
        <v>1.5</v>
      </c>
      <c r="E166" s="129">
        <f t="shared" si="47"/>
        <v>1.5</v>
      </c>
      <c r="F166" s="129">
        <f t="shared" si="47"/>
        <v>1.5</v>
      </c>
      <c r="G166" s="129">
        <f t="shared" si="47"/>
        <v>1.5</v>
      </c>
      <c r="H166" s="129">
        <f t="shared" si="47"/>
        <v>1.5</v>
      </c>
      <c r="I166" s="129">
        <f t="shared" si="47"/>
        <v>1.5</v>
      </c>
      <c r="J166" s="129">
        <f t="shared" si="47"/>
        <v>1.5</v>
      </c>
      <c r="K166" s="129">
        <f t="shared" si="47"/>
        <v>1.5</v>
      </c>
      <c r="L166" s="129">
        <f t="shared" si="47"/>
        <v>1.5</v>
      </c>
      <c r="M166" s="129">
        <f t="shared" si="47"/>
        <v>1.5</v>
      </c>
      <c r="N166" s="129">
        <f t="shared" si="47"/>
        <v>1.5</v>
      </c>
      <c r="O166" s="129">
        <f t="shared" si="47"/>
        <v>1.5</v>
      </c>
      <c r="P166" s="129">
        <f t="shared" si="47"/>
        <v>1.5</v>
      </c>
      <c r="Q166" s="129">
        <f t="shared" si="47"/>
        <v>1.5</v>
      </c>
      <c r="R166" s="129">
        <f t="shared" si="47"/>
        <v>1.5</v>
      </c>
      <c r="S166" s="129">
        <f t="shared" si="48"/>
        <v>1.5</v>
      </c>
      <c r="T166" s="129">
        <f t="shared" si="48"/>
        <v>1.5</v>
      </c>
      <c r="U166" s="129">
        <f t="shared" si="48"/>
        <v>1.5</v>
      </c>
      <c r="V166" s="129">
        <f t="shared" si="48"/>
        <v>1.5</v>
      </c>
      <c r="W166" s="129">
        <f t="shared" si="48"/>
        <v>1.5</v>
      </c>
      <c r="X166" s="129">
        <f t="shared" si="48"/>
        <v>1.5</v>
      </c>
      <c r="Y166" s="129">
        <f t="shared" si="48"/>
        <v>1.5</v>
      </c>
      <c r="Z166" s="129">
        <f t="shared" si="48"/>
        <v>1.5</v>
      </c>
      <c r="AA166" s="129">
        <f t="shared" si="48"/>
        <v>1.5</v>
      </c>
      <c r="AB166" s="129">
        <f t="shared" si="48"/>
        <v>1.5</v>
      </c>
      <c r="AC166" s="129">
        <f t="shared" si="48"/>
        <v>1.5</v>
      </c>
      <c r="AD166" s="129">
        <f t="shared" si="48"/>
        <v>1.5</v>
      </c>
      <c r="AE166" s="129">
        <f t="shared" si="48"/>
        <v>1.5</v>
      </c>
      <c r="AF166" s="129">
        <f t="shared" si="48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6"/>
        <v>1</v>
      </c>
      <c r="C167" s="130">
        <v>1</v>
      </c>
      <c r="D167" s="129">
        <f t="shared" si="47"/>
        <v>1</v>
      </c>
      <c r="E167" s="129">
        <f t="shared" si="47"/>
        <v>1</v>
      </c>
      <c r="F167" s="129">
        <f t="shared" si="47"/>
        <v>1</v>
      </c>
      <c r="G167" s="129">
        <f t="shared" si="47"/>
        <v>1</v>
      </c>
      <c r="H167" s="129">
        <f t="shared" si="47"/>
        <v>1</v>
      </c>
      <c r="I167" s="129">
        <f t="shared" si="47"/>
        <v>1</v>
      </c>
      <c r="J167" s="129">
        <f t="shared" si="47"/>
        <v>1</v>
      </c>
      <c r="K167" s="129">
        <f t="shared" si="47"/>
        <v>1</v>
      </c>
      <c r="L167" s="129">
        <f t="shared" si="47"/>
        <v>1</v>
      </c>
      <c r="M167" s="129">
        <f t="shared" si="47"/>
        <v>1</v>
      </c>
      <c r="N167" s="129">
        <f t="shared" si="47"/>
        <v>1</v>
      </c>
      <c r="O167" s="129">
        <f t="shared" si="47"/>
        <v>1</v>
      </c>
      <c r="P167" s="129">
        <f t="shared" si="47"/>
        <v>1</v>
      </c>
      <c r="Q167" s="129">
        <f t="shared" si="47"/>
        <v>1</v>
      </c>
      <c r="R167" s="129">
        <f t="shared" si="47"/>
        <v>1</v>
      </c>
      <c r="S167" s="129">
        <f t="shared" si="48"/>
        <v>1</v>
      </c>
      <c r="T167" s="129">
        <f t="shared" si="48"/>
        <v>1</v>
      </c>
      <c r="U167" s="129">
        <f t="shared" si="48"/>
        <v>1</v>
      </c>
      <c r="V167" s="129">
        <f t="shared" si="48"/>
        <v>1</v>
      </c>
      <c r="W167" s="129">
        <f t="shared" si="48"/>
        <v>1</v>
      </c>
      <c r="X167" s="129">
        <f t="shared" si="48"/>
        <v>1</v>
      </c>
      <c r="Y167" s="129">
        <f t="shared" si="48"/>
        <v>1</v>
      </c>
      <c r="Z167" s="129">
        <f t="shared" si="48"/>
        <v>1</v>
      </c>
      <c r="AA167" s="129">
        <f t="shared" si="48"/>
        <v>1</v>
      </c>
      <c r="AB167" s="129">
        <f t="shared" si="48"/>
        <v>1</v>
      </c>
      <c r="AC167" s="129">
        <f t="shared" si="48"/>
        <v>1</v>
      </c>
      <c r="AD167" s="129">
        <f t="shared" si="48"/>
        <v>1</v>
      </c>
      <c r="AE167" s="129">
        <f t="shared" si="48"/>
        <v>1</v>
      </c>
      <c r="AF167" s="129">
        <f t="shared" si="48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9">AF169</f>
        <v>1</v>
      </c>
      <c r="C169" s="130">
        <v>1</v>
      </c>
      <c r="D169" s="129">
        <f t="shared" ref="D169:S176" si="50">C169</f>
        <v>1</v>
      </c>
      <c r="E169" s="129">
        <f t="shared" si="50"/>
        <v>1</v>
      </c>
      <c r="F169" s="129">
        <f t="shared" si="50"/>
        <v>1</v>
      </c>
      <c r="G169" s="129">
        <f t="shared" si="50"/>
        <v>1</v>
      </c>
      <c r="H169" s="129">
        <f t="shared" si="50"/>
        <v>1</v>
      </c>
      <c r="I169" s="129">
        <f t="shared" si="50"/>
        <v>1</v>
      </c>
      <c r="J169" s="129">
        <f t="shared" si="50"/>
        <v>1</v>
      </c>
      <c r="K169" s="129">
        <f t="shared" si="50"/>
        <v>1</v>
      </c>
      <c r="L169" s="129">
        <f t="shared" si="50"/>
        <v>1</v>
      </c>
      <c r="M169" s="129">
        <f t="shared" si="50"/>
        <v>1</v>
      </c>
      <c r="N169" s="129">
        <f t="shared" si="50"/>
        <v>1</v>
      </c>
      <c r="O169" s="129">
        <f t="shared" si="50"/>
        <v>1</v>
      </c>
      <c r="P169" s="129">
        <f t="shared" si="50"/>
        <v>1</v>
      </c>
      <c r="Q169" s="129">
        <f t="shared" si="50"/>
        <v>1</v>
      </c>
      <c r="R169" s="129">
        <f t="shared" si="50"/>
        <v>1</v>
      </c>
      <c r="S169" s="129">
        <f t="shared" si="50"/>
        <v>1</v>
      </c>
      <c r="T169" s="129">
        <f t="shared" ref="S169:AF176" si="51">S169</f>
        <v>1</v>
      </c>
      <c r="U169" s="129">
        <f t="shared" si="51"/>
        <v>1</v>
      </c>
      <c r="V169" s="129">
        <f t="shared" si="51"/>
        <v>1</v>
      </c>
      <c r="W169" s="129">
        <f t="shared" si="51"/>
        <v>1</v>
      </c>
      <c r="X169" s="129">
        <f t="shared" si="51"/>
        <v>1</v>
      </c>
      <c r="Y169" s="129">
        <f t="shared" si="51"/>
        <v>1</v>
      </c>
      <c r="Z169" s="129">
        <f t="shared" si="51"/>
        <v>1</v>
      </c>
      <c r="AA169" s="129">
        <f t="shared" si="51"/>
        <v>1</v>
      </c>
      <c r="AB169" s="129">
        <f t="shared" si="51"/>
        <v>1</v>
      </c>
      <c r="AC169" s="129">
        <f t="shared" si="51"/>
        <v>1</v>
      </c>
      <c r="AD169" s="129">
        <f t="shared" si="51"/>
        <v>1</v>
      </c>
      <c r="AE169" s="129">
        <f t="shared" si="51"/>
        <v>1</v>
      </c>
      <c r="AF169" s="129">
        <f t="shared" si="51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9"/>
        <v>0.42</v>
      </c>
      <c r="C170" s="130">
        <v>0.42</v>
      </c>
      <c r="D170" s="129">
        <f t="shared" si="50"/>
        <v>0.42</v>
      </c>
      <c r="E170" s="129">
        <f t="shared" si="50"/>
        <v>0.42</v>
      </c>
      <c r="F170" s="129">
        <f t="shared" si="50"/>
        <v>0.42</v>
      </c>
      <c r="G170" s="129">
        <f t="shared" si="50"/>
        <v>0.42</v>
      </c>
      <c r="H170" s="129">
        <f t="shared" si="50"/>
        <v>0.42</v>
      </c>
      <c r="I170" s="129">
        <f t="shared" si="50"/>
        <v>0.42</v>
      </c>
      <c r="J170" s="129">
        <f t="shared" si="50"/>
        <v>0.42</v>
      </c>
      <c r="K170" s="129">
        <f t="shared" si="50"/>
        <v>0.42</v>
      </c>
      <c r="L170" s="129">
        <f t="shared" si="50"/>
        <v>0.42</v>
      </c>
      <c r="M170" s="129">
        <f t="shared" si="50"/>
        <v>0.42</v>
      </c>
      <c r="N170" s="129">
        <f t="shared" si="50"/>
        <v>0.42</v>
      </c>
      <c r="O170" s="129">
        <f t="shared" si="50"/>
        <v>0.42</v>
      </c>
      <c r="P170" s="129">
        <f t="shared" si="50"/>
        <v>0.42</v>
      </c>
      <c r="Q170" s="129">
        <f t="shared" si="50"/>
        <v>0.42</v>
      </c>
      <c r="R170" s="129">
        <f t="shared" si="50"/>
        <v>0.42</v>
      </c>
      <c r="S170" s="129">
        <f t="shared" si="51"/>
        <v>0.42</v>
      </c>
      <c r="T170" s="129">
        <f t="shared" si="51"/>
        <v>0.42</v>
      </c>
      <c r="U170" s="129">
        <f t="shared" si="51"/>
        <v>0.42</v>
      </c>
      <c r="V170" s="129">
        <f t="shared" si="51"/>
        <v>0.42</v>
      </c>
      <c r="W170" s="129">
        <f t="shared" si="51"/>
        <v>0.42</v>
      </c>
      <c r="X170" s="129">
        <f t="shared" si="51"/>
        <v>0.42</v>
      </c>
      <c r="Y170" s="129">
        <f t="shared" si="51"/>
        <v>0.42</v>
      </c>
      <c r="Z170" s="129">
        <f t="shared" si="51"/>
        <v>0.42</v>
      </c>
      <c r="AA170" s="129">
        <f t="shared" si="51"/>
        <v>0.42</v>
      </c>
      <c r="AB170" s="129">
        <f t="shared" si="51"/>
        <v>0.42</v>
      </c>
      <c r="AC170" s="129">
        <f t="shared" si="51"/>
        <v>0.42</v>
      </c>
      <c r="AD170" s="129">
        <f t="shared" si="51"/>
        <v>0.42</v>
      </c>
      <c r="AE170" s="129">
        <f t="shared" si="51"/>
        <v>0.42</v>
      </c>
      <c r="AF170" s="129">
        <f t="shared" si="51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9"/>
        <v>0.46</v>
      </c>
      <c r="C171" s="130">
        <v>0.46</v>
      </c>
      <c r="D171" s="129">
        <f t="shared" si="50"/>
        <v>0.46</v>
      </c>
      <c r="E171" s="129">
        <f t="shared" si="50"/>
        <v>0.46</v>
      </c>
      <c r="F171" s="129">
        <f t="shared" si="50"/>
        <v>0.46</v>
      </c>
      <c r="G171" s="129">
        <f t="shared" si="50"/>
        <v>0.46</v>
      </c>
      <c r="H171" s="129">
        <f t="shared" si="50"/>
        <v>0.46</v>
      </c>
      <c r="I171" s="129">
        <f t="shared" si="50"/>
        <v>0.46</v>
      </c>
      <c r="J171" s="129">
        <f t="shared" si="50"/>
        <v>0.46</v>
      </c>
      <c r="K171" s="129">
        <f t="shared" si="50"/>
        <v>0.46</v>
      </c>
      <c r="L171" s="129">
        <f t="shared" si="50"/>
        <v>0.46</v>
      </c>
      <c r="M171" s="129">
        <f t="shared" si="50"/>
        <v>0.46</v>
      </c>
      <c r="N171" s="129">
        <f t="shared" si="50"/>
        <v>0.46</v>
      </c>
      <c r="O171" s="129">
        <f t="shared" si="50"/>
        <v>0.46</v>
      </c>
      <c r="P171" s="129">
        <f t="shared" si="50"/>
        <v>0.46</v>
      </c>
      <c r="Q171" s="129">
        <f t="shared" si="50"/>
        <v>0.46</v>
      </c>
      <c r="R171" s="129">
        <f t="shared" si="50"/>
        <v>0.46</v>
      </c>
      <c r="S171" s="129">
        <f t="shared" si="51"/>
        <v>0.46</v>
      </c>
      <c r="T171" s="129">
        <f t="shared" si="51"/>
        <v>0.46</v>
      </c>
      <c r="U171" s="129">
        <f t="shared" si="51"/>
        <v>0.46</v>
      </c>
      <c r="V171" s="129">
        <f t="shared" si="51"/>
        <v>0.46</v>
      </c>
      <c r="W171" s="129">
        <f t="shared" si="51"/>
        <v>0.46</v>
      </c>
      <c r="X171" s="129">
        <f t="shared" si="51"/>
        <v>0.46</v>
      </c>
      <c r="Y171" s="129">
        <f t="shared" si="51"/>
        <v>0.46</v>
      </c>
      <c r="Z171" s="129">
        <f t="shared" si="51"/>
        <v>0.46</v>
      </c>
      <c r="AA171" s="129">
        <f t="shared" si="51"/>
        <v>0.46</v>
      </c>
      <c r="AB171" s="129">
        <f t="shared" si="51"/>
        <v>0.46</v>
      </c>
      <c r="AC171" s="129">
        <f t="shared" si="51"/>
        <v>0.46</v>
      </c>
      <c r="AD171" s="129">
        <f t="shared" si="51"/>
        <v>0.46</v>
      </c>
      <c r="AE171" s="129">
        <f t="shared" si="51"/>
        <v>0.46</v>
      </c>
      <c r="AF171" s="129">
        <f t="shared" si="51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9"/>
        <v>0.85</v>
      </c>
      <c r="C172" s="130">
        <v>0.85</v>
      </c>
      <c r="D172" s="129">
        <f t="shared" si="50"/>
        <v>0.85</v>
      </c>
      <c r="E172" s="129">
        <f t="shared" si="50"/>
        <v>0.85</v>
      </c>
      <c r="F172" s="129">
        <f t="shared" si="50"/>
        <v>0.85</v>
      </c>
      <c r="G172" s="129">
        <f t="shared" si="50"/>
        <v>0.85</v>
      </c>
      <c r="H172" s="129">
        <f t="shared" si="50"/>
        <v>0.85</v>
      </c>
      <c r="I172" s="129">
        <f t="shared" si="50"/>
        <v>0.85</v>
      </c>
      <c r="J172" s="129">
        <f t="shared" si="50"/>
        <v>0.85</v>
      </c>
      <c r="K172" s="129">
        <f t="shared" si="50"/>
        <v>0.85</v>
      </c>
      <c r="L172" s="129">
        <f t="shared" si="50"/>
        <v>0.85</v>
      </c>
      <c r="M172" s="129">
        <f t="shared" si="50"/>
        <v>0.85</v>
      </c>
      <c r="N172" s="129">
        <f t="shared" si="50"/>
        <v>0.85</v>
      </c>
      <c r="O172" s="129">
        <f t="shared" si="50"/>
        <v>0.85</v>
      </c>
      <c r="P172" s="129">
        <f t="shared" si="50"/>
        <v>0.85</v>
      </c>
      <c r="Q172" s="129">
        <f t="shared" si="50"/>
        <v>0.85</v>
      </c>
      <c r="R172" s="129">
        <f t="shared" si="50"/>
        <v>0.85</v>
      </c>
      <c r="S172" s="129">
        <f t="shared" si="51"/>
        <v>0.85</v>
      </c>
      <c r="T172" s="129">
        <f t="shared" si="51"/>
        <v>0.85</v>
      </c>
      <c r="U172" s="129">
        <f t="shared" si="51"/>
        <v>0.85</v>
      </c>
      <c r="V172" s="129">
        <f t="shared" si="51"/>
        <v>0.85</v>
      </c>
      <c r="W172" s="129">
        <f t="shared" si="51"/>
        <v>0.85</v>
      </c>
      <c r="X172" s="129">
        <f t="shared" si="51"/>
        <v>0.85</v>
      </c>
      <c r="Y172" s="129">
        <f t="shared" si="51"/>
        <v>0.85</v>
      </c>
      <c r="Z172" s="129">
        <f t="shared" si="51"/>
        <v>0.85</v>
      </c>
      <c r="AA172" s="129">
        <f t="shared" si="51"/>
        <v>0.85</v>
      </c>
      <c r="AB172" s="129">
        <f t="shared" si="51"/>
        <v>0.85</v>
      </c>
      <c r="AC172" s="129">
        <f t="shared" si="51"/>
        <v>0.85</v>
      </c>
      <c r="AD172" s="129">
        <f t="shared" si="51"/>
        <v>0.85</v>
      </c>
      <c r="AE172" s="129">
        <f t="shared" si="51"/>
        <v>0.85</v>
      </c>
      <c r="AF172" s="129">
        <f t="shared" si="51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9"/>
        <v>0.9</v>
      </c>
      <c r="C173" s="130">
        <v>0.9</v>
      </c>
      <c r="D173" s="129">
        <f t="shared" si="50"/>
        <v>0.9</v>
      </c>
      <c r="E173" s="129">
        <f t="shared" si="50"/>
        <v>0.9</v>
      </c>
      <c r="F173" s="129">
        <f t="shared" si="50"/>
        <v>0.9</v>
      </c>
      <c r="G173" s="129">
        <f t="shared" si="50"/>
        <v>0.9</v>
      </c>
      <c r="H173" s="129">
        <f t="shared" si="50"/>
        <v>0.9</v>
      </c>
      <c r="I173" s="129">
        <f t="shared" si="50"/>
        <v>0.9</v>
      </c>
      <c r="J173" s="129">
        <f t="shared" si="50"/>
        <v>0.9</v>
      </c>
      <c r="K173" s="129">
        <f t="shared" si="50"/>
        <v>0.9</v>
      </c>
      <c r="L173" s="129">
        <f t="shared" si="50"/>
        <v>0.9</v>
      </c>
      <c r="M173" s="129">
        <f t="shared" si="50"/>
        <v>0.9</v>
      </c>
      <c r="N173" s="129">
        <f t="shared" si="50"/>
        <v>0.9</v>
      </c>
      <c r="O173" s="129">
        <f t="shared" si="50"/>
        <v>0.9</v>
      </c>
      <c r="P173" s="129">
        <f t="shared" si="50"/>
        <v>0.9</v>
      </c>
      <c r="Q173" s="129">
        <f t="shared" si="50"/>
        <v>0.9</v>
      </c>
      <c r="R173" s="129">
        <f t="shared" si="50"/>
        <v>0.9</v>
      </c>
      <c r="S173" s="129">
        <f t="shared" si="51"/>
        <v>0.9</v>
      </c>
      <c r="T173" s="129">
        <f t="shared" si="51"/>
        <v>0.9</v>
      </c>
      <c r="U173" s="129">
        <f t="shared" si="51"/>
        <v>0.9</v>
      </c>
      <c r="V173" s="129">
        <f t="shared" si="51"/>
        <v>0.9</v>
      </c>
      <c r="W173" s="129">
        <f t="shared" si="51"/>
        <v>0.9</v>
      </c>
      <c r="X173" s="129">
        <f t="shared" si="51"/>
        <v>0.9</v>
      </c>
      <c r="Y173" s="129">
        <f t="shared" si="51"/>
        <v>0.9</v>
      </c>
      <c r="Z173" s="129">
        <f t="shared" si="51"/>
        <v>0.9</v>
      </c>
      <c r="AA173" s="129">
        <f t="shared" si="51"/>
        <v>0.9</v>
      </c>
      <c r="AB173" s="129">
        <f t="shared" si="51"/>
        <v>0.9</v>
      </c>
      <c r="AC173" s="129">
        <f t="shared" si="51"/>
        <v>0.9</v>
      </c>
      <c r="AD173" s="129">
        <f t="shared" si="51"/>
        <v>0.9</v>
      </c>
      <c r="AE173" s="129">
        <f t="shared" si="51"/>
        <v>0.9</v>
      </c>
      <c r="AF173" s="129">
        <f t="shared" si="51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9"/>
        <v>0.44</v>
      </c>
      <c r="C174" s="130">
        <v>0.44</v>
      </c>
      <c r="D174" s="129">
        <f t="shared" si="50"/>
        <v>0.44</v>
      </c>
      <c r="E174" s="129">
        <f t="shared" si="50"/>
        <v>0.44</v>
      </c>
      <c r="F174" s="129">
        <f t="shared" si="50"/>
        <v>0.44</v>
      </c>
      <c r="G174" s="129">
        <f t="shared" si="50"/>
        <v>0.44</v>
      </c>
      <c r="H174" s="129">
        <f t="shared" si="50"/>
        <v>0.44</v>
      </c>
      <c r="I174" s="129">
        <f t="shared" si="50"/>
        <v>0.44</v>
      </c>
      <c r="J174" s="129">
        <f t="shared" si="50"/>
        <v>0.44</v>
      </c>
      <c r="K174" s="129">
        <f t="shared" si="50"/>
        <v>0.44</v>
      </c>
      <c r="L174" s="129">
        <f t="shared" si="50"/>
        <v>0.44</v>
      </c>
      <c r="M174" s="129">
        <f t="shared" si="50"/>
        <v>0.44</v>
      </c>
      <c r="N174" s="129">
        <f t="shared" si="50"/>
        <v>0.44</v>
      </c>
      <c r="O174" s="129">
        <f t="shared" si="50"/>
        <v>0.44</v>
      </c>
      <c r="P174" s="129">
        <f t="shared" si="50"/>
        <v>0.44</v>
      </c>
      <c r="Q174" s="129">
        <f t="shared" si="50"/>
        <v>0.44</v>
      </c>
      <c r="R174" s="129">
        <f t="shared" si="50"/>
        <v>0.44</v>
      </c>
      <c r="S174" s="129">
        <f t="shared" si="51"/>
        <v>0.44</v>
      </c>
      <c r="T174" s="129">
        <f t="shared" si="51"/>
        <v>0.44</v>
      </c>
      <c r="U174" s="129">
        <f t="shared" si="51"/>
        <v>0.44</v>
      </c>
      <c r="V174" s="129">
        <f t="shared" si="51"/>
        <v>0.44</v>
      </c>
      <c r="W174" s="129">
        <f t="shared" si="51"/>
        <v>0.44</v>
      </c>
      <c r="X174" s="129">
        <f t="shared" si="51"/>
        <v>0.44</v>
      </c>
      <c r="Y174" s="129">
        <f t="shared" si="51"/>
        <v>0.44</v>
      </c>
      <c r="Z174" s="129">
        <f t="shared" si="51"/>
        <v>0.44</v>
      </c>
      <c r="AA174" s="129">
        <f t="shared" si="51"/>
        <v>0.44</v>
      </c>
      <c r="AB174" s="129">
        <f t="shared" si="51"/>
        <v>0.44</v>
      </c>
      <c r="AC174" s="129">
        <f t="shared" si="51"/>
        <v>0.44</v>
      </c>
      <c r="AD174" s="129">
        <f t="shared" si="51"/>
        <v>0.44</v>
      </c>
      <c r="AE174" s="129">
        <f t="shared" si="51"/>
        <v>0.44</v>
      </c>
      <c r="AF174" s="129">
        <f t="shared" si="51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9"/>
        <v>2.1</v>
      </c>
      <c r="C175" s="130">
        <v>2.1</v>
      </c>
      <c r="D175" s="129">
        <f t="shared" si="50"/>
        <v>2.1</v>
      </c>
      <c r="E175" s="129">
        <f t="shared" si="50"/>
        <v>2.1</v>
      </c>
      <c r="F175" s="129">
        <f t="shared" si="50"/>
        <v>2.1</v>
      </c>
      <c r="G175" s="129">
        <f t="shared" si="50"/>
        <v>2.1</v>
      </c>
      <c r="H175" s="129">
        <f t="shared" si="50"/>
        <v>2.1</v>
      </c>
      <c r="I175" s="129">
        <f t="shared" si="50"/>
        <v>2.1</v>
      </c>
      <c r="J175" s="129">
        <f t="shared" si="50"/>
        <v>2.1</v>
      </c>
      <c r="K175" s="129">
        <f t="shared" si="50"/>
        <v>2.1</v>
      </c>
      <c r="L175" s="129">
        <f t="shared" si="50"/>
        <v>2.1</v>
      </c>
      <c r="M175" s="129">
        <f t="shared" si="50"/>
        <v>2.1</v>
      </c>
      <c r="N175" s="129">
        <f t="shared" si="50"/>
        <v>2.1</v>
      </c>
      <c r="O175" s="129">
        <f t="shared" si="50"/>
        <v>2.1</v>
      </c>
      <c r="P175" s="129">
        <f t="shared" si="50"/>
        <v>2.1</v>
      </c>
      <c r="Q175" s="129">
        <f t="shared" si="50"/>
        <v>2.1</v>
      </c>
      <c r="R175" s="129">
        <f t="shared" si="50"/>
        <v>2.1</v>
      </c>
      <c r="S175" s="129">
        <f t="shared" si="51"/>
        <v>2.1</v>
      </c>
      <c r="T175" s="129">
        <f t="shared" si="51"/>
        <v>2.1</v>
      </c>
      <c r="U175" s="129">
        <f t="shared" si="51"/>
        <v>2.1</v>
      </c>
      <c r="V175" s="129">
        <f t="shared" si="51"/>
        <v>2.1</v>
      </c>
      <c r="W175" s="129">
        <f t="shared" si="51"/>
        <v>2.1</v>
      </c>
      <c r="X175" s="129">
        <f t="shared" si="51"/>
        <v>2.1</v>
      </c>
      <c r="Y175" s="129">
        <f t="shared" si="51"/>
        <v>2.1</v>
      </c>
      <c r="Z175" s="129">
        <f t="shared" si="51"/>
        <v>2.1</v>
      </c>
      <c r="AA175" s="129">
        <f t="shared" si="51"/>
        <v>2.1</v>
      </c>
      <c r="AB175" s="129">
        <f t="shared" si="51"/>
        <v>2.1</v>
      </c>
      <c r="AC175" s="129">
        <f t="shared" si="51"/>
        <v>2.1</v>
      </c>
      <c r="AD175" s="129">
        <f t="shared" si="51"/>
        <v>2.1</v>
      </c>
      <c r="AE175" s="129">
        <f t="shared" si="51"/>
        <v>2.1</v>
      </c>
      <c r="AF175" s="129">
        <f t="shared" si="51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9"/>
        <v>0.9</v>
      </c>
      <c r="C176" s="130">
        <v>0.9</v>
      </c>
      <c r="D176" s="129">
        <f t="shared" si="50"/>
        <v>0.9</v>
      </c>
      <c r="E176" s="129">
        <f t="shared" si="50"/>
        <v>0.9</v>
      </c>
      <c r="F176" s="129">
        <f t="shared" si="50"/>
        <v>0.9</v>
      </c>
      <c r="G176" s="129">
        <f t="shared" si="50"/>
        <v>0.9</v>
      </c>
      <c r="H176" s="129">
        <f t="shared" si="50"/>
        <v>0.9</v>
      </c>
      <c r="I176" s="129">
        <f t="shared" si="50"/>
        <v>0.9</v>
      </c>
      <c r="J176" s="129">
        <f t="shared" si="50"/>
        <v>0.9</v>
      </c>
      <c r="K176" s="129">
        <f t="shared" si="50"/>
        <v>0.9</v>
      </c>
      <c r="L176" s="129">
        <f t="shared" si="50"/>
        <v>0.9</v>
      </c>
      <c r="M176" s="129">
        <f t="shared" si="50"/>
        <v>0.9</v>
      </c>
      <c r="N176" s="129">
        <f t="shared" si="50"/>
        <v>0.9</v>
      </c>
      <c r="O176" s="129">
        <f t="shared" si="50"/>
        <v>0.9</v>
      </c>
      <c r="P176" s="129">
        <f t="shared" si="50"/>
        <v>0.9</v>
      </c>
      <c r="Q176" s="129">
        <f t="shared" si="50"/>
        <v>0.9</v>
      </c>
      <c r="R176" s="129">
        <f t="shared" si="50"/>
        <v>0.9</v>
      </c>
      <c r="S176" s="129">
        <f t="shared" si="51"/>
        <v>0.9</v>
      </c>
      <c r="T176" s="129">
        <f t="shared" si="51"/>
        <v>0.9</v>
      </c>
      <c r="U176" s="129">
        <f t="shared" si="51"/>
        <v>0.9</v>
      </c>
      <c r="V176" s="129">
        <f t="shared" si="51"/>
        <v>0.9</v>
      </c>
      <c r="W176" s="129">
        <f t="shared" si="51"/>
        <v>0.9</v>
      </c>
      <c r="X176" s="129">
        <f t="shared" si="51"/>
        <v>0.9</v>
      </c>
      <c r="Y176" s="129">
        <f t="shared" si="51"/>
        <v>0.9</v>
      </c>
      <c r="Z176" s="129">
        <f t="shared" si="51"/>
        <v>0.9</v>
      </c>
      <c r="AA176" s="129">
        <f t="shared" si="51"/>
        <v>0.9</v>
      </c>
      <c r="AB176" s="129">
        <f t="shared" si="51"/>
        <v>0.9</v>
      </c>
      <c r="AC176" s="129">
        <f t="shared" si="51"/>
        <v>0.9</v>
      </c>
      <c r="AD176" s="129">
        <f t="shared" si="51"/>
        <v>0.9</v>
      </c>
      <c r="AE176" s="129">
        <f t="shared" si="51"/>
        <v>0.9</v>
      </c>
      <c r="AF176" s="129">
        <f t="shared" si="51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2">AF178</f>
        <v>0.57999999999999996</v>
      </c>
      <c r="C178" s="130">
        <v>0.57999999999999996</v>
      </c>
      <c r="D178" s="129">
        <f t="shared" ref="D178:S190" si="53">C178</f>
        <v>0.57999999999999996</v>
      </c>
      <c r="E178" s="129">
        <f t="shared" si="53"/>
        <v>0.57999999999999996</v>
      </c>
      <c r="F178" s="129">
        <f t="shared" si="53"/>
        <v>0.57999999999999996</v>
      </c>
      <c r="G178" s="129">
        <f t="shared" si="53"/>
        <v>0.57999999999999996</v>
      </c>
      <c r="H178" s="129">
        <f t="shared" si="53"/>
        <v>0.57999999999999996</v>
      </c>
      <c r="I178" s="129">
        <f t="shared" si="53"/>
        <v>0.57999999999999996</v>
      </c>
      <c r="J178" s="129">
        <f t="shared" si="53"/>
        <v>0.57999999999999996</v>
      </c>
      <c r="K178" s="129">
        <f t="shared" si="53"/>
        <v>0.57999999999999996</v>
      </c>
      <c r="L178" s="129">
        <f t="shared" si="53"/>
        <v>0.57999999999999996</v>
      </c>
      <c r="M178" s="129">
        <f t="shared" si="53"/>
        <v>0.57999999999999996</v>
      </c>
      <c r="N178" s="129">
        <f t="shared" si="53"/>
        <v>0.57999999999999996</v>
      </c>
      <c r="O178" s="129">
        <f t="shared" si="53"/>
        <v>0.57999999999999996</v>
      </c>
      <c r="P178" s="129">
        <f t="shared" si="53"/>
        <v>0.57999999999999996</v>
      </c>
      <c r="Q178" s="129">
        <f t="shared" si="53"/>
        <v>0.57999999999999996</v>
      </c>
      <c r="R178" s="129">
        <f t="shared" si="53"/>
        <v>0.57999999999999996</v>
      </c>
      <c r="S178" s="129">
        <f t="shared" si="53"/>
        <v>0.57999999999999996</v>
      </c>
      <c r="T178" s="129">
        <f t="shared" ref="S178:AF190" si="54">S178</f>
        <v>0.57999999999999996</v>
      </c>
      <c r="U178" s="129">
        <f t="shared" si="54"/>
        <v>0.57999999999999996</v>
      </c>
      <c r="V178" s="129">
        <f t="shared" si="54"/>
        <v>0.57999999999999996</v>
      </c>
      <c r="W178" s="129">
        <f t="shared" si="54"/>
        <v>0.57999999999999996</v>
      </c>
      <c r="X178" s="129">
        <f t="shared" si="54"/>
        <v>0.57999999999999996</v>
      </c>
      <c r="Y178" s="129">
        <f t="shared" si="54"/>
        <v>0.57999999999999996</v>
      </c>
      <c r="Z178" s="129">
        <f t="shared" si="54"/>
        <v>0.57999999999999996</v>
      </c>
      <c r="AA178" s="129">
        <f t="shared" si="54"/>
        <v>0.57999999999999996</v>
      </c>
      <c r="AB178" s="129">
        <f t="shared" si="54"/>
        <v>0.57999999999999996</v>
      </c>
      <c r="AC178" s="129">
        <f t="shared" si="54"/>
        <v>0.57999999999999996</v>
      </c>
      <c r="AD178" s="129">
        <f t="shared" si="54"/>
        <v>0.57999999999999996</v>
      </c>
      <c r="AE178" s="129">
        <f t="shared" si="54"/>
        <v>0.57999999999999996</v>
      </c>
      <c r="AF178" s="129">
        <f t="shared" si="54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2"/>
        <v>0.8</v>
      </c>
      <c r="C179" s="130">
        <v>0.8</v>
      </c>
      <c r="D179" s="129">
        <f t="shared" si="53"/>
        <v>0.8</v>
      </c>
      <c r="E179" s="129">
        <f t="shared" si="53"/>
        <v>0.8</v>
      </c>
      <c r="F179" s="129">
        <f t="shared" si="53"/>
        <v>0.8</v>
      </c>
      <c r="G179" s="129">
        <f t="shared" si="53"/>
        <v>0.8</v>
      </c>
      <c r="H179" s="129">
        <f t="shared" si="53"/>
        <v>0.8</v>
      </c>
      <c r="I179" s="129">
        <f t="shared" si="53"/>
        <v>0.8</v>
      </c>
      <c r="J179" s="129">
        <f t="shared" si="53"/>
        <v>0.8</v>
      </c>
      <c r="K179" s="129">
        <f t="shared" si="53"/>
        <v>0.8</v>
      </c>
      <c r="L179" s="129">
        <f t="shared" si="53"/>
        <v>0.8</v>
      </c>
      <c r="M179" s="129">
        <f t="shared" si="53"/>
        <v>0.8</v>
      </c>
      <c r="N179" s="129">
        <f t="shared" si="53"/>
        <v>0.8</v>
      </c>
      <c r="O179" s="129">
        <f t="shared" si="53"/>
        <v>0.8</v>
      </c>
      <c r="P179" s="129">
        <f t="shared" si="53"/>
        <v>0.8</v>
      </c>
      <c r="Q179" s="129">
        <f t="shared" si="53"/>
        <v>0.8</v>
      </c>
      <c r="R179" s="129">
        <f t="shared" si="53"/>
        <v>0.8</v>
      </c>
      <c r="S179" s="129">
        <f t="shared" si="53"/>
        <v>0.8</v>
      </c>
      <c r="T179" s="129">
        <f t="shared" si="54"/>
        <v>0.8</v>
      </c>
      <c r="U179" s="129">
        <f t="shared" si="54"/>
        <v>0.8</v>
      </c>
      <c r="V179" s="129">
        <f t="shared" si="54"/>
        <v>0.8</v>
      </c>
      <c r="W179" s="129">
        <f t="shared" si="54"/>
        <v>0.8</v>
      </c>
      <c r="X179" s="129">
        <f t="shared" si="54"/>
        <v>0.8</v>
      </c>
      <c r="Y179" s="129">
        <f t="shared" si="54"/>
        <v>0.8</v>
      </c>
      <c r="Z179" s="129">
        <f t="shared" si="54"/>
        <v>0.8</v>
      </c>
      <c r="AA179" s="129">
        <f t="shared" si="54"/>
        <v>0.8</v>
      </c>
      <c r="AB179" s="129">
        <f t="shared" si="54"/>
        <v>0.8</v>
      </c>
      <c r="AC179" s="129">
        <f t="shared" si="54"/>
        <v>0.8</v>
      </c>
      <c r="AD179" s="129">
        <f t="shared" si="54"/>
        <v>0.8</v>
      </c>
      <c r="AE179" s="129">
        <f t="shared" si="54"/>
        <v>0.8</v>
      </c>
      <c r="AF179" s="129">
        <f t="shared" si="54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2"/>
        <v>0</v>
      </c>
      <c r="C180" s="130">
        <v>0</v>
      </c>
      <c r="D180" s="129">
        <f t="shared" si="53"/>
        <v>0</v>
      </c>
      <c r="E180" s="129">
        <f t="shared" si="53"/>
        <v>0</v>
      </c>
      <c r="F180" s="129">
        <f t="shared" si="53"/>
        <v>0</v>
      </c>
      <c r="G180" s="129">
        <f t="shared" si="53"/>
        <v>0</v>
      </c>
      <c r="H180" s="129">
        <f t="shared" si="53"/>
        <v>0</v>
      </c>
      <c r="I180" s="129">
        <f t="shared" si="53"/>
        <v>0</v>
      </c>
      <c r="J180" s="129">
        <f t="shared" si="53"/>
        <v>0</v>
      </c>
      <c r="K180" s="129">
        <f t="shared" si="53"/>
        <v>0</v>
      </c>
      <c r="L180" s="129">
        <f t="shared" si="53"/>
        <v>0</v>
      </c>
      <c r="M180" s="129">
        <f t="shared" si="53"/>
        <v>0</v>
      </c>
      <c r="N180" s="129">
        <f t="shared" si="53"/>
        <v>0</v>
      </c>
      <c r="O180" s="129">
        <f t="shared" si="53"/>
        <v>0</v>
      </c>
      <c r="P180" s="129">
        <f t="shared" si="53"/>
        <v>0</v>
      </c>
      <c r="Q180" s="129">
        <f t="shared" si="53"/>
        <v>0</v>
      </c>
      <c r="R180" s="129">
        <f t="shared" si="53"/>
        <v>0</v>
      </c>
      <c r="S180" s="129">
        <f t="shared" si="53"/>
        <v>0</v>
      </c>
      <c r="T180" s="129">
        <f t="shared" si="54"/>
        <v>0</v>
      </c>
      <c r="U180" s="129">
        <f t="shared" si="54"/>
        <v>0</v>
      </c>
      <c r="V180" s="129">
        <f t="shared" si="54"/>
        <v>0</v>
      </c>
      <c r="W180" s="129">
        <f t="shared" si="54"/>
        <v>0</v>
      </c>
      <c r="X180" s="129">
        <f t="shared" si="54"/>
        <v>0</v>
      </c>
      <c r="Y180" s="129">
        <f t="shared" si="54"/>
        <v>0</v>
      </c>
      <c r="Z180" s="129">
        <f t="shared" si="54"/>
        <v>0</v>
      </c>
      <c r="AA180" s="129">
        <f t="shared" si="54"/>
        <v>0</v>
      </c>
      <c r="AB180" s="129">
        <f t="shared" si="54"/>
        <v>0</v>
      </c>
      <c r="AC180" s="129">
        <f t="shared" si="54"/>
        <v>0</v>
      </c>
      <c r="AD180" s="129">
        <f t="shared" si="54"/>
        <v>0</v>
      </c>
      <c r="AE180" s="129">
        <f t="shared" si="54"/>
        <v>0</v>
      </c>
      <c r="AF180" s="129">
        <f t="shared" si="54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2"/>
        <v>0.6</v>
      </c>
      <c r="C181" s="130">
        <v>0.6</v>
      </c>
      <c r="D181" s="129">
        <f t="shared" si="53"/>
        <v>0.6</v>
      </c>
      <c r="E181" s="129">
        <f t="shared" si="53"/>
        <v>0.6</v>
      </c>
      <c r="F181" s="129">
        <f t="shared" si="53"/>
        <v>0.6</v>
      </c>
      <c r="G181" s="129">
        <f t="shared" si="53"/>
        <v>0.6</v>
      </c>
      <c r="H181" s="129">
        <f t="shared" si="53"/>
        <v>0.6</v>
      </c>
      <c r="I181" s="129">
        <f t="shared" si="53"/>
        <v>0.6</v>
      </c>
      <c r="J181" s="129">
        <f t="shared" si="53"/>
        <v>0.6</v>
      </c>
      <c r="K181" s="129">
        <f t="shared" si="53"/>
        <v>0.6</v>
      </c>
      <c r="L181" s="129">
        <f t="shared" si="53"/>
        <v>0.6</v>
      </c>
      <c r="M181" s="129">
        <f t="shared" si="53"/>
        <v>0.6</v>
      </c>
      <c r="N181" s="129">
        <f t="shared" si="53"/>
        <v>0.6</v>
      </c>
      <c r="O181" s="129">
        <f t="shared" si="53"/>
        <v>0.6</v>
      </c>
      <c r="P181" s="129">
        <f t="shared" si="53"/>
        <v>0.6</v>
      </c>
      <c r="Q181" s="129">
        <f t="shared" si="53"/>
        <v>0.6</v>
      </c>
      <c r="R181" s="129">
        <f t="shared" si="53"/>
        <v>0.6</v>
      </c>
      <c r="S181" s="129">
        <f t="shared" si="53"/>
        <v>0.6</v>
      </c>
      <c r="T181" s="129">
        <f t="shared" si="54"/>
        <v>0.6</v>
      </c>
      <c r="U181" s="129">
        <f t="shared" si="54"/>
        <v>0.6</v>
      </c>
      <c r="V181" s="129">
        <f t="shared" si="54"/>
        <v>0.6</v>
      </c>
      <c r="W181" s="129">
        <f t="shared" si="54"/>
        <v>0.6</v>
      </c>
      <c r="X181" s="129">
        <f t="shared" si="54"/>
        <v>0.6</v>
      </c>
      <c r="Y181" s="129">
        <f t="shared" si="54"/>
        <v>0.6</v>
      </c>
      <c r="Z181" s="129">
        <f t="shared" si="54"/>
        <v>0.6</v>
      </c>
      <c r="AA181" s="129">
        <f t="shared" si="54"/>
        <v>0.6</v>
      </c>
      <c r="AB181" s="129">
        <f t="shared" si="54"/>
        <v>0.6</v>
      </c>
      <c r="AC181" s="129">
        <f t="shared" si="54"/>
        <v>0.6</v>
      </c>
      <c r="AD181" s="129">
        <f t="shared" si="54"/>
        <v>0.6</v>
      </c>
      <c r="AE181" s="129">
        <f t="shared" si="54"/>
        <v>0.6</v>
      </c>
      <c r="AF181" s="129">
        <f t="shared" si="54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2"/>
        <v>0.6</v>
      </c>
      <c r="C182" s="130">
        <v>0.6</v>
      </c>
      <c r="D182" s="129">
        <f t="shared" si="53"/>
        <v>0.6</v>
      </c>
      <c r="E182" s="129">
        <f t="shared" si="53"/>
        <v>0.6</v>
      </c>
      <c r="F182" s="129">
        <f t="shared" si="53"/>
        <v>0.6</v>
      </c>
      <c r="G182" s="129">
        <f t="shared" si="53"/>
        <v>0.6</v>
      </c>
      <c r="H182" s="129">
        <f t="shared" si="53"/>
        <v>0.6</v>
      </c>
      <c r="I182" s="129">
        <f t="shared" si="53"/>
        <v>0.6</v>
      </c>
      <c r="J182" s="129">
        <f t="shared" si="53"/>
        <v>0.6</v>
      </c>
      <c r="K182" s="129">
        <f t="shared" si="53"/>
        <v>0.6</v>
      </c>
      <c r="L182" s="129">
        <f t="shared" si="53"/>
        <v>0.6</v>
      </c>
      <c r="M182" s="129">
        <f t="shared" si="53"/>
        <v>0.6</v>
      </c>
      <c r="N182" s="129">
        <f t="shared" si="53"/>
        <v>0.6</v>
      </c>
      <c r="O182" s="129">
        <f t="shared" si="53"/>
        <v>0.6</v>
      </c>
      <c r="P182" s="129">
        <f t="shared" si="53"/>
        <v>0.6</v>
      </c>
      <c r="Q182" s="129">
        <f t="shared" si="53"/>
        <v>0.6</v>
      </c>
      <c r="R182" s="129">
        <f t="shared" si="53"/>
        <v>0.6</v>
      </c>
      <c r="S182" s="129">
        <f t="shared" si="53"/>
        <v>0.6</v>
      </c>
      <c r="T182" s="129">
        <f t="shared" si="54"/>
        <v>0.6</v>
      </c>
      <c r="U182" s="129">
        <f t="shared" si="54"/>
        <v>0.6</v>
      </c>
      <c r="V182" s="129">
        <f t="shared" si="54"/>
        <v>0.6</v>
      </c>
      <c r="W182" s="129">
        <f t="shared" si="54"/>
        <v>0.6</v>
      </c>
      <c r="X182" s="129">
        <f t="shared" si="54"/>
        <v>0.6</v>
      </c>
      <c r="Y182" s="129">
        <f t="shared" si="54"/>
        <v>0.6</v>
      </c>
      <c r="Z182" s="129">
        <f t="shared" si="54"/>
        <v>0.6</v>
      </c>
      <c r="AA182" s="129">
        <f t="shared" si="54"/>
        <v>0.6</v>
      </c>
      <c r="AB182" s="129">
        <f t="shared" si="54"/>
        <v>0.6</v>
      </c>
      <c r="AC182" s="129">
        <f t="shared" si="54"/>
        <v>0.6</v>
      </c>
      <c r="AD182" s="129">
        <f t="shared" si="54"/>
        <v>0.6</v>
      </c>
      <c r="AE182" s="129">
        <f t="shared" si="54"/>
        <v>0.6</v>
      </c>
      <c r="AF182" s="129">
        <f t="shared" si="54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2"/>
        <v>0.35</v>
      </c>
      <c r="C183" s="130">
        <v>0.35</v>
      </c>
      <c r="D183" s="129">
        <f t="shared" si="53"/>
        <v>0.35</v>
      </c>
      <c r="E183" s="129">
        <f t="shared" si="53"/>
        <v>0.35</v>
      </c>
      <c r="F183" s="129">
        <f t="shared" si="53"/>
        <v>0.35</v>
      </c>
      <c r="G183" s="129">
        <f t="shared" si="53"/>
        <v>0.35</v>
      </c>
      <c r="H183" s="129">
        <f t="shared" si="53"/>
        <v>0.35</v>
      </c>
      <c r="I183" s="129">
        <f t="shared" si="53"/>
        <v>0.35</v>
      </c>
      <c r="J183" s="129">
        <f t="shared" si="53"/>
        <v>0.35</v>
      </c>
      <c r="K183" s="129">
        <f t="shared" si="53"/>
        <v>0.35</v>
      </c>
      <c r="L183" s="129">
        <f t="shared" si="53"/>
        <v>0.35</v>
      </c>
      <c r="M183" s="129">
        <f t="shared" si="53"/>
        <v>0.35</v>
      </c>
      <c r="N183" s="129">
        <f t="shared" si="53"/>
        <v>0.35</v>
      </c>
      <c r="O183" s="129">
        <f t="shared" si="53"/>
        <v>0.35</v>
      </c>
      <c r="P183" s="129">
        <f t="shared" si="53"/>
        <v>0.35</v>
      </c>
      <c r="Q183" s="129">
        <f t="shared" si="53"/>
        <v>0.35</v>
      </c>
      <c r="R183" s="129">
        <f t="shared" si="53"/>
        <v>0.35</v>
      </c>
      <c r="S183" s="129">
        <f t="shared" si="53"/>
        <v>0.35</v>
      </c>
      <c r="T183" s="129">
        <f t="shared" si="54"/>
        <v>0.35</v>
      </c>
      <c r="U183" s="129">
        <f t="shared" si="54"/>
        <v>0.35</v>
      </c>
      <c r="V183" s="129">
        <f t="shared" si="54"/>
        <v>0.35</v>
      </c>
      <c r="W183" s="129">
        <f t="shared" si="54"/>
        <v>0.35</v>
      </c>
      <c r="X183" s="129">
        <f t="shared" si="54"/>
        <v>0.35</v>
      </c>
      <c r="Y183" s="129">
        <f t="shared" si="54"/>
        <v>0.35</v>
      </c>
      <c r="Z183" s="129">
        <f t="shared" si="54"/>
        <v>0.35</v>
      </c>
      <c r="AA183" s="129">
        <f t="shared" si="54"/>
        <v>0.35</v>
      </c>
      <c r="AB183" s="129">
        <f t="shared" si="54"/>
        <v>0.35</v>
      </c>
      <c r="AC183" s="129">
        <f t="shared" si="54"/>
        <v>0.35</v>
      </c>
      <c r="AD183" s="129">
        <f t="shared" si="54"/>
        <v>0.35</v>
      </c>
      <c r="AE183" s="129">
        <f t="shared" si="54"/>
        <v>0.35</v>
      </c>
      <c r="AF183" s="129">
        <f t="shared" si="54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2"/>
        <v>0.28999999999999998</v>
      </c>
      <c r="C184" s="130">
        <v>0.28999999999999998</v>
      </c>
      <c r="D184" s="129">
        <f t="shared" si="53"/>
        <v>0.28999999999999998</v>
      </c>
      <c r="E184" s="129">
        <f t="shared" si="53"/>
        <v>0.28999999999999998</v>
      </c>
      <c r="F184" s="129">
        <f t="shared" si="53"/>
        <v>0.28999999999999998</v>
      </c>
      <c r="G184" s="129">
        <f t="shared" si="53"/>
        <v>0.28999999999999998</v>
      </c>
      <c r="H184" s="129">
        <f t="shared" si="53"/>
        <v>0.28999999999999998</v>
      </c>
      <c r="I184" s="129">
        <f t="shared" si="53"/>
        <v>0.28999999999999998</v>
      </c>
      <c r="J184" s="129">
        <f t="shared" si="53"/>
        <v>0.28999999999999998</v>
      </c>
      <c r="K184" s="129">
        <f t="shared" si="53"/>
        <v>0.28999999999999998</v>
      </c>
      <c r="L184" s="129">
        <f t="shared" si="53"/>
        <v>0.28999999999999998</v>
      </c>
      <c r="M184" s="129">
        <f t="shared" si="53"/>
        <v>0.28999999999999998</v>
      </c>
      <c r="N184" s="129">
        <f t="shared" si="53"/>
        <v>0.28999999999999998</v>
      </c>
      <c r="O184" s="129">
        <f t="shared" si="53"/>
        <v>0.28999999999999998</v>
      </c>
      <c r="P184" s="129">
        <f t="shared" si="53"/>
        <v>0.28999999999999998</v>
      </c>
      <c r="Q184" s="129">
        <f t="shared" si="53"/>
        <v>0.28999999999999998</v>
      </c>
      <c r="R184" s="129">
        <f t="shared" si="53"/>
        <v>0.28999999999999998</v>
      </c>
      <c r="S184" s="129">
        <f t="shared" si="53"/>
        <v>0.28999999999999998</v>
      </c>
      <c r="T184" s="129">
        <f t="shared" si="54"/>
        <v>0.28999999999999998</v>
      </c>
      <c r="U184" s="129">
        <f t="shared" si="54"/>
        <v>0.28999999999999998</v>
      </c>
      <c r="V184" s="129">
        <f t="shared" si="54"/>
        <v>0.28999999999999998</v>
      </c>
      <c r="W184" s="129">
        <f t="shared" si="54"/>
        <v>0.28999999999999998</v>
      </c>
      <c r="X184" s="129">
        <f t="shared" si="54"/>
        <v>0.28999999999999998</v>
      </c>
      <c r="Y184" s="129">
        <f t="shared" si="54"/>
        <v>0.28999999999999998</v>
      </c>
      <c r="Z184" s="129">
        <f t="shared" si="54"/>
        <v>0.28999999999999998</v>
      </c>
      <c r="AA184" s="129">
        <f t="shared" si="54"/>
        <v>0.28999999999999998</v>
      </c>
      <c r="AB184" s="129">
        <f t="shared" si="54"/>
        <v>0.28999999999999998</v>
      </c>
      <c r="AC184" s="129">
        <f t="shared" si="54"/>
        <v>0.28999999999999998</v>
      </c>
      <c r="AD184" s="129">
        <f t="shared" si="54"/>
        <v>0.28999999999999998</v>
      </c>
      <c r="AE184" s="129">
        <f t="shared" si="54"/>
        <v>0.28999999999999998</v>
      </c>
      <c r="AF184" s="129">
        <f t="shared" si="54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2"/>
        <v>0.06</v>
      </c>
      <c r="C185" s="130">
        <v>0.06</v>
      </c>
      <c r="D185" s="129">
        <f t="shared" si="53"/>
        <v>0.06</v>
      </c>
      <c r="E185" s="129">
        <f t="shared" si="53"/>
        <v>0.06</v>
      </c>
      <c r="F185" s="129">
        <f t="shared" si="53"/>
        <v>0.06</v>
      </c>
      <c r="G185" s="129">
        <f t="shared" si="53"/>
        <v>0.06</v>
      </c>
      <c r="H185" s="129">
        <f t="shared" si="53"/>
        <v>0.06</v>
      </c>
      <c r="I185" s="129">
        <f t="shared" si="53"/>
        <v>0.06</v>
      </c>
      <c r="J185" s="129">
        <f t="shared" si="53"/>
        <v>0.06</v>
      </c>
      <c r="K185" s="129">
        <f t="shared" si="53"/>
        <v>0.06</v>
      </c>
      <c r="L185" s="129">
        <f t="shared" si="53"/>
        <v>0.06</v>
      </c>
      <c r="M185" s="129">
        <f t="shared" si="53"/>
        <v>0.06</v>
      </c>
      <c r="N185" s="129">
        <f t="shared" si="53"/>
        <v>0.06</v>
      </c>
      <c r="O185" s="129">
        <f t="shared" si="53"/>
        <v>0.06</v>
      </c>
      <c r="P185" s="129">
        <f t="shared" si="53"/>
        <v>0.06</v>
      </c>
      <c r="Q185" s="129">
        <f t="shared" si="53"/>
        <v>0.06</v>
      </c>
      <c r="R185" s="129">
        <f t="shared" si="53"/>
        <v>0.06</v>
      </c>
      <c r="S185" s="129">
        <f t="shared" si="53"/>
        <v>0.06</v>
      </c>
      <c r="T185" s="129">
        <f t="shared" si="54"/>
        <v>0.06</v>
      </c>
      <c r="U185" s="129">
        <f t="shared" si="54"/>
        <v>0.06</v>
      </c>
      <c r="V185" s="129">
        <f t="shared" si="54"/>
        <v>0.06</v>
      </c>
      <c r="W185" s="129">
        <f t="shared" si="54"/>
        <v>0.06</v>
      </c>
      <c r="X185" s="129">
        <f t="shared" si="54"/>
        <v>0.06</v>
      </c>
      <c r="Y185" s="129">
        <f t="shared" si="54"/>
        <v>0.06</v>
      </c>
      <c r="Z185" s="129">
        <f t="shared" si="54"/>
        <v>0.06</v>
      </c>
      <c r="AA185" s="129">
        <f t="shared" si="54"/>
        <v>0.06</v>
      </c>
      <c r="AB185" s="129">
        <f t="shared" si="54"/>
        <v>0.06</v>
      </c>
      <c r="AC185" s="129">
        <f t="shared" si="54"/>
        <v>0.06</v>
      </c>
      <c r="AD185" s="129">
        <f t="shared" si="54"/>
        <v>0.06</v>
      </c>
      <c r="AE185" s="129">
        <f t="shared" si="54"/>
        <v>0.06</v>
      </c>
      <c r="AF185" s="129">
        <f t="shared" si="54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2"/>
        <v>0.11</v>
      </c>
      <c r="C186" s="130">
        <v>0.11</v>
      </c>
      <c r="D186" s="129">
        <f t="shared" si="53"/>
        <v>0.11</v>
      </c>
      <c r="E186" s="129">
        <f t="shared" si="53"/>
        <v>0.11</v>
      </c>
      <c r="F186" s="129">
        <f t="shared" si="53"/>
        <v>0.11</v>
      </c>
      <c r="G186" s="129">
        <f t="shared" si="53"/>
        <v>0.11</v>
      </c>
      <c r="H186" s="129">
        <f t="shared" si="53"/>
        <v>0.11</v>
      </c>
      <c r="I186" s="129">
        <f t="shared" si="53"/>
        <v>0.11</v>
      </c>
      <c r="J186" s="129">
        <f t="shared" si="53"/>
        <v>0.11</v>
      </c>
      <c r="K186" s="129">
        <f t="shared" si="53"/>
        <v>0.11</v>
      </c>
      <c r="L186" s="129">
        <f t="shared" si="53"/>
        <v>0.11</v>
      </c>
      <c r="M186" s="129">
        <f t="shared" si="53"/>
        <v>0.11</v>
      </c>
      <c r="N186" s="129">
        <f t="shared" si="53"/>
        <v>0.11</v>
      </c>
      <c r="O186" s="129">
        <f t="shared" si="53"/>
        <v>0.11</v>
      </c>
      <c r="P186" s="129">
        <f t="shared" si="53"/>
        <v>0.11</v>
      </c>
      <c r="Q186" s="129">
        <f t="shared" si="53"/>
        <v>0.11</v>
      </c>
      <c r="R186" s="129">
        <f t="shared" si="53"/>
        <v>0.11</v>
      </c>
      <c r="S186" s="129">
        <f t="shared" si="53"/>
        <v>0.11</v>
      </c>
      <c r="T186" s="129">
        <f t="shared" si="54"/>
        <v>0.11</v>
      </c>
      <c r="U186" s="129">
        <f t="shared" si="54"/>
        <v>0.11</v>
      </c>
      <c r="V186" s="129">
        <f t="shared" si="54"/>
        <v>0.11</v>
      </c>
      <c r="W186" s="129">
        <f t="shared" si="54"/>
        <v>0.11</v>
      </c>
      <c r="X186" s="129">
        <f t="shared" si="54"/>
        <v>0.11</v>
      </c>
      <c r="Y186" s="129">
        <f t="shared" si="54"/>
        <v>0.11</v>
      </c>
      <c r="Z186" s="129">
        <f t="shared" si="54"/>
        <v>0.11</v>
      </c>
      <c r="AA186" s="129">
        <f t="shared" si="54"/>
        <v>0.11</v>
      </c>
      <c r="AB186" s="129">
        <f t="shared" si="54"/>
        <v>0.11</v>
      </c>
      <c r="AC186" s="129">
        <f t="shared" si="54"/>
        <v>0.11</v>
      </c>
      <c r="AD186" s="129">
        <f t="shared" si="54"/>
        <v>0.11</v>
      </c>
      <c r="AE186" s="129">
        <f t="shared" si="54"/>
        <v>0.11</v>
      </c>
      <c r="AF186" s="129">
        <f t="shared" si="54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2"/>
        <v>0.1</v>
      </c>
      <c r="C187" s="130">
        <v>0.1</v>
      </c>
      <c r="D187" s="129">
        <f t="shared" si="53"/>
        <v>0.1</v>
      </c>
      <c r="E187" s="129">
        <f t="shared" si="53"/>
        <v>0.1</v>
      </c>
      <c r="F187" s="129">
        <f t="shared" si="53"/>
        <v>0.1</v>
      </c>
      <c r="G187" s="129">
        <f t="shared" si="53"/>
        <v>0.1</v>
      </c>
      <c r="H187" s="129">
        <f t="shared" si="53"/>
        <v>0.1</v>
      </c>
      <c r="I187" s="129">
        <f t="shared" si="53"/>
        <v>0.1</v>
      </c>
      <c r="J187" s="129">
        <f t="shared" si="53"/>
        <v>0.1</v>
      </c>
      <c r="K187" s="129">
        <f t="shared" si="53"/>
        <v>0.1</v>
      </c>
      <c r="L187" s="129">
        <f t="shared" si="53"/>
        <v>0.1</v>
      </c>
      <c r="M187" s="129">
        <f t="shared" si="53"/>
        <v>0.1</v>
      </c>
      <c r="N187" s="129">
        <f t="shared" si="53"/>
        <v>0.1</v>
      </c>
      <c r="O187" s="129">
        <f t="shared" si="53"/>
        <v>0.1</v>
      </c>
      <c r="P187" s="129">
        <f t="shared" si="53"/>
        <v>0.1</v>
      </c>
      <c r="Q187" s="129">
        <f t="shared" si="53"/>
        <v>0.1</v>
      </c>
      <c r="R187" s="129">
        <f t="shared" si="53"/>
        <v>0.1</v>
      </c>
      <c r="S187" s="129">
        <f t="shared" si="54"/>
        <v>0.1</v>
      </c>
      <c r="T187" s="129">
        <f t="shared" si="54"/>
        <v>0.1</v>
      </c>
      <c r="U187" s="129">
        <f t="shared" si="54"/>
        <v>0.1</v>
      </c>
      <c r="V187" s="129">
        <f t="shared" si="54"/>
        <v>0.1</v>
      </c>
      <c r="W187" s="129">
        <f t="shared" si="54"/>
        <v>0.1</v>
      </c>
      <c r="X187" s="129">
        <f t="shared" si="54"/>
        <v>0.1</v>
      </c>
      <c r="Y187" s="129">
        <f t="shared" si="54"/>
        <v>0.1</v>
      </c>
      <c r="Z187" s="129">
        <f t="shared" si="54"/>
        <v>0.1</v>
      </c>
      <c r="AA187" s="129">
        <f t="shared" si="54"/>
        <v>0.1</v>
      </c>
      <c r="AB187" s="129">
        <f t="shared" si="54"/>
        <v>0.1</v>
      </c>
      <c r="AC187" s="129">
        <f t="shared" si="54"/>
        <v>0.1</v>
      </c>
      <c r="AD187" s="129">
        <f t="shared" si="54"/>
        <v>0.1</v>
      </c>
      <c r="AE187" s="129">
        <f t="shared" si="54"/>
        <v>0.1</v>
      </c>
      <c r="AF187" s="129">
        <f t="shared" si="54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2"/>
        <v>0.09</v>
      </c>
      <c r="C188" s="130">
        <v>0.09</v>
      </c>
      <c r="D188" s="129">
        <f t="shared" si="53"/>
        <v>0.09</v>
      </c>
      <c r="E188" s="129">
        <f t="shared" si="53"/>
        <v>0.09</v>
      </c>
      <c r="F188" s="129">
        <f t="shared" si="53"/>
        <v>0.09</v>
      </c>
      <c r="G188" s="129">
        <f t="shared" si="53"/>
        <v>0.09</v>
      </c>
      <c r="H188" s="129">
        <f t="shared" si="53"/>
        <v>0.09</v>
      </c>
      <c r="I188" s="129">
        <f t="shared" si="53"/>
        <v>0.09</v>
      </c>
      <c r="J188" s="129">
        <f t="shared" si="53"/>
        <v>0.09</v>
      </c>
      <c r="K188" s="129">
        <f t="shared" si="53"/>
        <v>0.09</v>
      </c>
      <c r="L188" s="129">
        <f t="shared" si="53"/>
        <v>0.09</v>
      </c>
      <c r="M188" s="129">
        <f t="shared" si="53"/>
        <v>0.09</v>
      </c>
      <c r="N188" s="129">
        <f t="shared" si="53"/>
        <v>0.09</v>
      </c>
      <c r="O188" s="129">
        <f t="shared" si="53"/>
        <v>0.09</v>
      </c>
      <c r="P188" s="129">
        <f t="shared" si="53"/>
        <v>0.09</v>
      </c>
      <c r="Q188" s="129">
        <f t="shared" si="53"/>
        <v>0.09</v>
      </c>
      <c r="R188" s="129">
        <f t="shared" si="53"/>
        <v>0.09</v>
      </c>
      <c r="S188" s="129">
        <f t="shared" si="54"/>
        <v>0.09</v>
      </c>
      <c r="T188" s="129">
        <f t="shared" si="54"/>
        <v>0.09</v>
      </c>
      <c r="U188" s="129">
        <f t="shared" si="54"/>
        <v>0.09</v>
      </c>
      <c r="V188" s="129">
        <f t="shared" si="54"/>
        <v>0.09</v>
      </c>
      <c r="W188" s="129">
        <f t="shared" si="54"/>
        <v>0.09</v>
      </c>
      <c r="X188" s="129">
        <f t="shared" si="54"/>
        <v>0.09</v>
      </c>
      <c r="Y188" s="129">
        <f t="shared" si="54"/>
        <v>0.09</v>
      </c>
      <c r="Z188" s="129">
        <f t="shared" si="54"/>
        <v>0.09</v>
      </c>
      <c r="AA188" s="129">
        <f t="shared" si="54"/>
        <v>0.09</v>
      </c>
      <c r="AB188" s="129">
        <f t="shared" si="54"/>
        <v>0.09</v>
      </c>
      <c r="AC188" s="129">
        <f t="shared" si="54"/>
        <v>0.09</v>
      </c>
      <c r="AD188" s="129">
        <f t="shared" si="54"/>
        <v>0.09</v>
      </c>
      <c r="AE188" s="129">
        <f t="shared" si="54"/>
        <v>0.09</v>
      </c>
      <c r="AF188" s="129">
        <f t="shared" si="54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2"/>
        <v>0.04</v>
      </c>
      <c r="C189" s="53">
        <v>0.04</v>
      </c>
      <c r="D189" s="129">
        <f t="shared" si="53"/>
        <v>0.04</v>
      </c>
      <c r="E189" s="129">
        <f t="shared" si="53"/>
        <v>0.04</v>
      </c>
      <c r="F189" s="129">
        <f t="shared" si="53"/>
        <v>0.04</v>
      </c>
      <c r="G189" s="129">
        <f t="shared" si="53"/>
        <v>0.04</v>
      </c>
      <c r="H189" s="129">
        <f t="shared" si="53"/>
        <v>0.04</v>
      </c>
      <c r="I189" s="129">
        <f t="shared" si="53"/>
        <v>0.04</v>
      </c>
      <c r="J189" s="129">
        <f t="shared" si="53"/>
        <v>0.04</v>
      </c>
      <c r="K189" s="129">
        <f t="shared" si="53"/>
        <v>0.04</v>
      </c>
      <c r="L189" s="129">
        <f t="shared" si="53"/>
        <v>0.04</v>
      </c>
      <c r="M189" s="129">
        <f t="shared" si="53"/>
        <v>0.04</v>
      </c>
      <c r="N189" s="129">
        <f t="shared" si="53"/>
        <v>0.04</v>
      </c>
      <c r="O189" s="129">
        <f t="shared" si="53"/>
        <v>0.04</v>
      </c>
      <c r="P189" s="129">
        <f t="shared" si="53"/>
        <v>0.04</v>
      </c>
      <c r="Q189" s="129">
        <f t="shared" si="53"/>
        <v>0.04</v>
      </c>
      <c r="R189" s="129">
        <f t="shared" si="53"/>
        <v>0.04</v>
      </c>
      <c r="S189" s="129">
        <f t="shared" si="54"/>
        <v>0.04</v>
      </c>
      <c r="T189" s="129">
        <f t="shared" si="54"/>
        <v>0.04</v>
      </c>
      <c r="U189" s="129">
        <f t="shared" si="54"/>
        <v>0.04</v>
      </c>
      <c r="V189" s="129">
        <f t="shared" si="54"/>
        <v>0.04</v>
      </c>
      <c r="W189" s="129">
        <f t="shared" si="54"/>
        <v>0.04</v>
      </c>
      <c r="X189" s="129">
        <f t="shared" si="54"/>
        <v>0.04</v>
      </c>
      <c r="Y189" s="129">
        <f t="shared" si="54"/>
        <v>0.04</v>
      </c>
      <c r="Z189" s="129">
        <f t="shared" si="54"/>
        <v>0.04</v>
      </c>
      <c r="AA189" s="129">
        <f t="shared" si="54"/>
        <v>0.04</v>
      </c>
      <c r="AB189" s="129">
        <f t="shared" si="54"/>
        <v>0.04</v>
      </c>
      <c r="AC189" s="129">
        <f t="shared" si="54"/>
        <v>0.04</v>
      </c>
      <c r="AD189" s="129">
        <f t="shared" si="54"/>
        <v>0.04</v>
      </c>
      <c r="AE189" s="129">
        <f t="shared" si="54"/>
        <v>0.04</v>
      </c>
      <c r="AF189" s="129">
        <f t="shared" si="54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2"/>
        <v>2.3E-2</v>
      </c>
      <c r="C190" s="53">
        <v>2.3E-2</v>
      </c>
      <c r="D190" s="129">
        <f>C190</f>
        <v>2.3E-2</v>
      </c>
      <c r="E190" s="129">
        <f t="shared" si="53"/>
        <v>2.3E-2</v>
      </c>
      <c r="F190" s="129">
        <f t="shared" si="53"/>
        <v>2.3E-2</v>
      </c>
      <c r="G190" s="129">
        <f t="shared" si="53"/>
        <v>2.3E-2</v>
      </c>
      <c r="H190" s="129">
        <f t="shared" si="53"/>
        <v>2.3E-2</v>
      </c>
      <c r="I190" s="129">
        <f t="shared" si="53"/>
        <v>2.3E-2</v>
      </c>
      <c r="J190" s="129">
        <f t="shared" si="53"/>
        <v>2.3E-2</v>
      </c>
      <c r="K190" s="129">
        <f t="shared" si="53"/>
        <v>2.3E-2</v>
      </c>
      <c r="L190" s="129">
        <f t="shared" si="53"/>
        <v>2.3E-2</v>
      </c>
      <c r="M190" s="129">
        <f t="shared" si="53"/>
        <v>2.3E-2</v>
      </c>
      <c r="N190" s="129">
        <f t="shared" si="53"/>
        <v>2.3E-2</v>
      </c>
      <c r="O190" s="129">
        <f t="shared" si="53"/>
        <v>2.3E-2</v>
      </c>
      <c r="P190" s="129">
        <f t="shared" si="53"/>
        <v>2.3E-2</v>
      </c>
      <c r="Q190" s="129">
        <f t="shared" si="53"/>
        <v>2.3E-2</v>
      </c>
      <c r="R190" s="129">
        <f t="shared" si="53"/>
        <v>2.3E-2</v>
      </c>
      <c r="S190" s="129">
        <f t="shared" si="54"/>
        <v>2.3E-2</v>
      </c>
      <c r="T190" s="129">
        <f t="shared" si="54"/>
        <v>2.3E-2</v>
      </c>
      <c r="U190" s="129">
        <f t="shared" si="54"/>
        <v>2.3E-2</v>
      </c>
      <c r="V190" s="129">
        <f t="shared" si="54"/>
        <v>2.3E-2</v>
      </c>
      <c r="W190" s="129">
        <f t="shared" si="54"/>
        <v>2.3E-2</v>
      </c>
      <c r="X190" s="129">
        <f t="shared" si="54"/>
        <v>2.3E-2</v>
      </c>
      <c r="Y190" s="129">
        <f t="shared" si="54"/>
        <v>2.3E-2</v>
      </c>
      <c r="Z190" s="129">
        <f t="shared" si="54"/>
        <v>2.3E-2</v>
      </c>
      <c r="AA190" s="129">
        <f t="shared" si="54"/>
        <v>2.3E-2</v>
      </c>
      <c r="AB190" s="129">
        <f t="shared" si="54"/>
        <v>2.3E-2</v>
      </c>
      <c r="AC190" s="129">
        <f t="shared" si="54"/>
        <v>2.3E-2</v>
      </c>
      <c r="AD190" s="129">
        <f t="shared" si="54"/>
        <v>2.3E-2</v>
      </c>
      <c r="AE190" s="129">
        <f t="shared" si="54"/>
        <v>2.3E-2</v>
      </c>
      <c r="AF190" s="129">
        <f t="shared" si="54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5">SUM(C101:C190)</f>
        <v>194.70600000000002</v>
      </c>
      <c r="D191" s="134">
        <f t="shared" si="55"/>
        <v>194.70600000000002</v>
      </c>
      <c r="E191" s="134">
        <f t="shared" si="55"/>
        <v>194.70600000000002</v>
      </c>
      <c r="F191" s="134">
        <f t="shared" si="55"/>
        <v>194.70600000000002</v>
      </c>
      <c r="G191" s="134">
        <f t="shared" si="55"/>
        <v>194.70600000000002</v>
      </c>
      <c r="H191" s="134">
        <f t="shared" si="55"/>
        <v>194.70600000000002</v>
      </c>
      <c r="I191" s="134">
        <f t="shared" si="55"/>
        <v>194.70600000000002</v>
      </c>
      <c r="J191" s="134">
        <f t="shared" si="55"/>
        <v>192.10600000000005</v>
      </c>
      <c r="K191" s="134">
        <f t="shared" si="55"/>
        <v>192.10600000000005</v>
      </c>
      <c r="L191" s="134">
        <f t="shared" si="55"/>
        <v>192.10600000000005</v>
      </c>
      <c r="M191" s="134">
        <f t="shared" si="55"/>
        <v>192.10600000000005</v>
      </c>
      <c r="N191" s="134">
        <f t="shared" si="55"/>
        <v>192.10600000000005</v>
      </c>
      <c r="O191" s="134">
        <f t="shared" si="55"/>
        <v>192.10600000000005</v>
      </c>
      <c r="P191" s="134">
        <f t="shared" si="55"/>
        <v>192.10600000000005</v>
      </c>
      <c r="Q191" s="134">
        <f t="shared" si="55"/>
        <v>192.10600000000005</v>
      </c>
      <c r="R191" s="134">
        <f t="shared" si="55"/>
        <v>192.10600000000005</v>
      </c>
      <c r="S191" s="134">
        <f t="shared" si="55"/>
        <v>192.10600000000005</v>
      </c>
      <c r="T191" s="134">
        <f t="shared" si="55"/>
        <v>192.10600000000005</v>
      </c>
      <c r="U191" s="134">
        <f t="shared" si="55"/>
        <v>192.10600000000005</v>
      </c>
      <c r="V191" s="134">
        <f t="shared" si="55"/>
        <v>192.10600000000005</v>
      </c>
      <c r="W191" s="134">
        <f t="shared" si="55"/>
        <v>192.10600000000005</v>
      </c>
      <c r="X191" s="134">
        <f t="shared" si="55"/>
        <v>192.10600000000005</v>
      </c>
      <c r="Y191" s="134">
        <f t="shared" si="55"/>
        <v>192.10600000000005</v>
      </c>
      <c r="Z191" s="134">
        <f t="shared" si="55"/>
        <v>192.10600000000005</v>
      </c>
      <c r="AA191" s="134">
        <f t="shared" si="55"/>
        <v>192.10600000000005</v>
      </c>
      <c r="AB191" s="134">
        <f t="shared" si="55"/>
        <v>192.10600000000005</v>
      </c>
      <c r="AC191" s="134">
        <f t="shared" si="55"/>
        <v>192.10600000000005</v>
      </c>
      <c r="AD191" s="134">
        <f t="shared" si="55"/>
        <v>192.10600000000005</v>
      </c>
      <c r="AE191" s="134">
        <f t="shared" si="55"/>
        <v>192.10600000000005</v>
      </c>
      <c r="AF191" s="134">
        <f t="shared" si="55"/>
        <v>192.10600000000005</v>
      </c>
      <c r="AG191" s="135">
        <f t="shared" si="55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6">AF193</f>
        <v>0.3</v>
      </c>
      <c r="C193" s="136">
        <v>0.3</v>
      </c>
      <c r="D193" s="136">
        <f t="shared" ref="D193:S198" si="57">C193</f>
        <v>0.3</v>
      </c>
      <c r="E193" s="136">
        <f t="shared" si="57"/>
        <v>0.3</v>
      </c>
      <c r="F193" s="136">
        <f t="shared" si="57"/>
        <v>0.3</v>
      </c>
      <c r="G193" s="136">
        <f t="shared" si="57"/>
        <v>0.3</v>
      </c>
      <c r="H193" s="136">
        <f t="shared" si="57"/>
        <v>0.3</v>
      </c>
      <c r="I193" s="136">
        <f t="shared" si="57"/>
        <v>0.3</v>
      </c>
      <c r="J193" s="136">
        <f t="shared" si="57"/>
        <v>0.3</v>
      </c>
      <c r="K193" s="136">
        <f t="shared" si="57"/>
        <v>0.3</v>
      </c>
      <c r="L193" s="136">
        <f t="shared" si="57"/>
        <v>0.3</v>
      </c>
      <c r="M193" s="136">
        <f t="shared" si="57"/>
        <v>0.3</v>
      </c>
      <c r="N193" s="136">
        <f t="shared" si="57"/>
        <v>0.3</v>
      </c>
      <c r="O193" s="136">
        <f t="shared" si="57"/>
        <v>0.3</v>
      </c>
      <c r="P193" s="136">
        <f t="shared" si="57"/>
        <v>0.3</v>
      </c>
      <c r="Q193" s="136">
        <f t="shared" si="57"/>
        <v>0.3</v>
      </c>
      <c r="R193" s="136">
        <f t="shared" si="57"/>
        <v>0.3</v>
      </c>
      <c r="S193" s="136">
        <f t="shared" si="57"/>
        <v>0.3</v>
      </c>
      <c r="T193" s="136">
        <f t="shared" ref="T193:AF198" si="58">S193</f>
        <v>0.3</v>
      </c>
      <c r="U193" s="136">
        <f t="shared" si="58"/>
        <v>0.3</v>
      </c>
      <c r="V193" s="136">
        <f t="shared" si="58"/>
        <v>0.3</v>
      </c>
      <c r="W193" s="136">
        <f t="shared" si="58"/>
        <v>0.3</v>
      </c>
      <c r="X193" s="136">
        <f t="shared" si="58"/>
        <v>0.3</v>
      </c>
      <c r="Y193" s="136">
        <f t="shared" si="58"/>
        <v>0.3</v>
      </c>
      <c r="Z193" s="136">
        <f t="shared" si="58"/>
        <v>0.3</v>
      </c>
      <c r="AA193" s="136">
        <f t="shared" si="58"/>
        <v>0.3</v>
      </c>
      <c r="AB193" s="136">
        <f t="shared" si="58"/>
        <v>0.3</v>
      </c>
      <c r="AC193" s="136">
        <f t="shared" si="58"/>
        <v>0.3</v>
      </c>
      <c r="AD193" s="136">
        <f t="shared" si="58"/>
        <v>0.3</v>
      </c>
      <c r="AE193" s="136">
        <f t="shared" si="58"/>
        <v>0.3</v>
      </c>
      <c r="AF193" s="136">
        <f t="shared" si="58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6"/>
        <v>0.4</v>
      </c>
      <c r="C194" s="129">
        <v>0.4</v>
      </c>
      <c r="D194" s="129">
        <f t="shared" si="57"/>
        <v>0.4</v>
      </c>
      <c r="E194" s="129">
        <f t="shared" si="57"/>
        <v>0.4</v>
      </c>
      <c r="F194" s="129">
        <f t="shared" si="57"/>
        <v>0.4</v>
      </c>
      <c r="G194" s="129">
        <f t="shared" si="57"/>
        <v>0.4</v>
      </c>
      <c r="H194" s="129">
        <f t="shared" si="57"/>
        <v>0.4</v>
      </c>
      <c r="I194" s="129">
        <f t="shared" si="57"/>
        <v>0.4</v>
      </c>
      <c r="J194" s="129">
        <f t="shared" si="57"/>
        <v>0.4</v>
      </c>
      <c r="K194" s="129">
        <f t="shared" si="57"/>
        <v>0.4</v>
      </c>
      <c r="L194" s="129">
        <f t="shared" si="57"/>
        <v>0.4</v>
      </c>
      <c r="M194" s="129">
        <f t="shared" si="57"/>
        <v>0.4</v>
      </c>
      <c r="N194" s="129">
        <f t="shared" si="57"/>
        <v>0.4</v>
      </c>
      <c r="O194" s="129">
        <f t="shared" si="57"/>
        <v>0.4</v>
      </c>
      <c r="P194" s="129">
        <f t="shared" si="57"/>
        <v>0.4</v>
      </c>
      <c r="Q194" s="129">
        <f t="shared" si="57"/>
        <v>0.4</v>
      </c>
      <c r="R194" s="129">
        <f t="shared" si="57"/>
        <v>0.4</v>
      </c>
      <c r="S194" s="129">
        <f t="shared" si="57"/>
        <v>0.4</v>
      </c>
      <c r="T194" s="129">
        <f t="shared" si="58"/>
        <v>0.4</v>
      </c>
      <c r="U194" s="129">
        <f t="shared" si="58"/>
        <v>0.4</v>
      </c>
      <c r="V194" s="129">
        <f t="shared" si="58"/>
        <v>0.4</v>
      </c>
      <c r="W194" s="129">
        <f>V194</f>
        <v>0.4</v>
      </c>
      <c r="X194" s="129">
        <f>W194</f>
        <v>0.4</v>
      </c>
      <c r="Y194" s="129">
        <f t="shared" si="58"/>
        <v>0.4</v>
      </c>
      <c r="Z194" s="129">
        <f t="shared" si="58"/>
        <v>0.4</v>
      </c>
      <c r="AA194" s="129">
        <f t="shared" si="58"/>
        <v>0.4</v>
      </c>
      <c r="AB194" s="129">
        <f t="shared" si="58"/>
        <v>0.4</v>
      </c>
      <c r="AC194" s="129">
        <f t="shared" si="58"/>
        <v>0.4</v>
      </c>
      <c r="AD194" s="129">
        <f t="shared" si="58"/>
        <v>0.4</v>
      </c>
      <c r="AE194" s="129">
        <f t="shared" si="58"/>
        <v>0.4</v>
      </c>
      <c r="AF194" s="129">
        <f t="shared" si="58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6"/>
        <v>1.5</v>
      </c>
      <c r="C195" s="129">
        <v>1.5</v>
      </c>
      <c r="D195" s="129">
        <f t="shared" si="57"/>
        <v>1.5</v>
      </c>
      <c r="E195" s="129">
        <f t="shared" si="57"/>
        <v>1.5</v>
      </c>
      <c r="F195" s="129">
        <f t="shared" si="57"/>
        <v>1.5</v>
      </c>
      <c r="G195" s="129">
        <f t="shared" si="57"/>
        <v>1.5</v>
      </c>
      <c r="H195" s="129">
        <f t="shared" si="57"/>
        <v>1.5</v>
      </c>
      <c r="I195" s="129">
        <f t="shared" si="57"/>
        <v>1.5</v>
      </c>
      <c r="J195" s="129">
        <f t="shared" si="57"/>
        <v>1.5</v>
      </c>
      <c r="K195" s="129">
        <f t="shared" si="57"/>
        <v>1.5</v>
      </c>
      <c r="L195" s="129">
        <f t="shared" si="57"/>
        <v>1.5</v>
      </c>
      <c r="M195" s="129">
        <f t="shared" si="57"/>
        <v>1.5</v>
      </c>
      <c r="N195" s="129">
        <f t="shared" si="57"/>
        <v>1.5</v>
      </c>
      <c r="O195" s="129">
        <f t="shared" si="57"/>
        <v>1.5</v>
      </c>
      <c r="P195" s="129">
        <f t="shared" si="57"/>
        <v>1.5</v>
      </c>
      <c r="Q195" s="129">
        <f t="shared" si="57"/>
        <v>1.5</v>
      </c>
      <c r="R195" s="129">
        <f t="shared" si="57"/>
        <v>1.5</v>
      </c>
      <c r="S195" s="129">
        <f t="shared" si="57"/>
        <v>1.5</v>
      </c>
      <c r="T195" s="129">
        <f t="shared" si="58"/>
        <v>1.5</v>
      </c>
      <c r="U195" s="129">
        <f t="shared" si="58"/>
        <v>1.5</v>
      </c>
      <c r="V195" s="129">
        <f t="shared" si="58"/>
        <v>1.5</v>
      </c>
      <c r="W195" s="129">
        <f t="shared" si="58"/>
        <v>1.5</v>
      </c>
      <c r="X195" s="129">
        <f t="shared" si="58"/>
        <v>1.5</v>
      </c>
      <c r="Y195" s="129">
        <f t="shared" si="58"/>
        <v>1.5</v>
      </c>
      <c r="Z195" s="129">
        <f t="shared" si="58"/>
        <v>1.5</v>
      </c>
      <c r="AA195" s="129">
        <f t="shared" si="58"/>
        <v>1.5</v>
      </c>
      <c r="AB195" s="129">
        <f t="shared" si="58"/>
        <v>1.5</v>
      </c>
      <c r="AC195" s="129">
        <f t="shared" si="58"/>
        <v>1.5</v>
      </c>
      <c r="AD195" s="129">
        <f t="shared" si="58"/>
        <v>1.5</v>
      </c>
      <c r="AE195" s="129">
        <f t="shared" si="58"/>
        <v>1.5</v>
      </c>
      <c r="AF195" s="129">
        <f t="shared" si="58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6"/>
        <v>0.3</v>
      </c>
      <c r="C196" s="129">
        <v>0.3</v>
      </c>
      <c r="D196" s="129">
        <f t="shared" si="57"/>
        <v>0.3</v>
      </c>
      <c r="E196" s="129">
        <f t="shared" si="57"/>
        <v>0.3</v>
      </c>
      <c r="F196" s="129">
        <f t="shared" si="57"/>
        <v>0.3</v>
      </c>
      <c r="G196" s="129">
        <f t="shared" si="57"/>
        <v>0.3</v>
      </c>
      <c r="H196" s="129">
        <f t="shared" si="57"/>
        <v>0.3</v>
      </c>
      <c r="I196" s="129">
        <f t="shared" si="57"/>
        <v>0.3</v>
      </c>
      <c r="J196" s="129">
        <f t="shared" si="57"/>
        <v>0.3</v>
      </c>
      <c r="K196" s="129">
        <f t="shared" si="57"/>
        <v>0.3</v>
      </c>
      <c r="L196" s="129">
        <f t="shared" si="57"/>
        <v>0.3</v>
      </c>
      <c r="M196" s="129">
        <f t="shared" si="57"/>
        <v>0.3</v>
      </c>
      <c r="N196" s="129">
        <f t="shared" si="57"/>
        <v>0.3</v>
      </c>
      <c r="O196" s="129">
        <f t="shared" si="57"/>
        <v>0.3</v>
      </c>
      <c r="P196" s="129">
        <f t="shared" si="57"/>
        <v>0.3</v>
      </c>
      <c r="Q196" s="129">
        <f t="shared" si="57"/>
        <v>0.3</v>
      </c>
      <c r="R196" s="129">
        <f t="shared" si="57"/>
        <v>0.3</v>
      </c>
      <c r="S196" s="129">
        <f t="shared" si="57"/>
        <v>0.3</v>
      </c>
      <c r="T196" s="129">
        <f t="shared" si="58"/>
        <v>0.3</v>
      </c>
      <c r="U196" s="129">
        <f t="shared" si="58"/>
        <v>0.3</v>
      </c>
      <c r="V196" s="129">
        <f t="shared" si="58"/>
        <v>0.3</v>
      </c>
      <c r="W196" s="129">
        <f t="shared" si="58"/>
        <v>0.3</v>
      </c>
      <c r="X196" s="129">
        <f t="shared" si="58"/>
        <v>0.3</v>
      </c>
      <c r="Y196" s="129">
        <f t="shared" si="58"/>
        <v>0.3</v>
      </c>
      <c r="Z196" s="129">
        <f t="shared" si="58"/>
        <v>0.3</v>
      </c>
      <c r="AA196" s="129">
        <f t="shared" si="58"/>
        <v>0.3</v>
      </c>
      <c r="AB196" s="129">
        <f t="shared" si="58"/>
        <v>0.3</v>
      </c>
      <c r="AC196" s="129">
        <f t="shared" si="58"/>
        <v>0.3</v>
      </c>
      <c r="AD196" s="129">
        <f t="shared" si="58"/>
        <v>0.3</v>
      </c>
      <c r="AE196" s="129">
        <f t="shared" si="58"/>
        <v>0.3</v>
      </c>
      <c r="AF196" s="129">
        <f t="shared" si="58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6"/>
        <v>0.4</v>
      </c>
      <c r="C197" s="129">
        <v>0.4</v>
      </c>
      <c r="D197" s="129">
        <f t="shared" si="57"/>
        <v>0.4</v>
      </c>
      <c r="E197" s="129">
        <f t="shared" si="57"/>
        <v>0.4</v>
      </c>
      <c r="F197" s="129">
        <f t="shared" si="57"/>
        <v>0.4</v>
      </c>
      <c r="G197" s="129">
        <f t="shared" si="57"/>
        <v>0.4</v>
      </c>
      <c r="H197" s="129">
        <f t="shared" si="57"/>
        <v>0.4</v>
      </c>
      <c r="I197" s="129">
        <f t="shared" si="57"/>
        <v>0.4</v>
      </c>
      <c r="J197" s="129">
        <f t="shared" si="57"/>
        <v>0.4</v>
      </c>
      <c r="K197" s="129">
        <f t="shared" si="57"/>
        <v>0.4</v>
      </c>
      <c r="L197" s="129">
        <f t="shared" si="57"/>
        <v>0.4</v>
      </c>
      <c r="M197" s="129">
        <f t="shared" si="57"/>
        <v>0.4</v>
      </c>
      <c r="N197" s="129">
        <f t="shared" si="57"/>
        <v>0.4</v>
      </c>
      <c r="O197" s="129">
        <f t="shared" si="57"/>
        <v>0.4</v>
      </c>
      <c r="P197" s="129">
        <f t="shared" si="57"/>
        <v>0.4</v>
      </c>
      <c r="Q197" s="129">
        <f t="shared" si="57"/>
        <v>0.4</v>
      </c>
      <c r="R197" s="129">
        <f t="shared" si="57"/>
        <v>0.4</v>
      </c>
      <c r="S197" s="129">
        <f t="shared" si="57"/>
        <v>0.4</v>
      </c>
      <c r="T197" s="129">
        <f t="shared" si="58"/>
        <v>0.4</v>
      </c>
      <c r="U197" s="129">
        <f t="shared" si="58"/>
        <v>0.4</v>
      </c>
      <c r="V197" s="129">
        <f t="shared" si="58"/>
        <v>0.4</v>
      </c>
      <c r="W197" s="129">
        <f t="shared" si="58"/>
        <v>0.4</v>
      </c>
      <c r="X197" s="129">
        <f t="shared" si="58"/>
        <v>0.4</v>
      </c>
      <c r="Y197" s="129">
        <f t="shared" si="58"/>
        <v>0.4</v>
      </c>
      <c r="Z197" s="129">
        <f t="shared" si="58"/>
        <v>0.4</v>
      </c>
      <c r="AA197" s="129">
        <f t="shared" si="58"/>
        <v>0.4</v>
      </c>
      <c r="AB197" s="129">
        <f t="shared" si="58"/>
        <v>0.4</v>
      </c>
      <c r="AC197" s="129">
        <f t="shared" si="58"/>
        <v>0.4</v>
      </c>
      <c r="AD197" s="129">
        <f t="shared" si="58"/>
        <v>0.4</v>
      </c>
      <c r="AE197" s="129">
        <f t="shared" si="58"/>
        <v>0.4</v>
      </c>
      <c r="AF197" s="129">
        <f t="shared" si="58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6"/>
        <v>0.64</v>
      </c>
      <c r="C198" s="139">
        <v>0.64</v>
      </c>
      <c r="D198" s="139">
        <f t="shared" si="57"/>
        <v>0.64</v>
      </c>
      <c r="E198" s="139">
        <f t="shared" si="57"/>
        <v>0.64</v>
      </c>
      <c r="F198" s="139">
        <f t="shared" si="57"/>
        <v>0.64</v>
      </c>
      <c r="G198" s="139">
        <f t="shared" si="57"/>
        <v>0.64</v>
      </c>
      <c r="H198" s="139">
        <f t="shared" si="57"/>
        <v>0.64</v>
      </c>
      <c r="I198" s="139">
        <f t="shared" si="57"/>
        <v>0.64</v>
      </c>
      <c r="J198" s="139">
        <f t="shared" si="57"/>
        <v>0.64</v>
      </c>
      <c r="K198" s="139">
        <f t="shared" si="57"/>
        <v>0.64</v>
      </c>
      <c r="L198" s="139">
        <f t="shared" si="57"/>
        <v>0.64</v>
      </c>
      <c r="M198" s="139">
        <f t="shared" si="57"/>
        <v>0.64</v>
      </c>
      <c r="N198" s="139">
        <f t="shared" si="57"/>
        <v>0.64</v>
      </c>
      <c r="O198" s="139">
        <f t="shared" si="57"/>
        <v>0.64</v>
      </c>
      <c r="P198" s="139">
        <f t="shared" si="57"/>
        <v>0.64</v>
      </c>
      <c r="Q198" s="139">
        <f t="shared" si="57"/>
        <v>0.64</v>
      </c>
      <c r="R198" s="139">
        <f t="shared" si="57"/>
        <v>0.64</v>
      </c>
      <c r="S198" s="139">
        <f t="shared" si="57"/>
        <v>0.64</v>
      </c>
      <c r="T198" s="139">
        <f t="shared" si="58"/>
        <v>0.64</v>
      </c>
      <c r="U198" s="139">
        <f t="shared" si="58"/>
        <v>0.64</v>
      </c>
      <c r="V198" s="139">
        <f t="shared" si="58"/>
        <v>0.64</v>
      </c>
      <c r="W198" s="139">
        <f t="shared" si="58"/>
        <v>0.64</v>
      </c>
      <c r="X198" s="139">
        <f t="shared" si="58"/>
        <v>0.64</v>
      </c>
      <c r="Y198" s="139">
        <f t="shared" si="58"/>
        <v>0.64</v>
      </c>
      <c r="Z198" s="139">
        <f t="shared" si="58"/>
        <v>0.64</v>
      </c>
      <c r="AA198" s="139">
        <f t="shared" si="58"/>
        <v>0.64</v>
      </c>
      <c r="AB198" s="139">
        <f t="shared" si="58"/>
        <v>0.64</v>
      </c>
      <c r="AC198" s="139">
        <f t="shared" si="58"/>
        <v>0.64</v>
      </c>
      <c r="AD198" s="139">
        <f t="shared" si="58"/>
        <v>0.64</v>
      </c>
      <c r="AE198" s="139">
        <f t="shared" si="58"/>
        <v>0.64</v>
      </c>
      <c r="AF198" s="139">
        <f t="shared" si="58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9">SUM(D193:D198)</f>
        <v>3.54</v>
      </c>
      <c r="E199" s="142">
        <f t="shared" si="59"/>
        <v>3.54</v>
      </c>
      <c r="F199" s="142">
        <f t="shared" si="59"/>
        <v>3.54</v>
      </c>
      <c r="G199" s="142">
        <f t="shared" si="59"/>
        <v>3.54</v>
      </c>
      <c r="H199" s="142">
        <f t="shared" si="59"/>
        <v>3.54</v>
      </c>
      <c r="I199" s="142">
        <f t="shared" si="59"/>
        <v>3.54</v>
      </c>
      <c r="J199" s="142">
        <f t="shared" si="59"/>
        <v>3.54</v>
      </c>
      <c r="K199" s="142">
        <f t="shared" si="59"/>
        <v>3.54</v>
      </c>
      <c r="L199" s="142">
        <f t="shared" si="59"/>
        <v>3.54</v>
      </c>
      <c r="M199" s="142">
        <f>SUM(M193:M198)</f>
        <v>3.54</v>
      </c>
      <c r="N199" s="142">
        <f t="shared" ref="N199:S199" si="60">SUM(N193:N198)</f>
        <v>3.54</v>
      </c>
      <c r="O199" s="142">
        <f t="shared" si="60"/>
        <v>3.54</v>
      </c>
      <c r="P199" s="142">
        <f t="shared" si="60"/>
        <v>3.54</v>
      </c>
      <c r="Q199" s="142">
        <f t="shared" si="60"/>
        <v>3.54</v>
      </c>
      <c r="R199" s="142">
        <f t="shared" si="60"/>
        <v>3.54</v>
      </c>
      <c r="S199" s="142">
        <f t="shared" si="60"/>
        <v>3.54</v>
      </c>
      <c r="T199" s="142">
        <f>SUM(T193:T198)</f>
        <v>3.54</v>
      </c>
      <c r="U199" s="142">
        <f t="shared" ref="U199:AG199" si="61">SUM(U193:U198)</f>
        <v>3.54</v>
      </c>
      <c r="V199" s="142">
        <f t="shared" si="61"/>
        <v>3.54</v>
      </c>
      <c r="W199" s="142">
        <f t="shared" si="61"/>
        <v>3.54</v>
      </c>
      <c r="X199" s="142">
        <f t="shared" si="61"/>
        <v>3.54</v>
      </c>
      <c r="Y199" s="142">
        <f t="shared" si="61"/>
        <v>3.54</v>
      </c>
      <c r="Z199" s="142">
        <f t="shared" si="61"/>
        <v>3.54</v>
      </c>
      <c r="AA199" s="142">
        <f t="shared" si="61"/>
        <v>3.54</v>
      </c>
      <c r="AB199" s="142">
        <f t="shared" si="61"/>
        <v>3.54</v>
      </c>
      <c r="AC199" s="142">
        <f t="shared" si="61"/>
        <v>3.54</v>
      </c>
      <c r="AD199" s="142">
        <f t="shared" si="61"/>
        <v>3.54</v>
      </c>
      <c r="AE199" s="142">
        <f t="shared" si="61"/>
        <v>3.54</v>
      </c>
      <c r="AF199" s="142">
        <f t="shared" si="61"/>
        <v>3.54</v>
      </c>
      <c r="AG199" s="143">
        <f t="shared" si="61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1421.5400000000002</v>
      </c>
      <c r="C208" s="157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2078/09/25)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2">B75</f>
        <v>858.44</v>
      </c>
      <c r="U213" s="167">
        <f t="shared" si="62"/>
        <v>843.94</v>
      </c>
      <c r="V213" s="167">
        <f t="shared" si="62"/>
        <v>831.44</v>
      </c>
      <c r="W213" s="167">
        <f t="shared" si="62"/>
        <v>804.14</v>
      </c>
      <c r="X213" s="167">
        <f t="shared" si="62"/>
        <v>818.74</v>
      </c>
      <c r="Y213" s="167">
        <f t="shared" si="62"/>
        <v>853.44</v>
      </c>
      <c r="Z213" s="167">
        <f t="shared" si="62"/>
        <v>918.24</v>
      </c>
      <c r="AA213" s="167">
        <f t="shared" si="62"/>
        <v>1026.94</v>
      </c>
      <c r="AB213" s="167">
        <f t="shared" si="62"/>
        <v>1139.44</v>
      </c>
      <c r="AC213" s="167">
        <f t="shared" si="62"/>
        <v>1327.8400000000001</v>
      </c>
      <c r="AD213" s="167">
        <f t="shared" si="62"/>
        <v>1421.5400000000002</v>
      </c>
      <c r="AE213" s="167">
        <f t="shared" si="62"/>
        <v>1412.8400000000001</v>
      </c>
      <c r="AF213" s="167">
        <f t="shared" si="62"/>
        <v>1404.1399999999999</v>
      </c>
      <c r="AG213" s="167">
        <f t="shared" si="62"/>
        <v>1349.54</v>
      </c>
      <c r="AH213" s="167">
        <f t="shared" si="62"/>
        <v>1309.68</v>
      </c>
      <c r="AI213" s="167">
        <f t="shared" si="62"/>
        <v>1264.47</v>
      </c>
      <c r="AJ213" s="167">
        <f t="shared" si="62"/>
        <v>1222.8399999999999</v>
      </c>
      <c r="AK213" s="167">
        <f t="shared" si="62"/>
        <v>1253.83</v>
      </c>
      <c r="AL213" s="167">
        <f t="shared" si="62"/>
        <v>1203.54</v>
      </c>
      <c r="AM213" s="167">
        <f t="shared" si="62"/>
        <v>1298.04</v>
      </c>
      <c r="AN213" s="167">
        <f t="shared" si="62"/>
        <v>1340.1399999999999</v>
      </c>
      <c r="AO213" s="167">
        <f t="shared" si="62"/>
        <v>1444.4</v>
      </c>
      <c r="AP213" s="167">
        <f t="shared" si="62"/>
        <v>1593.94</v>
      </c>
      <c r="AQ213" s="167">
        <f t="shared" si="62"/>
        <v>1580.12</v>
      </c>
      <c r="AR213" s="167">
        <f t="shared" si="62"/>
        <v>1511.94</v>
      </c>
      <c r="AS213" s="167">
        <f t="shared" si="62"/>
        <v>1472.74</v>
      </c>
      <c r="AT213" s="167">
        <f t="shared" si="62"/>
        <v>1343.42</v>
      </c>
      <c r="AU213" s="167">
        <f t="shared" si="62"/>
        <v>1296.54</v>
      </c>
      <c r="AV213" s="167">
        <f t="shared" si="62"/>
        <v>1259.1400000000001</v>
      </c>
      <c r="AW213" s="167">
        <f t="shared" si="62"/>
        <v>1104.74</v>
      </c>
      <c r="AX213" s="167">
        <f t="shared" si="62"/>
        <v>938.74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3">C198</f>
        <v>0.64</v>
      </c>
      <c r="C234" s="170">
        <f t="shared" si="63"/>
        <v>0.64</v>
      </c>
      <c r="D234" s="170">
        <f t="shared" si="63"/>
        <v>0.64</v>
      </c>
      <c r="E234" s="170">
        <f t="shared" si="63"/>
        <v>0.64</v>
      </c>
      <c r="F234" s="170">
        <f t="shared" si="63"/>
        <v>0.64</v>
      </c>
      <c r="G234" s="170">
        <f t="shared" si="63"/>
        <v>0.64</v>
      </c>
      <c r="H234" s="170">
        <f t="shared" si="63"/>
        <v>0.64</v>
      </c>
      <c r="I234" s="170">
        <f t="shared" si="63"/>
        <v>0.64</v>
      </c>
      <c r="J234" s="170">
        <f t="shared" si="63"/>
        <v>0.64</v>
      </c>
      <c r="K234" s="170">
        <f t="shared" si="63"/>
        <v>0.64</v>
      </c>
      <c r="L234" s="170">
        <f t="shared" si="63"/>
        <v>0.64</v>
      </c>
      <c r="M234" s="170">
        <f t="shared" si="63"/>
        <v>0.64</v>
      </c>
      <c r="N234" s="170">
        <f t="shared" si="63"/>
        <v>0.64</v>
      </c>
      <c r="O234" s="170">
        <f t="shared" si="63"/>
        <v>0.64</v>
      </c>
      <c r="P234" s="170">
        <f t="shared" si="63"/>
        <v>0.64</v>
      </c>
      <c r="Q234" s="170">
        <f t="shared" si="63"/>
        <v>0.64</v>
      </c>
      <c r="R234" s="170">
        <f t="shared" si="63"/>
        <v>0.64</v>
      </c>
      <c r="S234" s="170">
        <f t="shared" si="63"/>
        <v>0.64</v>
      </c>
      <c r="T234" s="170">
        <f t="shared" si="63"/>
        <v>0.64</v>
      </c>
      <c r="U234" s="170">
        <f t="shared" si="63"/>
        <v>0.64</v>
      </c>
      <c r="V234" s="170">
        <f t="shared" si="63"/>
        <v>0.64</v>
      </c>
      <c r="W234" s="170">
        <f t="shared" si="63"/>
        <v>0.64</v>
      </c>
      <c r="X234" s="170">
        <f t="shared" si="63"/>
        <v>0.64</v>
      </c>
      <c r="Y234" s="170">
        <f t="shared" si="63"/>
        <v>0.64</v>
      </c>
      <c r="Z234" s="170">
        <f t="shared" si="63"/>
        <v>0.64</v>
      </c>
      <c r="AA234" s="170">
        <f t="shared" si="63"/>
        <v>0.64</v>
      </c>
      <c r="AB234" s="170">
        <f t="shared" si="63"/>
        <v>0.64</v>
      </c>
      <c r="AC234" s="170">
        <f t="shared" si="63"/>
        <v>0.64</v>
      </c>
      <c r="AD234" s="170">
        <f t="shared" si="63"/>
        <v>0.64</v>
      </c>
      <c r="AE234" s="170">
        <f t="shared" si="63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4">IF(C202&lt;100,"",C202-520)</f>
        <v/>
      </c>
      <c r="D235" s="115" t="str">
        <f t="shared" si="64"/>
        <v/>
      </c>
      <c r="E235" s="115" t="str">
        <f t="shared" si="64"/>
        <v/>
      </c>
      <c r="F235" s="115" t="str">
        <f t="shared" si="64"/>
        <v/>
      </c>
      <c r="G235" s="115" t="str">
        <f t="shared" si="64"/>
        <v/>
      </c>
      <c r="H235" s="115" t="str">
        <f t="shared" si="64"/>
        <v/>
      </c>
      <c r="I235" s="115" t="str">
        <f t="shared" si="64"/>
        <v/>
      </c>
      <c r="J235" s="115" t="str">
        <f t="shared" si="64"/>
        <v/>
      </c>
      <c r="K235" s="115" t="str">
        <f t="shared" si="64"/>
        <v/>
      </c>
      <c r="L235" s="115" t="str">
        <f t="shared" si="64"/>
        <v/>
      </c>
      <c r="M235" s="115" t="str">
        <f t="shared" si="64"/>
        <v/>
      </c>
      <c r="N235" s="115" t="str">
        <f t="shared" si="64"/>
        <v/>
      </c>
      <c r="O235" s="115" t="str">
        <f t="shared" si="64"/>
        <v/>
      </c>
      <c r="P235" s="115" t="str">
        <f t="shared" si="64"/>
        <v/>
      </c>
      <c r="Q235" s="115" t="str">
        <f t="shared" si="64"/>
        <v/>
      </c>
      <c r="R235" s="115" t="str">
        <f t="shared" si="64"/>
        <v/>
      </c>
      <c r="S235" s="115" t="str">
        <f t="shared" si="64"/>
        <v/>
      </c>
      <c r="T235" s="115" t="str">
        <f t="shared" si="64"/>
        <v/>
      </c>
      <c r="U235" s="115" t="str">
        <f t="shared" si="64"/>
        <v/>
      </c>
      <c r="V235" s="115" t="str">
        <f t="shared" si="64"/>
        <v/>
      </c>
      <c r="W235" s="115" t="str">
        <f t="shared" si="64"/>
        <v/>
      </c>
      <c r="X235" s="115" t="str">
        <f t="shared" si="64"/>
        <v/>
      </c>
      <c r="Y235" s="115" t="str">
        <f t="shared" si="64"/>
        <v/>
      </c>
      <c r="Z235" s="115" t="str">
        <f t="shared" si="64"/>
        <v/>
      </c>
      <c r="AA235" s="115" t="str">
        <f t="shared" si="64"/>
        <v/>
      </c>
      <c r="AB235" s="115" t="str">
        <f t="shared" si="64"/>
        <v/>
      </c>
      <c r="AC235" s="115" t="str">
        <f t="shared" si="64"/>
        <v/>
      </c>
      <c r="AD235" s="115" t="str">
        <f t="shared" si="64"/>
        <v/>
      </c>
      <c r="AE235" s="115" t="str">
        <f t="shared" si="64"/>
        <v/>
      </c>
      <c r="AF235" s="115" t="str">
        <f t="shared" si="64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5">IF(B203&lt;100,"",B203-620)</f>
        <v/>
      </c>
      <c r="C236" s="115" t="str">
        <f t="shared" si="65"/>
        <v/>
      </c>
      <c r="D236" s="115" t="str">
        <f t="shared" si="65"/>
        <v/>
      </c>
      <c r="E236" s="115" t="str">
        <f t="shared" si="65"/>
        <v/>
      </c>
      <c r="F236" s="115" t="str">
        <f t="shared" si="65"/>
        <v/>
      </c>
      <c r="G236" s="115" t="str">
        <f t="shared" si="65"/>
        <v/>
      </c>
      <c r="H236" s="115" t="str">
        <f t="shared" si="65"/>
        <v/>
      </c>
      <c r="I236" s="115" t="str">
        <f t="shared" si="65"/>
        <v/>
      </c>
      <c r="J236" s="115" t="str">
        <f t="shared" si="65"/>
        <v/>
      </c>
      <c r="K236" s="115" t="str">
        <f t="shared" si="65"/>
        <v/>
      </c>
      <c r="L236" s="115" t="str">
        <f t="shared" si="65"/>
        <v/>
      </c>
      <c r="M236" s="115" t="str">
        <f t="shared" si="65"/>
        <v/>
      </c>
      <c r="N236" s="115" t="str">
        <f t="shared" si="65"/>
        <v/>
      </c>
      <c r="O236" s="115" t="str">
        <f t="shared" si="65"/>
        <v/>
      </c>
      <c r="P236" s="115" t="str">
        <f t="shared" si="65"/>
        <v/>
      </c>
      <c r="Q236" s="115" t="str">
        <f t="shared" si="65"/>
        <v/>
      </c>
      <c r="R236" s="115" t="str">
        <f t="shared" si="65"/>
        <v/>
      </c>
      <c r="S236" s="115" t="str">
        <f t="shared" si="65"/>
        <v/>
      </c>
      <c r="T236" s="115" t="str">
        <f t="shared" si="65"/>
        <v/>
      </c>
      <c r="U236" s="115" t="str">
        <f t="shared" si="65"/>
        <v/>
      </c>
      <c r="V236" s="115" t="str">
        <f t="shared" si="65"/>
        <v/>
      </c>
      <c r="W236" s="115" t="str">
        <f t="shared" si="65"/>
        <v/>
      </c>
      <c r="X236" s="115" t="str">
        <f t="shared" si="65"/>
        <v/>
      </c>
      <c r="Y236" s="115" t="str">
        <f t="shared" si="65"/>
        <v/>
      </c>
      <c r="Z236" s="115" t="str">
        <f t="shared" si="65"/>
        <v/>
      </c>
      <c r="AA236" s="115" t="str">
        <f t="shared" si="65"/>
        <v/>
      </c>
      <c r="AB236" s="115" t="str">
        <f t="shared" si="65"/>
        <v/>
      </c>
      <c r="AC236" s="115" t="str">
        <f t="shared" si="65"/>
        <v/>
      </c>
      <c r="AD236" s="115" t="str">
        <f t="shared" si="65"/>
        <v/>
      </c>
      <c r="AE236" s="115" t="str">
        <f t="shared" si="65"/>
        <v/>
      </c>
      <c r="AF236" s="115" t="str">
        <f t="shared" si="65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6">IF(B204&lt;100,"",B204-330)</f>
        <v/>
      </c>
      <c r="C237" s="115" t="str">
        <f t="shared" si="66"/>
        <v/>
      </c>
      <c r="D237" s="115" t="str">
        <f t="shared" si="66"/>
        <v/>
      </c>
      <c r="E237" s="115" t="str">
        <f t="shared" si="66"/>
        <v/>
      </c>
      <c r="F237" s="115" t="str">
        <f t="shared" si="66"/>
        <v/>
      </c>
      <c r="G237" s="115" t="str">
        <f t="shared" si="66"/>
        <v/>
      </c>
      <c r="H237" s="115" t="str">
        <f t="shared" si="66"/>
        <v/>
      </c>
      <c r="I237" s="115" t="str">
        <f t="shared" si="66"/>
        <v/>
      </c>
      <c r="J237" s="115" t="str">
        <f t="shared" si="66"/>
        <v/>
      </c>
      <c r="K237" s="115" t="str">
        <f t="shared" si="66"/>
        <v/>
      </c>
      <c r="L237" s="115" t="str">
        <f t="shared" si="66"/>
        <v/>
      </c>
      <c r="M237" s="115" t="str">
        <f t="shared" si="66"/>
        <v/>
      </c>
      <c r="N237" s="115" t="str">
        <f t="shared" si="66"/>
        <v/>
      </c>
      <c r="O237" s="115" t="str">
        <f t="shared" si="66"/>
        <v/>
      </c>
      <c r="P237" s="115" t="str">
        <f t="shared" si="66"/>
        <v/>
      </c>
      <c r="Q237" s="115" t="str">
        <f t="shared" si="66"/>
        <v/>
      </c>
      <c r="R237" s="115" t="str">
        <f t="shared" si="66"/>
        <v/>
      </c>
      <c r="S237" s="115" t="str">
        <f t="shared" si="66"/>
        <v/>
      </c>
      <c r="T237" s="115" t="str">
        <f t="shared" si="66"/>
        <v/>
      </c>
      <c r="U237" s="115" t="str">
        <f t="shared" si="66"/>
        <v/>
      </c>
      <c r="V237" s="115" t="str">
        <f t="shared" si="66"/>
        <v/>
      </c>
      <c r="W237" s="115" t="str">
        <f t="shared" si="66"/>
        <v/>
      </c>
      <c r="X237" s="115" t="str">
        <f t="shared" si="66"/>
        <v/>
      </c>
      <c r="Y237" s="115" t="str">
        <f t="shared" si="66"/>
        <v/>
      </c>
      <c r="Z237" s="115" t="str">
        <f t="shared" si="66"/>
        <v/>
      </c>
      <c r="AA237" s="115" t="str">
        <f t="shared" si="66"/>
        <v/>
      </c>
      <c r="AB237" s="115" t="str">
        <f t="shared" si="66"/>
        <v/>
      </c>
      <c r="AC237" s="115" t="str">
        <f t="shared" si="66"/>
        <v/>
      </c>
      <c r="AD237" s="115" t="str">
        <f t="shared" si="66"/>
        <v/>
      </c>
      <c r="AE237" s="115" t="str">
        <f t="shared" si="66"/>
        <v/>
      </c>
      <c r="AF237" s="115" t="str">
        <f t="shared" si="66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7">IF(C205&lt;100,"",C205-1500)</f>
        <v/>
      </c>
      <c r="D238" s="115" t="str">
        <f t="shared" si="67"/>
        <v/>
      </c>
      <c r="E238" s="115" t="str">
        <f t="shared" si="67"/>
        <v/>
      </c>
      <c r="F238" s="115" t="str">
        <f t="shared" si="67"/>
        <v/>
      </c>
      <c r="G238" s="115" t="str">
        <f t="shared" si="67"/>
        <v/>
      </c>
      <c r="H238" s="115" t="str">
        <f t="shared" si="67"/>
        <v/>
      </c>
      <c r="I238" s="115" t="str">
        <f t="shared" si="67"/>
        <v/>
      </c>
      <c r="J238" s="115" t="str">
        <f t="shared" si="67"/>
        <v/>
      </c>
      <c r="K238" s="115" t="str">
        <f t="shared" si="67"/>
        <v/>
      </c>
      <c r="L238" s="115" t="str">
        <f t="shared" si="67"/>
        <v/>
      </c>
      <c r="M238" s="115" t="str">
        <f t="shared" si="67"/>
        <v/>
      </c>
      <c r="N238" s="115" t="str">
        <f t="shared" si="67"/>
        <v/>
      </c>
      <c r="O238" s="115" t="str">
        <f t="shared" si="67"/>
        <v/>
      </c>
      <c r="P238" s="115" t="str">
        <f t="shared" si="67"/>
        <v/>
      </c>
      <c r="Q238" s="115" t="str">
        <f t="shared" si="67"/>
        <v/>
      </c>
      <c r="R238" s="115" t="str">
        <f t="shared" si="67"/>
        <v/>
      </c>
      <c r="S238" s="115" t="str">
        <f t="shared" si="67"/>
        <v/>
      </c>
      <c r="T238" s="115" t="str">
        <f t="shared" si="67"/>
        <v/>
      </c>
      <c r="U238" s="115" t="str">
        <f t="shared" si="67"/>
        <v/>
      </c>
      <c r="V238" s="115" t="str">
        <f t="shared" si="67"/>
        <v/>
      </c>
      <c r="W238" s="115" t="str">
        <f t="shared" si="67"/>
        <v/>
      </c>
      <c r="X238" s="115" t="str">
        <f t="shared" si="67"/>
        <v/>
      </c>
      <c r="Y238" s="115" t="str">
        <f t="shared" si="67"/>
        <v/>
      </c>
      <c r="Z238" s="115" t="str">
        <f t="shared" si="67"/>
        <v/>
      </c>
      <c r="AA238" s="115" t="str">
        <f t="shared" si="67"/>
        <v/>
      </c>
      <c r="AB238" s="115" t="str">
        <f t="shared" si="67"/>
        <v/>
      </c>
      <c r="AC238" s="115" t="str">
        <f t="shared" si="67"/>
        <v/>
      </c>
      <c r="AD238" s="115" t="str">
        <f t="shared" si="67"/>
        <v/>
      </c>
      <c r="AE238" s="115" t="str">
        <f t="shared" si="67"/>
        <v/>
      </c>
      <c r="AF238" s="115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C57:L59 P39:R39 P40:Q42 R40:T41 M58:R59 U40:Y42 AB81:AF81 B81:R81 C56:AF56 B82:AF83 D193:AF199 B193:B199 C68:AF72 B84:B91 M53:AF55 B73:AF80 B9:AF10 B191:AF191 AF57:AF59 B53:B72 AG73 AB94:AF99 B94:B99 U212:AF212 B36:L36 M39:O42 C63:O67 C60:O61 R42 P60:R67 M37:S37 U58:W59 S58:T67 U62:U67 N45:W48 X85:AA91 M11:AE11 Z40:AE43 AB84:AF91 X18:AF30 X36:AF36 AF42:AF43">
    <cfRule type="expression" dxfId="2248" priority="297">
      <formula>B$9&gt;=20/24</formula>
    </cfRule>
    <cfRule type="expression" dxfId="2247" priority="298">
      <formula>AND(B$9&gt;=14/24,B$9&lt;20/24)</formula>
    </cfRule>
    <cfRule type="expression" dxfId="2246" priority="299">
      <formula>AND(B$9&gt;=8/24,B$9&lt;14/24)</formula>
    </cfRule>
    <cfRule type="expression" dxfId="2245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244" priority="292">
      <formula>M$9&gt;=20/24</formula>
    </cfRule>
    <cfRule type="expression" dxfId="2243" priority="293">
      <formula>AND(M$9&gt;=14/24,M$9&lt;20/24)</formula>
    </cfRule>
    <cfRule type="expression" dxfId="2242" priority="294">
      <formula>AND(M$9&gt;=8/24,M$9&lt;14/24)</formula>
    </cfRule>
    <cfRule type="expression" dxfId="2241" priority="295">
      <formula>M$9&lt;8/24</formula>
    </cfRule>
  </conditionalFormatting>
  <conditionalFormatting sqref="M43:R43">
    <cfRule type="expression" dxfId="2240" priority="288">
      <formula>M$9&gt;=20/24</formula>
    </cfRule>
    <cfRule type="expression" dxfId="2239" priority="289">
      <formula>AND(M$9&gt;=14/24,M$9&lt;20/24)</formula>
    </cfRule>
    <cfRule type="expression" dxfId="2238" priority="290">
      <formula>AND(M$9&gt;=8/24,M$9&lt;14/24)</formula>
    </cfRule>
    <cfRule type="expression" dxfId="2237" priority="291">
      <formula>M$9&lt;8/24</formula>
    </cfRule>
  </conditionalFormatting>
  <conditionalFormatting sqref="S39:AE39">
    <cfRule type="expression" dxfId="2236" priority="280">
      <formula>S$9&gt;=20/24</formula>
    </cfRule>
    <cfRule type="expression" dxfId="2235" priority="281">
      <formula>AND(S$9&gt;=14/24,S$9&lt;20/24)</formula>
    </cfRule>
    <cfRule type="expression" dxfId="2234" priority="282">
      <formula>AND(S$9&gt;=8/24,S$9&lt;14/24)</formula>
    </cfRule>
    <cfRule type="expression" dxfId="2233" priority="283">
      <formula>S$9&lt;8/24</formula>
    </cfRule>
  </conditionalFormatting>
  <conditionalFormatting sqref="S57:AE57">
    <cfRule type="expression" dxfId="2232" priority="276">
      <formula>S$9&gt;=20/24</formula>
    </cfRule>
    <cfRule type="expression" dxfId="2231" priority="277">
      <formula>AND(S$9&gt;=14/24,S$9&lt;20/24)</formula>
    </cfRule>
    <cfRule type="expression" dxfId="2230" priority="278">
      <formula>AND(S$9&gt;=8/24,S$9&lt;14/24)</formula>
    </cfRule>
    <cfRule type="expression" dxfId="2229" priority="279">
      <formula>S$9&lt;8/24</formula>
    </cfRule>
  </conditionalFormatting>
  <conditionalFormatting sqref="S81:AA81">
    <cfRule type="expression" dxfId="2228" priority="272">
      <formula>S$9&gt;=20/24</formula>
    </cfRule>
    <cfRule type="expression" dxfId="2227" priority="273">
      <formula>AND(S$9&gt;=14/24,S$9&lt;20/24)</formula>
    </cfRule>
    <cfRule type="expression" dxfId="2226" priority="274">
      <formula>AND(S$9&gt;=8/24,S$9&lt;14/24)</formula>
    </cfRule>
    <cfRule type="expression" dxfId="2225" priority="275">
      <formula>S$9&lt;8/24</formula>
    </cfRule>
  </conditionalFormatting>
  <conditionalFormatting sqref="U84:AA84">
    <cfRule type="expression" dxfId="2224" priority="268">
      <formula>U$9&gt;=20/24</formula>
    </cfRule>
    <cfRule type="expression" dxfId="2223" priority="269">
      <formula>AND(U$9&gt;=14/24,U$9&lt;20/24)</formula>
    </cfRule>
    <cfRule type="expression" dxfId="2222" priority="270">
      <formula>AND(U$9&gt;=8/24,U$9&lt;14/24)</formula>
    </cfRule>
    <cfRule type="expression" dxfId="2221" priority="271">
      <formula>U$9&lt;8/24</formula>
    </cfRule>
  </conditionalFormatting>
  <conditionalFormatting sqref="M49:W49">
    <cfRule type="expression" dxfId="2220" priority="260">
      <formula>M$9&gt;=20/24</formula>
    </cfRule>
    <cfRule type="expression" dxfId="2219" priority="261">
      <formula>AND(M$9&gt;=14/24,M$9&lt;20/24)</formula>
    </cfRule>
    <cfRule type="expression" dxfId="2218" priority="262">
      <formula>AND(M$9&gt;=8/24,M$9&lt;14/24)</formula>
    </cfRule>
    <cfRule type="expression" dxfId="2217" priority="263">
      <formula>M$9&lt;8/24</formula>
    </cfRule>
  </conditionalFormatting>
  <conditionalFormatting sqref="M50:W50">
    <cfRule type="expression" dxfId="2216" priority="256">
      <formula>M$9&gt;=20/24</formula>
    </cfRule>
    <cfRule type="expression" dxfId="2215" priority="257">
      <formula>AND(M$9&gt;=14/24,M$9&lt;20/24)</formula>
    </cfRule>
    <cfRule type="expression" dxfId="2214" priority="258">
      <formula>AND(M$9&gt;=8/24,M$9&lt;14/24)</formula>
    </cfRule>
    <cfRule type="expression" dxfId="2213" priority="259">
      <formula>M$9&lt;8/24</formula>
    </cfRule>
  </conditionalFormatting>
  <conditionalFormatting sqref="M45:W48">
    <cfRule type="expression" dxfId="2212" priority="252">
      <formula>M$9&gt;=20/24</formula>
    </cfRule>
    <cfRule type="expression" dxfId="2211" priority="253">
      <formula>AND(M$9&gt;=14/24,M$9&lt;20/24)</formula>
    </cfRule>
    <cfRule type="expression" dxfId="2210" priority="254">
      <formula>AND(M$9&gt;=8/24,M$9&lt;14/24)</formula>
    </cfRule>
    <cfRule type="expression" dxfId="2209" priority="255">
      <formula>M$9&lt;8/24</formula>
    </cfRule>
  </conditionalFormatting>
  <conditionalFormatting sqref="T37:AF37">
    <cfRule type="expression" dxfId="2208" priority="248">
      <formula>T$9&gt;=20/24</formula>
    </cfRule>
    <cfRule type="expression" dxfId="2207" priority="249">
      <formula>AND(T$9&gt;=14/24,T$9&lt;20/24)</formula>
    </cfRule>
    <cfRule type="expression" dxfId="2206" priority="250">
      <formula>AND(T$9&gt;=8/24,T$9&lt;14/24)</formula>
    </cfRule>
    <cfRule type="expression" dxfId="2205" priority="251">
      <formula>T$9&lt;8/24</formula>
    </cfRule>
  </conditionalFormatting>
  <conditionalFormatting sqref="X31:AF32 X35:AF35">
    <cfRule type="expression" dxfId="2204" priority="244">
      <formula>X$9&gt;=20/24</formula>
    </cfRule>
    <cfRule type="expression" dxfId="2203" priority="245">
      <formula>AND(X$9&gt;=14/24,X$9&lt;20/24)</formula>
    </cfRule>
    <cfRule type="expression" dxfId="2202" priority="246">
      <formula>AND(X$9&gt;=8/24,X$9&lt;14/24)</formula>
    </cfRule>
    <cfRule type="expression" dxfId="2201" priority="247">
      <formula>X$9&lt;8/24</formula>
    </cfRule>
  </conditionalFormatting>
  <conditionalFormatting sqref="S42:T43 U43:AB43 S45:AF48">
    <cfRule type="expression" dxfId="2200" priority="240">
      <formula>S$9&gt;=20/24</formula>
    </cfRule>
    <cfRule type="expression" dxfId="2199" priority="241">
      <formula>AND(S$9&gt;=14/24,S$9&lt;20/24)</formula>
    </cfRule>
    <cfRule type="expression" dxfId="2198" priority="242">
      <formula>AND(S$9&gt;=8/24,S$9&lt;14/24)</formula>
    </cfRule>
    <cfRule type="expression" dxfId="2197" priority="243">
      <formula>S$9&lt;8/24</formula>
    </cfRule>
  </conditionalFormatting>
  <conditionalFormatting sqref="S49:AF49">
    <cfRule type="expression" dxfId="2196" priority="236">
      <formula>S$9&gt;=20/24</formula>
    </cfRule>
    <cfRule type="expression" dxfId="2195" priority="237">
      <formula>AND(S$9&gt;=14/24,S$9&lt;20/24)</formula>
    </cfRule>
    <cfRule type="expression" dxfId="2194" priority="238">
      <formula>AND(S$9&gt;=8/24,S$9&lt;14/24)</formula>
    </cfRule>
    <cfRule type="expression" dxfId="2193" priority="239">
      <formula>S$9&lt;8/24</formula>
    </cfRule>
  </conditionalFormatting>
  <conditionalFormatting sqref="S50:AF50">
    <cfRule type="expression" dxfId="2192" priority="232">
      <formula>S$9&gt;=20/24</formula>
    </cfRule>
    <cfRule type="expression" dxfId="2191" priority="233">
      <formula>AND(S$9&gt;=14/24,S$9&lt;20/24)</formula>
    </cfRule>
    <cfRule type="expression" dxfId="2190" priority="234">
      <formula>AND(S$9&gt;=8/24,S$9&lt;14/24)</formula>
    </cfRule>
    <cfRule type="expression" dxfId="2189" priority="235">
      <formula>S$9&lt;8/24</formula>
    </cfRule>
  </conditionalFormatting>
  <conditionalFormatting sqref="X60:AF67">
    <cfRule type="expression" dxfId="2188" priority="228">
      <formula>X$9&gt;=20/24</formula>
    </cfRule>
    <cfRule type="expression" dxfId="2187" priority="229">
      <formula>AND(X$9&gt;=14/24,X$9&lt;20/24)</formula>
    </cfRule>
    <cfRule type="expression" dxfId="2186" priority="230">
      <formula>AND(X$9&gt;=8/24,X$9&lt;14/24)</formula>
    </cfRule>
    <cfRule type="expression" dxfId="2185" priority="231">
      <formula>X$9&lt;8/24</formula>
    </cfRule>
  </conditionalFormatting>
  <conditionalFormatting sqref="C62:O62">
    <cfRule type="expression" dxfId="2184" priority="224">
      <formula>C$9&gt;=20/24</formula>
    </cfRule>
    <cfRule type="expression" dxfId="2183" priority="225">
      <formula>AND(C$9&gt;=14/24,C$9&lt;20/24)</formula>
    </cfRule>
    <cfRule type="expression" dxfId="2182" priority="226">
      <formula>AND(C$9&gt;=8/24,C$9&lt;14/24)</formula>
    </cfRule>
    <cfRule type="expression" dxfId="2181" priority="227">
      <formula>C$9&lt;8/24</formula>
    </cfRule>
  </conditionalFormatting>
  <conditionalFormatting sqref="U94:AA97">
    <cfRule type="expression" dxfId="2180" priority="220">
      <formula>U$9&gt;=20/24</formula>
    </cfRule>
    <cfRule type="expression" dxfId="2179" priority="221">
      <formula>AND(U$9&gt;=14/24,U$9&lt;20/24)</formula>
    </cfRule>
    <cfRule type="expression" dxfId="2178" priority="222">
      <formula>AND(U$9&gt;=8/24,U$9&lt;14/24)</formula>
    </cfRule>
    <cfRule type="expression" dxfId="2177" priority="223">
      <formula>U$9&lt;8/24</formula>
    </cfRule>
  </conditionalFormatting>
  <conditionalFormatting sqref="AG51 D12:D14 C11:D11 B11:B32 C12:C32 E11:E14 F12:L14 D16:L32 B34:L36 F11:AF11 X34:AA36 B37:AA37 X18:AF32 AB34:AF37 B38:AF56">
    <cfRule type="expression" dxfId="2176" priority="219">
      <formula>B11&gt;$AG11</formula>
    </cfRule>
  </conditionalFormatting>
  <conditionalFormatting sqref="A100:A156 A84:A97 A11:A14 A16:A32 A45:A72 A80:A82 A74:A78 A35:A43 A169:A199">
    <cfRule type="expression" dxfId="2175" priority="218">
      <formula>$AH11=0</formula>
    </cfRule>
  </conditionalFormatting>
  <conditionalFormatting sqref="U98:AA98">
    <cfRule type="expression" dxfId="2174" priority="214">
      <formula>U$9&gt;=20/24</formula>
    </cfRule>
    <cfRule type="expression" dxfId="2173" priority="215">
      <formula>AND(U$9&gt;=14/24,U$9&lt;20/24)</formula>
    </cfRule>
    <cfRule type="expression" dxfId="2172" priority="216">
      <formula>AND(U$9&gt;=8/24,U$9&lt;14/24)</formula>
    </cfRule>
    <cfRule type="expression" dxfId="2171" priority="217">
      <formula>U$9&lt;8/24</formula>
    </cfRule>
  </conditionalFormatting>
  <conditionalFormatting sqref="A98">
    <cfRule type="expression" dxfId="2170" priority="213">
      <formula>$AH98=0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X34:AF34">
    <cfRule type="expression" dxfId="2169" priority="188">
      <formula>X$9&gt;=20/24</formula>
    </cfRule>
    <cfRule type="expression" dxfId="2168" priority="189">
      <formula>AND(X$9&gt;=14/24,X$9&lt;20/24)</formula>
    </cfRule>
    <cfRule type="expression" dxfId="2167" priority="190">
      <formula>AND(X$9&gt;=8/24,X$9&lt;14/24)</formula>
    </cfRule>
    <cfRule type="expression" dxfId="2166" priority="191">
      <formula>X$9&lt;8/24</formula>
    </cfRule>
  </conditionalFormatting>
  <conditionalFormatting sqref="A34">
    <cfRule type="expression" dxfId="2165" priority="187">
      <formula>$AH34=0</formula>
    </cfRule>
  </conditionalFormatting>
  <conditionalFormatting sqref="A83">
    <cfRule type="expression" dxfId="2164" priority="186">
      <formula>$AH83=0</formula>
    </cfRule>
  </conditionalFormatting>
  <conditionalFormatting sqref="D15:L15">
    <cfRule type="expression" dxfId="2163" priority="177">
      <formula>D15&gt;$AG15</formula>
    </cfRule>
  </conditionalFormatting>
  <conditionalFormatting sqref="A15">
    <cfRule type="expression" dxfId="2162" priority="176">
      <formula>$AH15=0</formula>
    </cfRule>
  </conditionalFormatting>
  <conditionalFormatting sqref="A163:A168">
    <cfRule type="expression" dxfId="2161" priority="175">
      <formula>$AH163=0</formula>
    </cfRule>
  </conditionalFormatting>
  <conditionalFormatting sqref="A157:A162">
    <cfRule type="expression" dxfId="2160" priority="174">
      <formula>$AH157=0</formula>
    </cfRule>
  </conditionalFormatting>
  <conditionalFormatting sqref="Z44:AF44">
    <cfRule type="expression" dxfId="2159" priority="170">
      <formula>Z$9&gt;=20/24</formula>
    </cfRule>
    <cfRule type="expression" dxfId="2158" priority="171">
      <formula>AND(Z$9&gt;=14/24,Z$9&lt;20/24)</formula>
    </cfRule>
    <cfRule type="expression" dxfId="2157" priority="172">
      <formula>AND(Z$9&gt;=8/24,Z$9&lt;14/24)</formula>
    </cfRule>
    <cfRule type="expression" dxfId="2156" priority="173">
      <formula>Z$9&lt;8/24</formula>
    </cfRule>
  </conditionalFormatting>
  <conditionalFormatting sqref="M44:W44">
    <cfRule type="expression" dxfId="2155" priority="166">
      <formula>M$9&gt;=20/24</formula>
    </cfRule>
    <cfRule type="expression" dxfId="2154" priority="167">
      <formula>AND(M$9&gt;=14/24,M$9&lt;20/24)</formula>
    </cfRule>
    <cfRule type="expression" dxfId="2153" priority="168">
      <formula>AND(M$9&gt;=8/24,M$9&lt;14/24)</formula>
    </cfRule>
    <cfRule type="expression" dxfId="2152" priority="169">
      <formula>M$9&lt;8/24</formula>
    </cfRule>
  </conditionalFormatting>
  <conditionalFormatting sqref="S44:AB44">
    <cfRule type="expression" dxfId="2151" priority="162">
      <formula>S$9&gt;=20/24</formula>
    </cfRule>
    <cfRule type="expression" dxfId="2150" priority="163">
      <formula>AND(S$9&gt;=14/24,S$9&lt;20/24)</formula>
    </cfRule>
    <cfRule type="expression" dxfId="2149" priority="164">
      <formula>AND(S$9&gt;=8/24,S$9&lt;14/24)</formula>
    </cfRule>
    <cfRule type="expression" dxfId="2148" priority="165">
      <formula>S$9&lt;8/24</formula>
    </cfRule>
  </conditionalFormatting>
  <conditionalFormatting sqref="A44">
    <cfRule type="expression" dxfId="2147" priority="161">
      <formula>$AH44=0</formula>
    </cfRule>
  </conditionalFormatting>
  <conditionalFormatting sqref="A79">
    <cfRule type="expression" dxfId="2146" priority="160">
      <formula>$AH79=0</formula>
    </cfRule>
  </conditionalFormatting>
  <conditionalFormatting sqref="A73">
    <cfRule type="expression" dxfId="2145" priority="159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U60:W61 V62:W67">
    <cfRule type="expression" dxfId="2144" priority="155">
      <formula>U$9&gt;=20/24</formula>
    </cfRule>
    <cfRule type="expression" dxfId="2143" priority="156">
      <formula>AND(U$9&gt;=14/24,U$9&lt;20/24)</formula>
    </cfRule>
    <cfRule type="expression" dxfId="2142" priority="157">
      <formula>AND(U$9&gt;=8/24,U$9&lt;14/24)</formula>
    </cfRule>
    <cfRule type="expression" dxfId="2141" priority="158">
      <formula>U$9&lt;8/24</formula>
    </cfRule>
  </conditionalFormatting>
  <conditionalFormatting sqref="U85:W91">
    <cfRule type="expression" dxfId="2140" priority="151">
      <formula>U$9&gt;=20/24</formula>
    </cfRule>
    <cfRule type="expression" dxfId="2139" priority="152">
      <formula>AND(U$9&gt;=14/24,U$9&lt;20/24)</formula>
    </cfRule>
    <cfRule type="expression" dxfId="2138" priority="153">
      <formula>AND(U$9&gt;=8/24,U$9&lt;14/24)</formula>
    </cfRule>
    <cfRule type="expression" dxfId="2137" priority="154">
      <formula>U$9&lt;8/24</formula>
    </cfRule>
  </conditionalFormatting>
  <conditionalFormatting sqref="S85:T91 C84:R91">
    <cfRule type="expression" dxfId="2136" priority="147">
      <formula>C$9&gt;=20/24</formula>
    </cfRule>
    <cfRule type="expression" dxfId="2135" priority="148">
      <formula>AND(C$9&gt;=14/24,C$9&lt;20/24)</formula>
    </cfRule>
    <cfRule type="expression" dxfId="2134" priority="149">
      <formula>AND(C$9&gt;=8/24,C$9&lt;14/24)</formula>
    </cfRule>
    <cfRule type="expression" dxfId="2133" priority="150">
      <formula>C$9&lt;8/24</formula>
    </cfRule>
  </conditionalFormatting>
  <conditionalFormatting sqref="S84:T84">
    <cfRule type="expression" dxfId="2132" priority="143">
      <formula>S$9&gt;=20/24</formula>
    </cfRule>
    <cfRule type="expression" dxfId="2131" priority="144">
      <formula>AND(S$9&gt;=14/24,S$9&lt;20/24)</formula>
    </cfRule>
    <cfRule type="expression" dxfId="2130" priority="145">
      <formula>AND(S$9&gt;=8/24,S$9&lt;14/24)</formula>
    </cfRule>
    <cfRule type="expression" dxfId="2129" priority="146">
      <formula>S$9&lt;8/24</formula>
    </cfRule>
  </conditionalFormatting>
  <conditionalFormatting sqref="C95:M97 C94:F94">
    <cfRule type="expression" dxfId="2128" priority="139">
      <formula>C$9&gt;=20/24</formula>
    </cfRule>
    <cfRule type="expression" dxfId="2127" priority="140">
      <formula>AND(C$9&gt;=14/24,C$9&lt;20/24)</formula>
    </cfRule>
    <cfRule type="expression" dxfId="2126" priority="141">
      <formula>AND(C$9&gt;=8/24,C$9&lt;14/24)</formula>
    </cfRule>
    <cfRule type="expression" dxfId="2125" priority="142">
      <formula>C$9&lt;8/24</formula>
    </cfRule>
  </conditionalFormatting>
  <conditionalFormatting sqref="N95:R97 O94:R94">
    <cfRule type="expression" dxfId="2124" priority="135">
      <formula>N$9&gt;=20/24</formula>
    </cfRule>
    <cfRule type="expression" dxfId="2123" priority="136">
      <formula>AND(N$9&gt;=14/24,N$9&lt;20/24)</formula>
    </cfRule>
    <cfRule type="expression" dxfId="2122" priority="137">
      <formula>AND(N$9&gt;=8/24,N$9&lt;14/24)</formula>
    </cfRule>
    <cfRule type="expression" dxfId="2121" priority="138">
      <formula>N$9&lt;8/24</formula>
    </cfRule>
  </conditionalFormatting>
  <conditionalFormatting sqref="S94:T97">
    <cfRule type="expression" dxfId="2120" priority="131">
      <formula>S$9&gt;=20/24</formula>
    </cfRule>
    <cfRule type="expression" dxfId="2119" priority="132">
      <formula>AND(S$9&gt;=14/24,S$9&lt;20/24)</formula>
    </cfRule>
    <cfRule type="expression" dxfId="2118" priority="133">
      <formula>AND(S$9&gt;=8/24,S$9&lt;14/24)</formula>
    </cfRule>
    <cfRule type="expression" dxfId="2117" priority="134">
      <formula>S$9&lt;8/24</formula>
    </cfRule>
  </conditionalFormatting>
  <conditionalFormatting sqref="C98:M98">
    <cfRule type="expression" dxfId="2116" priority="127">
      <formula>C$9&gt;=20/24</formula>
    </cfRule>
    <cfRule type="expression" dxfId="2115" priority="128">
      <formula>AND(C$9&gt;=14/24,C$9&lt;20/24)</formula>
    </cfRule>
    <cfRule type="expression" dxfId="2114" priority="129">
      <formula>AND(C$9&gt;=8/24,C$9&lt;14/24)</formula>
    </cfRule>
    <cfRule type="expression" dxfId="2113" priority="130">
      <formula>C$9&lt;8/24</formula>
    </cfRule>
  </conditionalFormatting>
  <conditionalFormatting sqref="N98:R98">
    <cfRule type="expression" dxfId="2112" priority="123">
      <formula>N$9&gt;=20/24</formula>
    </cfRule>
    <cfRule type="expression" dxfId="2111" priority="124">
      <formula>AND(N$9&gt;=14/24,N$9&lt;20/24)</formula>
    </cfRule>
    <cfRule type="expression" dxfId="2110" priority="125">
      <formula>AND(N$9&gt;=8/24,N$9&lt;14/24)</formula>
    </cfRule>
    <cfRule type="expression" dxfId="2109" priority="126">
      <formula>N$9&lt;8/24</formula>
    </cfRule>
  </conditionalFormatting>
  <conditionalFormatting sqref="S98:T98">
    <cfRule type="expression" dxfId="2108" priority="119">
      <formula>S$9&gt;=20/24</formula>
    </cfRule>
    <cfRule type="expression" dxfId="2107" priority="120">
      <formula>AND(S$9&gt;=14/24,S$9&lt;20/24)</formula>
    </cfRule>
    <cfRule type="expression" dxfId="2106" priority="121">
      <formula>AND(S$9&gt;=8/24,S$9&lt;14/24)</formula>
    </cfRule>
    <cfRule type="expression" dxfId="2105" priority="122">
      <formula>S$9&lt;8/24</formula>
    </cfRule>
  </conditionalFormatting>
  <conditionalFormatting sqref="M94:N94">
    <cfRule type="expression" dxfId="2104" priority="115">
      <formula>M$9&gt;=20/24</formula>
    </cfRule>
    <cfRule type="expression" dxfId="2103" priority="116">
      <formula>AND(M$9&gt;=14/24,M$9&lt;20/24)</formula>
    </cfRule>
    <cfRule type="expression" dxfId="2102" priority="117">
      <formula>AND(M$9&gt;=8/24,M$9&lt;14/24)</formula>
    </cfRule>
    <cfRule type="expression" dxfId="2101" priority="118">
      <formula>M$9&lt;8/24</formula>
    </cfRule>
  </conditionalFormatting>
  <conditionalFormatting sqref="G94:L94">
    <cfRule type="expression" dxfId="2100" priority="111">
      <formula>G$9&gt;=20/24</formula>
    </cfRule>
    <cfRule type="expression" dxfId="2099" priority="112">
      <formula>AND(G$9&gt;=14/24,G$9&lt;20/24)</formula>
    </cfRule>
    <cfRule type="expression" dxfId="2098" priority="113">
      <formula>AND(G$9&gt;=8/24,G$9&lt;14/24)</formula>
    </cfRule>
    <cfRule type="expression" dxfId="2097" priority="114">
      <formula>G$9&lt;8/24</formula>
    </cfRule>
  </conditionalFormatting>
  <conditionalFormatting sqref="U94:W94">
    <cfRule type="expression" dxfId="2096" priority="107">
      <formula>U$9&gt;=20/24</formula>
    </cfRule>
    <cfRule type="expression" dxfId="2095" priority="108">
      <formula>AND(U$9&gt;=14/24,U$9&lt;20/24)</formula>
    </cfRule>
    <cfRule type="expression" dxfId="2094" priority="109">
      <formula>AND(U$9&gt;=8/24,U$9&lt;14/24)</formula>
    </cfRule>
    <cfRule type="expression" dxfId="2093" priority="110">
      <formula>U$9&lt;8/24</formula>
    </cfRule>
  </conditionalFormatting>
  <conditionalFormatting sqref="N94:T94">
    <cfRule type="expression" dxfId="2092" priority="103">
      <formula>N$9&gt;=20/24</formula>
    </cfRule>
    <cfRule type="expression" dxfId="2091" priority="104">
      <formula>AND(N$9&gt;=14/24,N$9&lt;20/24)</formula>
    </cfRule>
    <cfRule type="expression" dxfId="2090" priority="105">
      <formula>AND(N$9&gt;=8/24,N$9&lt;14/24)</formula>
    </cfRule>
    <cfRule type="expression" dxfId="2089" priority="106">
      <formula>N$9&lt;8/24</formula>
    </cfRule>
  </conditionalFormatting>
  <conditionalFormatting sqref="U99:AA99">
    <cfRule type="expression" dxfId="2088" priority="99">
      <formula>U$9&gt;=20/24</formula>
    </cfRule>
    <cfRule type="expression" dxfId="2087" priority="100">
      <formula>AND(U$9&gt;=14/24,U$9&lt;20/24)</formula>
    </cfRule>
    <cfRule type="expression" dxfId="2086" priority="101">
      <formula>AND(U$9&gt;=8/24,U$9&lt;14/24)</formula>
    </cfRule>
    <cfRule type="expression" dxfId="2085" priority="102">
      <formula>U$9&lt;8/24</formula>
    </cfRule>
  </conditionalFormatting>
  <conditionalFormatting sqref="C99:M99">
    <cfRule type="expression" dxfId="2084" priority="95">
      <formula>C$9&gt;=20/24</formula>
    </cfRule>
    <cfRule type="expression" dxfId="2083" priority="96">
      <formula>AND(C$9&gt;=14/24,C$9&lt;20/24)</formula>
    </cfRule>
    <cfRule type="expression" dxfId="2082" priority="97">
      <formula>AND(C$9&gt;=8/24,C$9&lt;14/24)</formula>
    </cfRule>
    <cfRule type="expression" dxfId="2081" priority="98">
      <formula>C$9&lt;8/24</formula>
    </cfRule>
  </conditionalFormatting>
  <conditionalFormatting sqref="N99:R99">
    <cfRule type="expression" dxfId="2080" priority="91">
      <formula>N$9&gt;=20/24</formula>
    </cfRule>
    <cfRule type="expression" dxfId="2079" priority="92">
      <formula>AND(N$9&gt;=14/24,N$9&lt;20/24)</formula>
    </cfRule>
    <cfRule type="expression" dxfId="2078" priority="93">
      <formula>AND(N$9&gt;=8/24,N$9&lt;14/24)</formula>
    </cfRule>
    <cfRule type="expression" dxfId="2077" priority="94">
      <formula>N$9&lt;8/24</formula>
    </cfRule>
  </conditionalFormatting>
  <conditionalFormatting sqref="S99:T99">
    <cfRule type="expression" dxfId="2076" priority="87">
      <formula>S$9&gt;=20/24</formula>
    </cfRule>
    <cfRule type="expression" dxfId="2075" priority="88">
      <formula>AND(S$9&gt;=14/24,S$9&lt;20/24)</formula>
    </cfRule>
    <cfRule type="expression" dxfId="2074" priority="89">
      <formula>AND(S$9&gt;=8/24,S$9&lt;14/24)</formula>
    </cfRule>
    <cfRule type="expression" dxfId="2073" priority="90">
      <formula>S$9&lt;8/24</formula>
    </cfRule>
  </conditionalFormatting>
  <conditionalFormatting sqref="X12:AF16">
    <cfRule type="expression" dxfId="2072" priority="83">
      <formula>X$9&gt;=20/24</formula>
    </cfRule>
    <cfRule type="expression" dxfId="2071" priority="84">
      <formula>AND(X$9&gt;=14/24,X$9&lt;20/24)</formula>
    </cfRule>
    <cfRule type="expression" dxfId="2070" priority="85">
      <formula>AND(X$9&gt;=8/24,X$9&lt;14/24)</formula>
    </cfRule>
    <cfRule type="expression" dxfId="2069" priority="86">
      <formula>X$9&lt;8/24</formula>
    </cfRule>
  </conditionalFormatting>
  <conditionalFormatting sqref="X17:AF17">
    <cfRule type="expression" dxfId="2068" priority="79">
      <formula>X$9&gt;=20/24</formula>
    </cfRule>
    <cfRule type="expression" dxfId="2067" priority="80">
      <formula>AND(X$9&gt;=14/24,X$9&lt;20/24)</formula>
    </cfRule>
    <cfRule type="expression" dxfId="2066" priority="81">
      <formula>AND(X$9&gt;=8/24,X$9&lt;14/24)</formula>
    </cfRule>
    <cfRule type="expression" dxfId="2065" priority="82">
      <formula>X$9&lt;8/24</formula>
    </cfRule>
  </conditionalFormatting>
  <conditionalFormatting sqref="X12:AF13">
    <cfRule type="expression" dxfId="2064" priority="75">
      <formula>X$9&gt;=20/24</formula>
    </cfRule>
    <cfRule type="expression" dxfId="2063" priority="76">
      <formula>AND(X$9&gt;=14/24,X$9&lt;20/24)</formula>
    </cfRule>
    <cfRule type="expression" dxfId="2062" priority="77">
      <formula>AND(X$9&gt;=8/24,X$9&lt;14/24)</formula>
    </cfRule>
    <cfRule type="expression" dxfId="2061" priority="78">
      <formula>X$9&lt;8/24</formula>
    </cfRule>
  </conditionalFormatting>
  <conditionalFormatting sqref="AB58:AE59">
    <cfRule type="expression" dxfId="2060" priority="71">
      <formula>AB$9&gt;=20/24</formula>
    </cfRule>
    <cfRule type="expression" dxfId="2059" priority="72">
      <formula>AND(AB$9&gt;=14/24,AB$9&lt;20/24)</formula>
    </cfRule>
    <cfRule type="expression" dxfId="2058" priority="73">
      <formula>AND(AB$9&gt;=8/24,AB$9&lt;14/24)</formula>
    </cfRule>
    <cfRule type="expression" dxfId="2057" priority="74">
      <formula>AB$9&lt;8/24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56" priority="304">
      <formula>C$9&gt;=20/24</formula>
    </cfRule>
    <cfRule type="expression" dxfId="2055" priority="305">
      <formula>AND(C$9&gt;=14/24,C$9&lt;20/24)</formula>
    </cfRule>
    <cfRule type="expression" dxfId="2054" priority="306">
      <formula>AND(C$9&gt;=8/24,C$9&lt;14/24)</formula>
    </cfRule>
    <cfRule type="expression" dxfId="2053" priority="307">
      <formula>C$9&lt;8/24</formula>
    </cfRule>
  </conditionalFormatting>
  <conditionalFormatting sqref="A200">
    <cfRule type="expression" dxfId="2052" priority="308">
      <formula>$AH200=0</formula>
    </cfRule>
  </conditionalFormatting>
  <conditionalFormatting sqref="AG212">
    <cfRule type="expression" dxfId="2051" priority="309">
      <formula>B$9&gt;=20/24</formula>
    </cfRule>
    <cfRule type="expression" dxfId="2050" priority="310">
      <formula>AND(B$9&gt;=14/24,B$9&lt;20/24)</formula>
    </cfRule>
    <cfRule type="expression" dxfId="2049" priority="311">
      <formula>AND(B$9&gt;=8/24,B$9&lt;14/24)</formula>
    </cfRule>
    <cfRule type="expression" dxfId="2048" priority="312">
      <formula>B$9&lt;8/24</formula>
    </cfRule>
  </conditionalFormatting>
  <conditionalFormatting sqref="S8">
    <cfRule type="expression" dxfId="2047" priority="65">
      <formula>U$9&gt;=20/24</formula>
    </cfRule>
    <cfRule type="expression" dxfId="2046" priority="66">
      <formula>AND(U$9&gt;=14/24,U$9&lt;20/24)</formula>
    </cfRule>
    <cfRule type="expression" dxfId="2045" priority="67">
      <formula>AND(U$9&gt;=8/24,U$9&lt;14/24)</formula>
    </cfRule>
    <cfRule type="expression" dxfId="2044" priority="68">
      <formula>U$9&lt;8/24</formula>
    </cfRule>
  </conditionalFormatting>
  <conditionalFormatting sqref="AB8">
    <cfRule type="expression" dxfId="2043" priority="61">
      <formula>AD$9&gt;=20/24</formula>
    </cfRule>
    <cfRule type="expression" dxfId="2042" priority="62">
      <formula>AND(AD$9&gt;=14/24,AD$9&lt;20/24)</formula>
    </cfRule>
    <cfRule type="expression" dxfId="2041" priority="63">
      <formula>AND(AD$9&gt;=8/24,AD$9&lt;14/24)</formula>
    </cfRule>
    <cfRule type="expression" dxfId="2040" priority="64">
      <formula>AD$9&lt;8/24</formula>
    </cfRule>
  </conditionalFormatting>
  <conditionalFormatting sqref="AH212:AX212">
    <cfRule type="expression" dxfId="2039" priority="313">
      <formula>AG$9&gt;=20/24</formula>
    </cfRule>
    <cfRule type="expression" dxfId="2038" priority="314">
      <formula>AND(AG$9&gt;=14/24,AG$9&lt;20/24)</formula>
    </cfRule>
    <cfRule type="expression" dxfId="2037" priority="315">
      <formula>AND(AG$9&gt;=8/24,AG$9&lt;14/24)</formula>
    </cfRule>
    <cfRule type="expression" dxfId="2036" priority="316">
      <formula>AG$9&lt;8/24</formula>
    </cfRule>
  </conditionalFormatting>
  <conditionalFormatting sqref="T212">
    <cfRule type="expression" dxfId="2035" priority="317">
      <formula>AX$9&gt;=20/24</formula>
    </cfRule>
    <cfRule type="expression" dxfId="2034" priority="318">
      <formula>AND(AX$9&gt;=14/24,AX$9&lt;20/24)</formula>
    </cfRule>
    <cfRule type="expression" dxfId="2033" priority="319">
      <formula>AND(AX$9&gt;=8/24,AX$9&lt;14/24)</formula>
    </cfRule>
    <cfRule type="expression" dxfId="2032" priority="320">
      <formula>AX$9&lt;8/24</formula>
    </cfRule>
  </conditionalFormatting>
  <conditionalFormatting sqref="A99">
    <cfRule type="expression" dxfId="2031" priority="60">
      <formula>$AH99=0</formula>
    </cfRule>
  </conditionalFormatting>
  <conditionalFormatting sqref="X33:AF33">
    <cfRule type="expression" dxfId="2030" priority="48">
      <formula>X$9&gt;=20/24</formula>
    </cfRule>
    <cfRule type="expression" dxfId="2029" priority="49">
      <formula>AND(X$9&gt;=14/24,X$9&lt;20/24)</formula>
    </cfRule>
    <cfRule type="expression" dxfId="2028" priority="50">
      <formula>AND(X$9&gt;=8/24,X$9&lt;14/24)</formula>
    </cfRule>
    <cfRule type="expression" dxfId="2027" priority="51">
      <formula>X$9&lt;8/24</formula>
    </cfRule>
  </conditionalFormatting>
  <conditionalFormatting sqref="B33:L33 X33:AF33">
    <cfRule type="expression" dxfId="2026" priority="47">
      <formula>B33&gt;$AG33</formula>
    </cfRule>
  </conditionalFormatting>
  <conditionalFormatting sqref="M12:P14 M16:P32 M36:P36">
    <cfRule type="expression" dxfId="2025" priority="43">
      <formula>M$9&gt;=20/24</formula>
    </cfRule>
    <cfRule type="expression" dxfId="2024" priority="44">
      <formula>AND(M$9&gt;=14/24,M$9&lt;20/24)</formula>
    </cfRule>
    <cfRule type="expression" dxfId="2023" priority="45">
      <formula>AND(M$9&gt;=8/24,M$9&lt;14/24)</formula>
    </cfRule>
    <cfRule type="expression" dxfId="2022" priority="46">
      <formula>M$9&lt;8/24</formula>
    </cfRule>
  </conditionalFormatting>
  <conditionalFormatting sqref="M35:P35">
    <cfRule type="expression" dxfId="2021" priority="39">
      <formula>M$9&gt;=20/24</formula>
    </cfRule>
    <cfRule type="expression" dxfId="2020" priority="40">
      <formula>AND(M$9&gt;=14/24,M$9&lt;20/24)</formula>
    </cfRule>
    <cfRule type="expression" dxfId="2019" priority="41">
      <formula>AND(M$9&gt;=8/24,M$9&lt;14/24)</formula>
    </cfRule>
    <cfRule type="expression" dxfId="2018" priority="42">
      <formula>M$9&lt;8/24</formula>
    </cfRule>
  </conditionalFormatting>
  <conditionalFormatting sqref="M16:P32 M34:P36 M12:P14">
    <cfRule type="expression" dxfId="2017" priority="38">
      <formula>M12&gt;$AG12</formula>
    </cfRule>
  </conditionalFormatting>
  <conditionalFormatting sqref="M34:P34">
    <cfRule type="expression" dxfId="2016" priority="34">
      <formula>M$9&gt;=20/24</formula>
    </cfRule>
    <cfRule type="expression" dxfId="2015" priority="35">
      <formula>AND(M$9&gt;=14/24,M$9&lt;20/24)</formula>
    </cfRule>
    <cfRule type="expression" dxfId="2014" priority="36">
      <formula>AND(M$9&gt;=8/24,M$9&lt;14/24)</formula>
    </cfRule>
    <cfRule type="expression" dxfId="2013" priority="37">
      <formula>M$9&lt;8/24</formula>
    </cfRule>
  </conditionalFormatting>
  <conditionalFormatting sqref="M15:P15">
    <cfRule type="expression" dxfId="2012" priority="30">
      <formula>M$9&gt;=20/24</formula>
    </cfRule>
    <cfRule type="expression" dxfId="2011" priority="31">
      <formula>AND(M$9&gt;=14/24,M$9&lt;20/24)</formula>
    </cfRule>
    <cfRule type="expression" dxfId="2010" priority="32">
      <formula>AND(M$9&gt;=8/24,M$9&lt;14/24)</formula>
    </cfRule>
    <cfRule type="expression" dxfId="2009" priority="33">
      <formula>M$9&lt;8/24</formula>
    </cfRule>
  </conditionalFormatting>
  <conditionalFormatting sqref="M15:P15">
    <cfRule type="expression" dxfId="2008" priority="29">
      <formula>M15&gt;$AG15</formula>
    </cfRule>
  </conditionalFormatting>
  <conditionalFormatting sqref="M33:P33">
    <cfRule type="expression" dxfId="2007" priority="25">
      <formula>M$9&gt;=20/24</formula>
    </cfRule>
    <cfRule type="expression" dxfId="2006" priority="26">
      <formula>AND(M$9&gt;=14/24,M$9&lt;20/24)</formula>
    </cfRule>
    <cfRule type="expression" dxfId="2005" priority="27">
      <formula>AND(M$9&gt;=8/24,M$9&lt;14/24)</formula>
    </cfRule>
    <cfRule type="expression" dxfId="2004" priority="28">
      <formula>M$9&lt;8/24</formula>
    </cfRule>
  </conditionalFormatting>
  <conditionalFormatting sqref="M33:P33">
    <cfRule type="expression" dxfId="2003" priority="24">
      <formula>M33&gt;$AG33</formula>
    </cfRule>
  </conditionalFormatting>
  <conditionalFormatting sqref="Q12:W14 Q36:W36 Q16:W32">
    <cfRule type="expression" dxfId="2002" priority="20">
      <formula>Q$9&gt;=20/24</formula>
    </cfRule>
    <cfRule type="expression" dxfId="2001" priority="21">
      <formula>AND(Q$9&gt;=14/24,Q$9&lt;20/24)</formula>
    </cfRule>
    <cfRule type="expression" dxfId="2000" priority="22">
      <formula>AND(Q$9&gt;=8/24,Q$9&lt;14/24)</formula>
    </cfRule>
    <cfRule type="expression" dxfId="1999" priority="23">
      <formula>Q$9&lt;8/24</formula>
    </cfRule>
  </conditionalFormatting>
  <conditionalFormatting sqref="Q35:W35">
    <cfRule type="expression" dxfId="1998" priority="16">
      <formula>Q$9&gt;=20/24</formula>
    </cfRule>
    <cfRule type="expression" dxfId="1997" priority="17">
      <formula>AND(Q$9&gt;=14/24,Q$9&lt;20/24)</formula>
    </cfRule>
    <cfRule type="expression" dxfId="1996" priority="18">
      <formula>AND(Q$9&gt;=8/24,Q$9&lt;14/24)</formula>
    </cfRule>
    <cfRule type="expression" dxfId="1995" priority="19">
      <formula>Q$9&lt;8/24</formula>
    </cfRule>
  </conditionalFormatting>
  <conditionalFormatting sqref="Q34:W36 Q12:W14 Q16:W32">
    <cfRule type="expression" dxfId="1994" priority="15">
      <formula>Q12&gt;$AG12</formula>
    </cfRule>
  </conditionalFormatting>
  <conditionalFormatting sqref="Q34:W34">
    <cfRule type="expression" dxfId="1993" priority="11">
      <formula>Q$9&gt;=20/24</formula>
    </cfRule>
    <cfRule type="expression" dxfId="1992" priority="12">
      <formula>AND(Q$9&gt;=14/24,Q$9&lt;20/24)</formula>
    </cfRule>
    <cfRule type="expression" dxfId="1991" priority="13">
      <formula>AND(Q$9&gt;=8/24,Q$9&lt;14/24)</formula>
    </cfRule>
    <cfRule type="expression" dxfId="1990" priority="14">
      <formula>Q$9&lt;8/24</formula>
    </cfRule>
  </conditionalFormatting>
  <conditionalFormatting sqref="Q15:W15">
    <cfRule type="expression" dxfId="1989" priority="7">
      <formula>Q$9&gt;=20/24</formula>
    </cfRule>
    <cfRule type="expression" dxfId="1988" priority="8">
      <formula>AND(Q$9&gt;=14/24,Q$9&lt;20/24)</formula>
    </cfRule>
    <cfRule type="expression" dxfId="1987" priority="9">
      <formula>AND(Q$9&gt;=8/24,Q$9&lt;14/24)</formula>
    </cfRule>
    <cfRule type="expression" dxfId="1986" priority="10">
      <formula>Q$9&lt;8/24</formula>
    </cfRule>
  </conditionalFormatting>
  <conditionalFormatting sqref="Q15:W15">
    <cfRule type="expression" dxfId="1985" priority="6">
      <formula>Q15&gt;$AG15</formula>
    </cfRule>
  </conditionalFormatting>
  <conditionalFormatting sqref="Q33:W33">
    <cfRule type="expression" dxfId="1984" priority="2">
      <formula>Q$9&gt;=20/24</formula>
    </cfRule>
    <cfRule type="expression" dxfId="1983" priority="3">
      <formula>AND(Q$9&gt;=14/24,Q$9&lt;20/24)</formula>
    </cfRule>
    <cfRule type="expression" dxfId="1982" priority="4">
      <formula>AND(Q$9&gt;=8/24,Q$9&lt;14/24)</formula>
    </cfRule>
    <cfRule type="expression" dxfId="1981" priority="5">
      <formula>Q$9&lt;8/24</formula>
    </cfRule>
  </conditionalFormatting>
  <conditionalFormatting sqref="Q33:W33">
    <cfRule type="expression" dxfId="1980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5DC01B98-B8D8-4B7A-8B65-21BC69FE130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D41" sqref="D4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2078/09/26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187</v>
      </c>
      <c r="C5" s="32">
        <f t="shared" si="0"/>
        <v>186</v>
      </c>
      <c r="D5" s="32">
        <f t="shared" si="0"/>
        <v>183</v>
      </c>
      <c r="E5" s="32">
        <f t="shared" si="0"/>
        <v>228</v>
      </c>
      <c r="F5" s="32">
        <f t="shared" si="0"/>
        <v>265</v>
      </c>
      <c r="G5" s="32">
        <f t="shared" si="0"/>
        <v>290</v>
      </c>
      <c r="H5" s="32">
        <f t="shared" si="0"/>
        <v>321</v>
      </c>
      <c r="I5" s="32">
        <f t="shared" si="0"/>
        <v>372</v>
      </c>
      <c r="J5" s="32">
        <f t="shared" si="0"/>
        <v>355</v>
      </c>
      <c r="K5" s="32">
        <f t="shared" si="0"/>
        <v>121</v>
      </c>
      <c r="L5" s="32">
        <f t="shared" si="0"/>
        <v>127</v>
      </c>
      <c r="M5" s="32">
        <f t="shared" si="0"/>
        <v>282.39999999999998</v>
      </c>
      <c r="N5" s="32">
        <f t="shared" si="0"/>
        <v>404.5</v>
      </c>
      <c r="O5" s="32">
        <f t="shared" si="0"/>
        <v>408.8</v>
      </c>
      <c r="P5" s="32">
        <f t="shared" si="0"/>
        <v>433.87</v>
      </c>
      <c r="Q5" s="32">
        <f t="shared" si="0"/>
        <v>406</v>
      </c>
      <c r="R5" s="32">
        <f t="shared" si="0"/>
        <v>513.79</v>
      </c>
      <c r="S5" s="32">
        <f t="shared" si="0"/>
        <v>521.20000000000005</v>
      </c>
      <c r="T5" s="32">
        <f t="shared" si="0"/>
        <v>513.29999999999995</v>
      </c>
      <c r="U5" s="32">
        <f t="shared" si="0"/>
        <v>242.6</v>
      </c>
      <c r="V5" s="32">
        <f t="shared" si="0"/>
        <v>239.7</v>
      </c>
      <c r="W5" s="32">
        <f t="shared" si="0"/>
        <v>181</v>
      </c>
      <c r="X5" s="32">
        <f t="shared" si="0"/>
        <v>172.51999999999998</v>
      </c>
      <c r="Y5" s="32">
        <f t="shared" si="0"/>
        <v>176.4</v>
      </c>
      <c r="Z5" s="32">
        <f t="shared" si="0"/>
        <v>349</v>
      </c>
      <c r="AA5" s="32">
        <f t="shared" si="0"/>
        <v>367</v>
      </c>
      <c r="AB5" s="32">
        <f t="shared" si="0"/>
        <v>347</v>
      </c>
      <c r="AC5" s="32">
        <f t="shared" si="0"/>
        <v>343</v>
      </c>
      <c r="AD5" s="32">
        <f t="shared" si="0"/>
        <v>336.5</v>
      </c>
      <c r="AE5" s="32">
        <f t="shared" si="0"/>
        <v>232.5</v>
      </c>
      <c r="AF5" s="32">
        <f>B68</f>
        <v>203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1488MW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Load=872</v>
      </c>
      <c r="B7" s="37">
        <f>B75</f>
        <v>926.24</v>
      </c>
      <c r="C7" s="37">
        <f t="shared" ref="C7:AF7" si="1">C75</f>
        <v>885.24</v>
      </c>
      <c r="D7" s="37">
        <f t="shared" si="1"/>
        <v>878.24</v>
      </c>
      <c r="E7" s="37">
        <f t="shared" si="1"/>
        <v>871.74</v>
      </c>
      <c r="F7" s="37">
        <f t="shared" si="1"/>
        <v>880.74</v>
      </c>
      <c r="G7" s="37">
        <f t="shared" si="1"/>
        <v>925.04</v>
      </c>
      <c r="H7" s="37">
        <f t="shared" si="1"/>
        <v>984.74</v>
      </c>
      <c r="I7" s="37">
        <f t="shared" si="1"/>
        <v>1085.74</v>
      </c>
      <c r="J7" s="37">
        <f t="shared" si="1"/>
        <v>1211.74</v>
      </c>
      <c r="K7" s="37">
        <f t="shared" si="1"/>
        <v>1285.3399999999999</v>
      </c>
      <c r="L7" s="37">
        <f t="shared" si="1"/>
        <v>1477.54</v>
      </c>
      <c r="M7" s="37">
        <f t="shared" si="1"/>
        <v>1488.04</v>
      </c>
      <c r="N7" s="37">
        <f t="shared" si="1"/>
        <v>1425.54</v>
      </c>
      <c r="O7" s="37">
        <f t="shared" si="1"/>
        <v>1362.8400000000001</v>
      </c>
      <c r="P7" s="37">
        <f t="shared" si="1"/>
        <v>1326.54</v>
      </c>
      <c r="Q7" s="37">
        <f t="shared" si="1"/>
        <v>1299.4100000000001</v>
      </c>
      <c r="R7" s="37">
        <f t="shared" si="1"/>
        <v>1142.8399999999999</v>
      </c>
      <c r="S7" s="37">
        <f t="shared" si="1"/>
        <v>1198.73</v>
      </c>
      <c r="T7" s="37">
        <f t="shared" si="1"/>
        <v>1246.04</v>
      </c>
      <c r="U7" s="37">
        <f t="shared" si="1"/>
        <v>1263.2399999999998</v>
      </c>
      <c r="V7" s="37">
        <f t="shared" si="1"/>
        <v>1273.24</v>
      </c>
      <c r="W7" s="37">
        <f t="shared" si="1"/>
        <v>1384.74</v>
      </c>
      <c r="X7" s="37">
        <f t="shared" si="1"/>
        <v>1517.14</v>
      </c>
      <c r="Y7" s="37">
        <f t="shared" si="1"/>
        <v>1533.7600000000002</v>
      </c>
      <c r="Z7" s="37">
        <f t="shared" si="1"/>
        <v>1475.1399999999999</v>
      </c>
      <c r="AA7" s="37">
        <f t="shared" si="1"/>
        <v>1460.04</v>
      </c>
      <c r="AB7" s="37">
        <f t="shared" si="1"/>
        <v>1361.2399999999998</v>
      </c>
      <c r="AC7" s="37">
        <f t="shared" si="1"/>
        <v>1305.9399999999998</v>
      </c>
      <c r="AD7" s="37">
        <f t="shared" si="1"/>
        <v>1266.1399999999999</v>
      </c>
      <c r="AE7" s="37">
        <f t="shared" si="1"/>
        <v>1068.1399999999999</v>
      </c>
      <c r="AF7" s="37">
        <f t="shared" si="1"/>
        <v>972.13999999999987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70</v>
      </c>
      <c r="C11" s="49">
        <v>45</v>
      </c>
      <c r="D11" s="49">
        <v>40</v>
      </c>
      <c r="E11" s="49">
        <v>40</v>
      </c>
      <c r="F11" s="49">
        <v>30</v>
      </c>
      <c r="G11" s="49">
        <v>40</v>
      </c>
      <c r="H11" s="49">
        <v>50</v>
      </c>
      <c r="I11" s="49">
        <v>60</v>
      </c>
      <c r="J11" s="49">
        <v>80</v>
      </c>
      <c r="K11" s="49">
        <v>100</v>
      </c>
      <c r="L11" s="49">
        <v>400</v>
      </c>
      <c r="M11" s="50">
        <v>400</v>
      </c>
      <c r="N11" s="50">
        <v>260</v>
      </c>
      <c r="O11" s="50">
        <v>110</v>
      </c>
      <c r="P11" s="50">
        <v>100</v>
      </c>
      <c r="Q11" s="50">
        <v>91</v>
      </c>
      <c r="R11" s="51">
        <v>40</v>
      </c>
      <c r="S11" s="51">
        <v>10</v>
      </c>
      <c r="T11" s="50">
        <v>20</v>
      </c>
      <c r="U11" s="50">
        <v>25.1</v>
      </c>
      <c r="V11" s="50">
        <v>200</v>
      </c>
      <c r="W11" s="50">
        <v>280</v>
      </c>
      <c r="X11" s="50">
        <v>400</v>
      </c>
      <c r="Y11" s="50">
        <v>430</v>
      </c>
      <c r="Z11" s="52">
        <v>370</v>
      </c>
      <c r="AA11" s="50">
        <v>200</v>
      </c>
      <c r="AB11" s="50">
        <v>110</v>
      </c>
      <c r="AC11" s="50">
        <v>100</v>
      </c>
      <c r="AD11" s="50">
        <v>100</v>
      </c>
      <c r="AE11" s="50">
        <v>20</v>
      </c>
      <c r="AF11" s="50">
        <v>75</v>
      </c>
      <c r="AG11" s="53">
        <v>456</v>
      </c>
      <c r="AH11" s="54">
        <f>MAX(B11:AF11)</f>
        <v>430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41</v>
      </c>
      <c r="C12" s="49">
        <v>41</v>
      </c>
      <c r="D12" s="49">
        <v>41</v>
      </c>
      <c r="E12" s="49">
        <v>41</v>
      </c>
      <c r="F12" s="49">
        <v>41</v>
      </c>
      <c r="G12" s="49">
        <v>41</v>
      </c>
      <c r="H12" s="49">
        <v>41</v>
      </c>
      <c r="I12" s="49">
        <v>41</v>
      </c>
      <c r="J12" s="49">
        <v>41</v>
      </c>
      <c r="K12" s="49">
        <v>41</v>
      </c>
      <c r="L12" s="49">
        <v>41</v>
      </c>
      <c r="M12" s="49">
        <v>41</v>
      </c>
      <c r="N12" s="49">
        <v>44</v>
      </c>
      <c r="O12" s="49">
        <v>44</v>
      </c>
      <c r="P12" s="49">
        <v>44</v>
      </c>
      <c r="Q12" s="49">
        <v>44</v>
      </c>
      <c r="R12" s="49">
        <v>44</v>
      </c>
      <c r="S12" s="49">
        <v>44</v>
      </c>
      <c r="T12" s="49">
        <v>44</v>
      </c>
      <c r="U12" s="49">
        <v>44</v>
      </c>
      <c r="V12" s="49">
        <v>44</v>
      </c>
      <c r="W12" s="49">
        <v>44</v>
      </c>
      <c r="X12" s="58">
        <v>44</v>
      </c>
      <c r="Y12" s="58">
        <v>44</v>
      </c>
      <c r="Z12" s="58">
        <v>44</v>
      </c>
      <c r="AA12" s="58">
        <v>44</v>
      </c>
      <c r="AB12" s="58">
        <v>44</v>
      </c>
      <c r="AC12" s="58">
        <v>44</v>
      </c>
      <c r="AD12" s="58">
        <v>44</v>
      </c>
      <c r="AE12" s="58">
        <v>44</v>
      </c>
      <c r="AF12" s="58">
        <v>44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24.3</v>
      </c>
      <c r="C13" s="49">
        <v>24.3</v>
      </c>
      <c r="D13" s="49">
        <v>24.3</v>
      </c>
      <c r="E13" s="49">
        <v>24.3</v>
      </c>
      <c r="F13" s="49">
        <v>24.3</v>
      </c>
      <c r="G13" s="49">
        <v>24.3</v>
      </c>
      <c r="H13" s="49">
        <v>24.3</v>
      </c>
      <c r="I13" s="49">
        <v>24.3</v>
      </c>
      <c r="J13" s="49">
        <v>24.3</v>
      </c>
      <c r="K13" s="49">
        <v>24.3</v>
      </c>
      <c r="L13" s="49">
        <v>24.3</v>
      </c>
      <c r="M13" s="49">
        <v>24.3</v>
      </c>
      <c r="N13" s="49">
        <v>24.1</v>
      </c>
      <c r="O13" s="49">
        <v>24.1</v>
      </c>
      <c r="P13" s="49">
        <v>24.1</v>
      </c>
      <c r="Q13" s="49">
        <v>24.1</v>
      </c>
      <c r="R13" s="49">
        <v>24.1</v>
      </c>
      <c r="S13" s="49">
        <v>24.1</v>
      </c>
      <c r="T13" s="49">
        <v>24.1</v>
      </c>
      <c r="U13" s="49">
        <v>24.1</v>
      </c>
      <c r="V13" s="49">
        <v>24.1</v>
      </c>
      <c r="W13" s="49">
        <v>23.7</v>
      </c>
      <c r="X13" s="58">
        <v>23.7</v>
      </c>
      <c r="Y13" s="58">
        <v>23.7</v>
      </c>
      <c r="Z13" s="58">
        <v>23.7</v>
      </c>
      <c r="AA13" s="58">
        <v>23.7</v>
      </c>
      <c r="AB13" s="58">
        <v>23.7</v>
      </c>
      <c r="AC13" s="58">
        <v>23.7</v>
      </c>
      <c r="AD13" s="58">
        <v>23.7</v>
      </c>
      <c r="AE13" s="58">
        <v>23.8</v>
      </c>
      <c r="AF13" s="58">
        <v>23.9</v>
      </c>
      <c r="AG13" s="59">
        <v>52.4</v>
      </c>
      <c r="AH13" s="54">
        <f t="shared" si="2"/>
        <v>24.3</v>
      </c>
      <c r="AI13" s="55">
        <f t="shared" si="3"/>
        <v>23.7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45.4</v>
      </c>
      <c r="C14" s="49">
        <v>45.4</v>
      </c>
      <c r="D14" s="49">
        <v>45.4</v>
      </c>
      <c r="E14" s="49">
        <v>45.4</v>
      </c>
      <c r="F14" s="49">
        <v>45.4</v>
      </c>
      <c r="G14" s="49">
        <v>45.4</v>
      </c>
      <c r="H14" s="49">
        <v>45.4</v>
      </c>
      <c r="I14" s="49">
        <v>45.4</v>
      </c>
      <c r="J14" s="49">
        <v>45.4</v>
      </c>
      <c r="K14" s="49">
        <v>45.4</v>
      </c>
      <c r="L14" s="49">
        <v>45.4</v>
      </c>
      <c r="M14" s="50">
        <v>45.4</v>
      </c>
      <c r="N14" s="50">
        <v>45.4</v>
      </c>
      <c r="O14" s="50">
        <v>45.4</v>
      </c>
      <c r="P14" s="50">
        <v>45.4</v>
      </c>
      <c r="Q14" s="50">
        <v>45.4</v>
      </c>
      <c r="R14" s="50">
        <v>45.4</v>
      </c>
      <c r="S14" s="50">
        <v>45.4</v>
      </c>
      <c r="T14" s="50">
        <v>45.4</v>
      </c>
      <c r="U14" s="50">
        <v>45.4</v>
      </c>
      <c r="V14" s="50">
        <v>45.4</v>
      </c>
      <c r="W14" s="50">
        <v>45</v>
      </c>
      <c r="X14" s="60">
        <v>45</v>
      </c>
      <c r="Y14" s="60">
        <v>45</v>
      </c>
      <c r="Z14" s="60">
        <v>45</v>
      </c>
      <c r="AA14" s="60">
        <v>45</v>
      </c>
      <c r="AB14" s="60">
        <v>45</v>
      </c>
      <c r="AC14" s="60">
        <v>45</v>
      </c>
      <c r="AD14" s="60">
        <v>45</v>
      </c>
      <c r="AE14" s="60">
        <v>44.8</v>
      </c>
      <c r="AF14" s="60">
        <v>45</v>
      </c>
      <c r="AG14" s="59">
        <v>50</v>
      </c>
      <c r="AH14" s="54">
        <f t="shared" si="2"/>
        <v>45.4</v>
      </c>
      <c r="AI14" s="55">
        <f t="shared" si="3"/>
        <v>44.8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23.8</v>
      </c>
      <c r="C15" s="61">
        <v>23.8</v>
      </c>
      <c r="D15" s="61">
        <v>23.8</v>
      </c>
      <c r="E15" s="61">
        <v>23.8</v>
      </c>
      <c r="F15" s="61">
        <v>23.8</v>
      </c>
      <c r="G15" s="61">
        <v>23.8</v>
      </c>
      <c r="H15" s="61">
        <v>23.8</v>
      </c>
      <c r="I15" s="61">
        <v>23.8</v>
      </c>
      <c r="J15" s="61">
        <v>23.8</v>
      </c>
      <c r="K15" s="61">
        <v>23.8</v>
      </c>
      <c r="L15" s="61">
        <v>23.8</v>
      </c>
      <c r="M15" s="50">
        <v>23.8</v>
      </c>
      <c r="N15" s="50">
        <v>23.8</v>
      </c>
      <c r="O15" s="50">
        <v>23.8</v>
      </c>
      <c r="P15" s="50">
        <v>23.8</v>
      </c>
      <c r="Q15" s="50">
        <v>23.8</v>
      </c>
      <c r="R15" s="50">
        <v>23.8</v>
      </c>
      <c r="S15" s="50">
        <v>23.8</v>
      </c>
      <c r="T15" s="50">
        <v>23.8</v>
      </c>
      <c r="U15" s="50">
        <v>23.8</v>
      </c>
      <c r="V15" s="50">
        <v>23.8</v>
      </c>
      <c r="W15" s="50">
        <v>23.6</v>
      </c>
      <c r="X15" s="60">
        <v>23.6</v>
      </c>
      <c r="Y15" s="60">
        <v>23.6</v>
      </c>
      <c r="Z15" s="60">
        <v>23.6</v>
      </c>
      <c r="AA15" s="60">
        <v>23.6</v>
      </c>
      <c r="AB15" s="60">
        <v>23.6</v>
      </c>
      <c r="AC15" s="60">
        <v>23.6</v>
      </c>
      <c r="AD15" s="60">
        <v>23.6</v>
      </c>
      <c r="AE15" s="60">
        <v>23.7</v>
      </c>
      <c r="AF15" s="60">
        <v>23.7</v>
      </c>
      <c r="AG15" s="62">
        <v>45</v>
      </c>
      <c r="AH15" s="54">
        <f t="shared" si="2"/>
        <v>23.8</v>
      </c>
      <c r="AI15" s="55">
        <f t="shared" si="3"/>
        <v>23.6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11</v>
      </c>
      <c r="C17" s="49">
        <v>11</v>
      </c>
      <c r="D17" s="49">
        <v>11</v>
      </c>
      <c r="E17" s="49">
        <v>11</v>
      </c>
      <c r="F17" s="49">
        <v>11</v>
      </c>
      <c r="G17" s="49">
        <v>11</v>
      </c>
      <c r="H17" s="49">
        <v>11</v>
      </c>
      <c r="I17" s="49">
        <v>11</v>
      </c>
      <c r="J17" s="49">
        <v>11</v>
      </c>
      <c r="K17" s="49">
        <v>11</v>
      </c>
      <c r="L17" s="49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9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13</v>
      </c>
      <c r="C22" s="49">
        <v>13</v>
      </c>
      <c r="D22" s="49">
        <v>13</v>
      </c>
      <c r="E22" s="49">
        <v>13</v>
      </c>
      <c r="F22" s="49">
        <v>13</v>
      </c>
      <c r="G22" s="49">
        <v>13</v>
      </c>
      <c r="H22" s="49">
        <v>13</v>
      </c>
      <c r="I22" s="49">
        <v>13</v>
      </c>
      <c r="J22" s="49">
        <v>13</v>
      </c>
      <c r="K22" s="49">
        <v>13</v>
      </c>
      <c r="L22" s="49">
        <v>13</v>
      </c>
      <c r="M22" s="50">
        <v>13</v>
      </c>
      <c r="N22" s="50">
        <v>13</v>
      </c>
      <c r="O22" s="50">
        <v>13</v>
      </c>
      <c r="P22" s="50">
        <v>13</v>
      </c>
      <c r="Q22" s="50">
        <v>13</v>
      </c>
      <c r="R22" s="50">
        <v>13</v>
      </c>
      <c r="S22" s="50">
        <v>13</v>
      </c>
      <c r="T22" s="50">
        <v>13</v>
      </c>
      <c r="U22" s="50">
        <v>13</v>
      </c>
      <c r="V22" s="50">
        <v>13</v>
      </c>
      <c r="W22" s="50">
        <v>13</v>
      </c>
      <c r="X22" s="50">
        <v>13</v>
      </c>
      <c r="Y22" s="50">
        <v>13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14.3</v>
      </c>
      <c r="AG22" s="59">
        <v>25</v>
      </c>
      <c r="AH22" s="54">
        <f t="shared" si="2"/>
        <v>15</v>
      </c>
      <c r="AI22" s="55">
        <f t="shared" si="3"/>
        <v>13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9</v>
      </c>
      <c r="C23" s="49">
        <v>9</v>
      </c>
      <c r="D23" s="49">
        <v>9</v>
      </c>
      <c r="E23" s="49">
        <v>9</v>
      </c>
      <c r="F23" s="49">
        <v>9</v>
      </c>
      <c r="G23" s="49">
        <v>9</v>
      </c>
      <c r="H23" s="49">
        <v>9</v>
      </c>
      <c r="I23" s="49">
        <v>9</v>
      </c>
      <c r="J23" s="49">
        <v>9</v>
      </c>
      <c r="K23" s="49">
        <v>9</v>
      </c>
      <c r="L23" s="49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9">
        <v>25</v>
      </c>
      <c r="AH23" s="54">
        <f t="shared" si="2"/>
        <v>9</v>
      </c>
      <c r="AI23" s="55">
        <f t="shared" si="3"/>
        <v>9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11</v>
      </c>
      <c r="C24" s="49">
        <v>11</v>
      </c>
      <c r="D24" s="49">
        <v>10</v>
      </c>
      <c r="E24" s="49">
        <v>10</v>
      </c>
      <c r="F24" s="49">
        <v>10</v>
      </c>
      <c r="G24" s="49">
        <v>10</v>
      </c>
      <c r="H24" s="49">
        <v>10</v>
      </c>
      <c r="I24" s="49">
        <v>10</v>
      </c>
      <c r="J24" s="49">
        <v>10</v>
      </c>
      <c r="K24" s="49">
        <v>10</v>
      </c>
      <c r="L24" s="49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9</v>
      </c>
      <c r="S24" s="50">
        <v>9</v>
      </c>
      <c r="T24" s="50">
        <v>9</v>
      </c>
      <c r="U24" s="50">
        <v>9</v>
      </c>
      <c r="V24" s="50">
        <v>9</v>
      </c>
      <c r="W24" s="50">
        <v>13.1</v>
      </c>
      <c r="X24" s="50">
        <v>13.1</v>
      </c>
      <c r="Y24" s="50">
        <v>13.1</v>
      </c>
      <c r="Z24" s="50">
        <v>13.1</v>
      </c>
      <c r="AA24" s="50">
        <v>13.1</v>
      </c>
      <c r="AB24" s="50">
        <v>13.1</v>
      </c>
      <c r="AC24" s="50">
        <v>13.1</v>
      </c>
      <c r="AD24" s="50">
        <v>13.1</v>
      </c>
      <c r="AE24" s="50">
        <v>15</v>
      </c>
      <c r="AF24" s="50">
        <v>15</v>
      </c>
      <c r="AG24" s="59">
        <v>25</v>
      </c>
      <c r="AH24" s="54">
        <f t="shared" si="2"/>
        <v>15</v>
      </c>
      <c r="AI24" s="55">
        <f t="shared" si="3"/>
        <v>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11</v>
      </c>
      <c r="C25" s="49">
        <v>11</v>
      </c>
      <c r="D25" s="49">
        <v>11</v>
      </c>
      <c r="E25" s="49">
        <v>11</v>
      </c>
      <c r="F25" s="49">
        <v>11</v>
      </c>
      <c r="G25" s="49">
        <v>11</v>
      </c>
      <c r="H25" s="49">
        <v>11</v>
      </c>
      <c r="I25" s="49">
        <v>11</v>
      </c>
      <c r="J25" s="49">
        <v>11</v>
      </c>
      <c r="K25" s="49">
        <v>11</v>
      </c>
      <c r="L25" s="49">
        <v>11</v>
      </c>
      <c r="M25" s="50">
        <v>11</v>
      </c>
      <c r="N25" s="50">
        <v>11</v>
      </c>
      <c r="O25" s="50">
        <v>11</v>
      </c>
      <c r="P25" s="50">
        <v>11</v>
      </c>
      <c r="Q25" s="50">
        <v>11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9">
        <v>24.2</v>
      </c>
      <c r="AH25" s="54">
        <f t="shared" si="2"/>
        <v>11</v>
      </c>
      <c r="AI25" s="55">
        <f t="shared" si="3"/>
        <v>11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9.5</v>
      </c>
      <c r="C26" s="49">
        <v>9.5</v>
      </c>
      <c r="D26" s="49">
        <v>9.5</v>
      </c>
      <c r="E26" s="49">
        <v>9.5</v>
      </c>
      <c r="F26" s="49">
        <v>9.5</v>
      </c>
      <c r="G26" s="49">
        <v>9.5</v>
      </c>
      <c r="H26" s="49">
        <v>9.5</v>
      </c>
      <c r="I26" s="49">
        <v>9.5</v>
      </c>
      <c r="J26" s="49">
        <v>9.5</v>
      </c>
      <c r="K26" s="49">
        <v>9.5</v>
      </c>
      <c r="L26" s="49">
        <v>9.5</v>
      </c>
      <c r="M26" s="50">
        <v>9.5</v>
      </c>
      <c r="N26" s="50">
        <v>9.5</v>
      </c>
      <c r="O26" s="50">
        <v>9.5</v>
      </c>
      <c r="P26" s="50">
        <v>9.5</v>
      </c>
      <c r="Q26" s="50">
        <v>9.5</v>
      </c>
      <c r="R26" s="50">
        <v>9.5</v>
      </c>
      <c r="S26" s="50">
        <v>9.5</v>
      </c>
      <c r="T26" s="50">
        <v>9.5</v>
      </c>
      <c r="U26" s="50">
        <v>9.5</v>
      </c>
      <c r="V26" s="50">
        <v>9.5</v>
      </c>
      <c r="W26" s="50">
        <v>9.5</v>
      </c>
      <c r="X26" s="50">
        <v>9.5</v>
      </c>
      <c r="Y26" s="50">
        <v>9.5</v>
      </c>
      <c r="Z26" s="50">
        <v>9.5</v>
      </c>
      <c r="AA26" s="50">
        <v>9.5</v>
      </c>
      <c r="AB26" s="50">
        <v>9.5</v>
      </c>
      <c r="AC26" s="50">
        <v>9.5</v>
      </c>
      <c r="AD26" s="50">
        <v>9.5</v>
      </c>
      <c r="AE26" s="50">
        <v>9.5</v>
      </c>
      <c r="AF26" s="50">
        <v>9.5</v>
      </c>
      <c r="AG26" s="59">
        <v>20</v>
      </c>
      <c r="AH26" s="54">
        <f t="shared" si="2"/>
        <v>9.5</v>
      </c>
      <c r="AI26" s="55">
        <f t="shared" si="3"/>
        <v>9.5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0">
        <v>4</v>
      </c>
      <c r="S27" s="50">
        <v>4</v>
      </c>
      <c r="T27" s="50">
        <v>4</v>
      </c>
      <c r="U27" s="50">
        <v>4</v>
      </c>
      <c r="V27" s="50">
        <v>4</v>
      </c>
      <c r="W27" s="50">
        <v>4</v>
      </c>
      <c r="X27" s="50">
        <v>4</v>
      </c>
      <c r="Y27" s="50">
        <v>4</v>
      </c>
      <c r="Z27" s="50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59">
        <v>23.5</v>
      </c>
      <c r="AH27" s="54">
        <f t="shared" si="2"/>
        <v>4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5</v>
      </c>
      <c r="C34" s="61">
        <v>5</v>
      </c>
      <c r="D34" s="61">
        <v>5</v>
      </c>
      <c r="E34" s="61">
        <v>5</v>
      </c>
      <c r="F34" s="61">
        <v>5</v>
      </c>
      <c r="G34" s="61">
        <v>5</v>
      </c>
      <c r="H34" s="61">
        <v>5</v>
      </c>
      <c r="I34" s="61">
        <v>5</v>
      </c>
      <c r="J34" s="61">
        <v>5</v>
      </c>
      <c r="K34" s="61">
        <v>5</v>
      </c>
      <c r="L34" s="61">
        <v>5</v>
      </c>
      <c r="M34" s="50">
        <v>5</v>
      </c>
      <c r="N34" s="50">
        <v>5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5</v>
      </c>
      <c r="V34" s="50">
        <v>5</v>
      </c>
      <c r="W34" s="50">
        <v>5</v>
      </c>
      <c r="X34" s="50">
        <v>5</v>
      </c>
      <c r="Y34" s="50">
        <v>5</v>
      </c>
      <c r="Z34" s="50">
        <v>5</v>
      </c>
      <c r="AA34" s="50">
        <v>5</v>
      </c>
      <c r="AB34" s="50">
        <v>5</v>
      </c>
      <c r="AC34" s="50">
        <v>5</v>
      </c>
      <c r="AD34" s="50">
        <v>5</v>
      </c>
      <c r="AE34" s="50">
        <v>5</v>
      </c>
      <c r="AF34" s="50">
        <v>5</v>
      </c>
      <c r="AG34" s="67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49</v>
      </c>
      <c r="C37" s="61">
        <v>49</v>
      </c>
      <c r="D37" s="61">
        <v>49</v>
      </c>
      <c r="E37" s="61">
        <v>58</v>
      </c>
      <c r="F37" s="61">
        <v>56</v>
      </c>
      <c r="G37" s="61">
        <f>37+21</f>
        <v>58</v>
      </c>
      <c r="H37" s="61">
        <f>37+21</f>
        <v>58</v>
      </c>
      <c r="I37" s="61">
        <f>35+19</f>
        <v>54</v>
      </c>
      <c r="J37" s="61">
        <f>35+19</f>
        <v>54</v>
      </c>
      <c r="K37" s="61">
        <f>35+19</f>
        <v>54</v>
      </c>
      <c r="L37" s="61">
        <f>35+19</f>
        <v>54</v>
      </c>
      <c r="M37" s="70">
        <v>55</v>
      </c>
      <c r="N37" s="70">
        <f>19.5+35.4</f>
        <v>54.9</v>
      </c>
      <c r="O37" s="70">
        <f>19.5+35.4</f>
        <v>54.9</v>
      </c>
      <c r="P37" s="70">
        <f>20.3+38</f>
        <v>58.3</v>
      </c>
      <c r="Q37" s="70">
        <f>20.4+37.5</f>
        <v>57.9</v>
      </c>
      <c r="R37" s="70">
        <f>20.4+37.5</f>
        <v>57.9</v>
      </c>
      <c r="S37" s="70">
        <v>40.200000000000003</v>
      </c>
      <c r="T37" s="70">
        <v>55.4</v>
      </c>
      <c r="U37" s="70">
        <v>55.4</v>
      </c>
      <c r="V37" s="70">
        <v>56.9</v>
      </c>
      <c r="W37" s="70">
        <v>54.5</v>
      </c>
      <c r="X37" s="70">
        <v>51</v>
      </c>
      <c r="Y37" s="70">
        <v>50.5</v>
      </c>
      <c r="Z37" s="70">
        <v>49.7</v>
      </c>
      <c r="AA37" s="70">
        <v>50.9</v>
      </c>
      <c r="AB37" s="70">
        <f>33+18.5</f>
        <v>51.5</v>
      </c>
      <c r="AC37" s="70">
        <f>33+18.5</f>
        <v>51.5</v>
      </c>
      <c r="AD37" s="70">
        <f>33+18.5</f>
        <v>51.5</v>
      </c>
      <c r="AE37" s="70">
        <f>19.5+35.2</f>
        <v>54.7</v>
      </c>
      <c r="AF37" s="70">
        <f>19.6+35.7</f>
        <v>55.300000000000004</v>
      </c>
      <c r="AG37" s="67">
        <v>240</v>
      </c>
      <c r="AH37" s="54">
        <f t="shared" si="2"/>
        <v>58.3</v>
      </c>
      <c r="AI37" s="55">
        <f t="shared" si="3"/>
        <v>40.200000000000003</v>
      </c>
      <c r="AK37" s="56"/>
    </row>
    <row r="38" spans="1:88" ht="15.75" thickBot="1" x14ac:dyDescent="0.3">
      <c r="A38" s="71" t="s">
        <v>46</v>
      </c>
      <c r="B38" s="72">
        <f>SUM(B11:B36)</f>
        <v>502.70000000000005</v>
      </c>
      <c r="C38" s="72">
        <f t="shared" ref="C38:AF38" si="4">SUM(C11:C36)</f>
        <v>477.7</v>
      </c>
      <c r="D38" s="72">
        <f t="shared" si="4"/>
        <v>471.7</v>
      </c>
      <c r="E38" s="72">
        <f t="shared" si="4"/>
        <v>471.7</v>
      </c>
      <c r="F38" s="72">
        <f t="shared" si="4"/>
        <v>461.7</v>
      </c>
      <c r="G38" s="72">
        <f t="shared" si="4"/>
        <v>471.7</v>
      </c>
      <c r="H38" s="72">
        <f t="shared" si="4"/>
        <v>481.7</v>
      </c>
      <c r="I38" s="72">
        <f t="shared" si="4"/>
        <v>491.7</v>
      </c>
      <c r="J38" s="72">
        <f t="shared" si="4"/>
        <v>511.70000000000005</v>
      </c>
      <c r="K38" s="72">
        <f t="shared" si="4"/>
        <v>531.70000000000005</v>
      </c>
      <c r="L38" s="72">
        <f t="shared" si="4"/>
        <v>831.7</v>
      </c>
      <c r="M38" s="72">
        <f t="shared" si="4"/>
        <v>831.7</v>
      </c>
      <c r="N38" s="72">
        <f t="shared" si="4"/>
        <v>694.5</v>
      </c>
      <c r="O38" s="72">
        <f t="shared" si="4"/>
        <v>544.5</v>
      </c>
      <c r="P38" s="72">
        <f t="shared" si="4"/>
        <v>534.5</v>
      </c>
      <c r="Q38" s="72">
        <f t="shared" si="4"/>
        <v>525.5</v>
      </c>
      <c r="R38" s="72">
        <f t="shared" si="4"/>
        <v>473.5</v>
      </c>
      <c r="S38" s="72">
        <f t="shared" si="4"/>
        <v>443.5</v>
      </c>
      <c r="T38" s="72">
        <f t="shared" si="4"/>
        <v>453.5</v>
      </c>
      <c r="U38" s="72">
        <f t="shared" si="4"/>
        <v>458.6</v>
      </c>
      <c r="V38" s="72">
        <f t="shared" si="4"/>
        <v>633.5</v>
      </c>
      <c r="W38" s="72">
        <f t="shared" si="4"/>
        <v>716.6</v>
      </c>
      <c r="X38" s="72">
        <f t="shared" si="4"/>
        <v>836.60000000000014</v>
      </c>
      <c r="Y38" s="72">
        <f t="shared" si="4"/>
        <v>866.60000000000014</v>
      </c>
      <c r="Z38" s="72">
        <f t="shared" si="4"/>
        <v>808.6</v>
      </c>
      <c r="AA38" s="72">
        <f t="shared" si="4"/>
        <v>638.6</v>
      </c>
      <c r="AB38" s="72">
        <f t="shared" si="4"/>
        <v>548.59999999999991</v>
      </c>
      <c r="AC38" s="72">
        <f t="shared" si="4"/>
        <v>538.59999999999991</v>
      </c>
      <c r="AD38" s="72">
        <f t="shared" si="4"/>
        <v>538.59999999999991</v>
      </c>
      <c r="AE38" s="72">
        <f t="shared" si="4"/>
        <v>460.5</v>
      </c>
      <c r="AF38" s="72">
        <f t="shared" si="4"/>
        <v>515.09999999999991</v>
      </c>
      <c r="AG38" s="67">
        <f>SUM(AG11:AG37)</f>
        <v>1492.8299999999997</v>
      </c>
      <c r="AH38" s="54">
        <f t="shared" si="2"/>
        <v>866.60000000000014</v>
      </c>
      <c r="AI38" s="55">
        <f t="shared" si="3"/>
        <v>443.5</v>
      </c>
      <c r="AK38" s="56"/>
    </row>
    <row r="39" spans="1:88" x14ac:dyDescent="0.25">
      <c r="A39" s="57" t="s">
        <v>47</v>
      </c>
      <c r="B39" s="49">
        <v>30</v>
      </c>
      <c r="C39" s="49">
        <v>30</v>
      </c>
      <c r="D39" s="49">
        <v>30</v>
      </c>
      <c r="E39" s="49">
        <v>30</v>
      </c>
      <c r="F39" s="49">
        <v>30</v>
      </c>
      <c r="G39" s="61">
        <v>30.3</v>
      </c>
      <c r="H39" s="61">
        <v>30</v>
      </c>
      <c r="I39" s="61">
        <v>90</v>
      </c>
      <c r="J39" s="61">
        <v>108</v>
      </c>
      <c r="K39" s="61">
        <v>95.6</v>
      </c>
      <c r="L39" s="61">
        <v>146</v>
      </c>
      <c r="M39" s="50">
        <v>145.9</v>
      </c>
      <c r="N39" s="50">
        <v>121.6</v>
      </c>
      <c r="O39" s="50">
        <v>123.4</v>
      </c>
      <c r="P39" s="50">
        <v>111.6</v>
      </c>
      <c r="Q39" s="50">
        <v>97.2</v>
      </c>
      <c r="R39" s="50">
        <v>70.8</v>
      </c>
      <c r="S39" s="50">
        <v>70.8</v>
      </c>
      <c r="T39" s="50">
        <v>71</v>
      </c>
      <c r="U39" s="50">
        <v>81.099999999999994</v>
      </c>
      <c r="V39" s="50">
        <v>120</v>
      </c>
      <c r="W39" s="50">
        <v>120</v>
      </c>
      <c r="X39" s="50">
        <v>145.19999999999999</v>
      </c>
      <c r="Y39" s="50">
        <v>145.19999999999999</v>
      </c>
      <c r="Z39" s="50">
        <v>145</v>
      </c>
      <c r="AA39" s="50">
        <v>144.80000000000001</v>
      </c>
      <c r="AB39" s="50">
        <v>136</v>
      </c>
      <c r="AC39" s="50">
        <v>136</v>
      </c>
      <c r="AD39" s="50">
        <v>110</v>
      </c>
      <c r="AE39" s="50">
        <v>71.7</v>
      </c>
      <c r="AF39" s="49">
        <v>45.5</v>
      </c>
      <c r="AG39" s="62">
        <v>144</v>
      </c>
      <c r="AH39" s="54">
        <f t="shared" si="2"/>
        <v>146</v>
      </c>
      <c r="AI39" s="55">
        <f t="shared" si="3"/>
        <v>30</v>
      </c>
      <c r="AK39" s="56"/>
    </row>
    <row r="40" spans="1:88" x14ac:dyDescent="0.25">
      <c r="A40" s="66" t="s">
        <v>48</v>
      </c>
      <c r="B40" s="61">
        <v>26</v>
      </c>
      <c r="C40" s="61">
        <v>26</v>
      </c>
      <c r="D40" s="61">
        <v>26</v>
      </c>
      <c r="E40" s="61">
        <v>26</v>
      </c>
      <c r="F40" s="61">
        <v>0</v>
      </c>
      <c r="G40" s="61">
        <v>0</v>
      </c>
      <c r="H40" s="61">
        <v>25</v>
      </c>
      <c r="I40" s="61">
        <v>25</v>
      </c>
      <c r="J40" s="61">
        <v>45</v>
      </c>
      <c r="K40" s="61">
        <v>71</v>
      </c>
      <c r="L40" s="61">
        <v>71</v>
      </c>
      <c r="M40" s="73">
        <v>70.2</v>
      </c>
      <c r="N40" s="73">
        <v>59.1</v>
      </c>
      <c r="O40" s="73">
        <v>48.5</v>
      </c>
      <c r="P40" s="73">
        <v>48.9</v>
      </c>
      <c r="Q40" s="73">
        <v>60.2</v>
      </c>
      <c r="R40" s="73">
        <v>25.5</v>
      </c>
      <c r="S40" s="73">
        <v>33.6</v>
      </c>
      <c r="T40" s="73">
        <v>44.6</v>
      </c>
      <c r="U40" s="73">
        <v>54.4</v>
      </c>
      <c r="V40" s="73">
        <v>60</v>
      </c>
      <c r="W40" s="73">
        <v>63.9</v>
      </c>
      <c r="X40" s="73">
        <v>70.3</v>
      </c>
      <c r="Y40" s="73">
        <v>70.3</v>
      </c>
      <c r="Z40" s="73">
        <v>69.400000000000006</v>
      </c>
      <c r="AA40" s="73">
        <v>70.400000000000006</v>
      </c>
      <c r="AB40" s="73">
        <v>70.400000000000006</v>
      </c>
      <c r="AC40" s="73">
        <v>55</v>
      </c>
      <c r="AD40" s="73">
        <v>47</v>
      </c>
      <c r="AE40" s="73">
        <v>23</v>
      </c>
      <c r="AF40" s="61">
        <v>0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33.5</v>
      </c>
      <c r="C41" s="61">
        <v>33.5</v>
      </c>
      <c r="D41" s="61">
        <v>33.5</v>
      </c>
      <c r="E41" s="61">
        <v>45</v>
      </c>
      <c r="F41" s="61">
        <v>45</v>
      </c>
      <c r="G41" s="61">
        <v>32</v>
      </c>
      <c r="H41" s="61">
        <v>32</v>
      </c>
      <c r="I41" s="61">
        <v>32</v>
      </c>
      <c r="J41" s="61">
        <v>49</v>
      </c>
      <c r="K41" s="61">
        <v>67.3</v>
      </c>
      <c r="L41" s="61">
        <v>67.3</v>
      </c>
      <c r="M41" s="73">
        <v>66.900000000000006</v>
      </c>
      <c r="N41" s="73">
        <v>54.9</v>
      </c>
      <c r="O41" s="73">
        <v>53.5</v>
      </c>
      <c r="P41" s="73">
        <v>35.200000000000003</v>
      </c>
      <c r="Q41" s="73">
        <v>45.7</v>
      </c>
      <c r="R41" s="73">
        <v>23.2</v>
      </c>
      <c r="S41" s="73">
        <v>23.2</v>
      </c>
      <c r="T41" s="73">
        <v>41.1</v>
      </c>
      <c r="U41" s="73">
        <v>41.2</v>
      </c>
      <c r="V41" s="73">
        <v>60</v>
      </c>
      <c r="W41" s="73">
        <v>66.7</v>
      </c>
      <c r="X41" s="73">
        <v>67.599999999999994</v>
      </c>
      <c r="Y41" s="73">
        <v>67.599999999999994</v>
      </c>
      <c r="Z41" s="73">
        <v>67</v>
      </c>
      <c r="AA41" s="73">
        <v>66.8</v>
      </c>
      <c r="AB41" s="73">
        <v>66.8</v>
      </c>
      <c r="AC41" s="73">
        <v>66.8</v>
      </c>
      <c r="AD41" s="73">
        <v>67</v>
      </c>
      <c r="AE41" s="73">
        <v>52.4</v>
      </c>
      <c r="AF41" s="61">
        <v>65</v>
      </c>
      <c r="AG41" s="67">
        <v>69</v>
      </c>
      <c r="AH41" s="54">
        <f t="shared" si="2"/>
        <v>67.599999999999994</v>
      </c>
      <c r="AI41" s="55">
        <f t="shared" si="3"/>
        <v>23.2</v>
      </c>
      <c r="AK41" s="56"/>
    </row>
    <row r="42" spans="1:88" x14ac:dyDescent="0.25">
      <c r="A42" s="66" t="s">
        <v>50</v>
      </c>
      <c r="B42" s="61">
        <v>60.9</v>
      </c>
      <c r="C42" s="61">
        <v>60.9</v>
      </c>
      <c r="D42" s="61">
        <v>60.9</v>
      </c>
      <c r="E42" s="61">
        <v>60.9</v>
      </c>
      <c r="F42" s="61">
        <v>60.9</v>
      </c>
      <c r="G42" s="61">
        <v>60.9</v>
      </c>
      <c r="H42" s="61">
        <v>60.9</v>
      </c>
      <c r="I42" s="61">
        <v>60.9</v>
      </c>
      <c r="J42" s="61">
        <v>60.9</v>
      </c>
      <c r="K42" s="61">
        <v>60.9</v>
      </c>
      <c r="L42" s="61">
        <v>60.9</v>
      </c>
      <c r="M42" s="73">
        <v>60.7</v>
      </c>
      <c r="N42" s="73">
        <v>60.7</v>
      </c>
      <c r="O42" s="73">
        <v>60.7</v>
      </c>
      <c r="P42" s="73">
        <v>58.5</v>
      </c>
      <c r="Q42" s="73">
        <v>58.5</v>
      </c>
      <c r="R42" s="73">
        <v>58.7</v>
      </c>
      <c r="S42" s="73">
        <v>58.7</v>
      </c>
      <c r="T42" s="73">
        <v>59.5</v>
      </c>
      <c r="U42" s="73">
        <v>59.5</v>
      </c>
      <c r="V42" s="73">
        <v>60.7</v>
      </c>
      <c r="W42" s="73">
        <v>60.7</v>
      </c>
      <c r="X42" s="73">
        <v>60.7</v>
      </c>
      <c r="Y42" s="73">
        <v>60.7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58.9</v>
      </c>
      <c r="AF42" s="61">
        <v>58.9</v>
      </c>
      <c r="AG42" s="67">
        <v>60</v>
      </c>
      <c r="AH42" s="54">
        <f t="shared" si="2"/>
        <v>60.9</v>
      </c>
      <c r="AI42" s="55">
        <f t="shared" si="3"/>
        <v>58.5</v>
      </c>
      <c r="AK42" s="56"/>
    </row>
    <row r="43" spans="1:88" x14ac:dyDescent="0.25">
      <c r="A43" s="66" t="s">
        <v>51</v>
      </c>
      <c r="B43" s="61">
        <v>15</v>
      </c>
      <c r="C43" s="61">
        <v>15</v>
      </c>
      <c r="D43" s="61">
        <v>15</v>
      </c>
      <c r="E43" s="61">
        <v>0</v>
      </c>
      <c r="F43" s="61">
        <v>0</v>
      </c>
      <c r="G43" s="61">
        <v>10</v>
      </c>
      <c r="H43" s="61">
        <v>10</v>
      </c>
      <c r="I43" s="61">
        <v>10</v>
      </c>
      <c r="J43" s="61">
        <v>10</v>
      </c>
      <c r="K43" s="61">
        <v>10</v>
      </c>
      <c r="L43" s="61">
        <v>24</v>
      </c>
      <c r="M43" s="50">
        <v>30</v>
      </c>
      <c r="N43" s="50">
        <v>23.3</v>
      </c>
      <c r="O43" s="50">
        <v>23.3</v>
      </c>
      <c r="P43" s="50">
        <v>23.3</v>
      </c>
      <c r="Q43" s="50">
        <v>23.3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23</v>
      </c>
      <c r="X43" s="50">
        <v>25</v>
      </c>
      <c r="Y43" s="50">
        <v>30</v>
      </c>
      <c r="Z43" s="73">
        <v>28.7</v>
      </c>
      <c r="AA43" s="73">
        <v>29</v>
      </c>
      <c r="AB43" s="73">
        <v>25</v>
      </c>
      <c r="AC43" s="73">
        <v>25</v>
      </c>
      <c r="AD43" s="73">
        <v>23</v>
      </c>
      <c r="AE43" s="73">
        <v>10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61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61">
        <v>6.4</v>
      </c>
      <c r="D48" s="61">
        <v>6.4</v>
      </c>
      <c r="E48" s="61">
        <v>6.4</v>
      </c>
      <c r="F48" s="61">
        <v>6.4</v>
      </c>
      <c r="G48" s="61">
        <v>6.4</v>
      </c>
      <c r="H48" s="61">
        <v>6.4</v>
      </c>
      <c r="I48" s="61">
        <v>6.4</v>
      </c>
      <c r="J48" s="61">
        <v>6.4</v>
      </c>
      <c r="K48" s="61">
        <v>6.4</v>
      </c>
      <c r="L48" s="61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61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50">
        <v>6.6</v>
      </c>
      <c r="N49" s="50">
        <v>6.6</v>
      </c>
      <c r="O49" s="50">
        <v>6.6</v>
      </c>
      <c r="P49" s="50">
        <v>6.6</v>
      </c>
      <c r="Q49" s="50">
        <v>6.6</v>
      </c>
      <c r="R49" s="50">
        <v>6.6</v>
      </c>
      <c r="S49" s="50">
        <v>6.6</v>
      </c>
      <c r="T49" s="50">
        <v>6.6</v>
      </c>
      <c r="U49" s="50">
        <v>6.6</v>
      </c>
      <c r="V49" s="50">
        <v>6.6</v>
      </c>
      <c r="W49" s="50">
        <v>6.6</v>
      </c>
      <c r="X49" s="50">
        <v>6.6</v>
      </c>
      <c r="Y49" s="50">
        <v>6.6</v>
      </c>
      <c r="Z49" s="50">
        <v>6.6</v>
      </c>
      <c r="AA49" s="50">
        <v>6.6</v>
      </c>
      <c r="AB49" s="50">
        <v>6.6</v>
      </c>
      <c r="AC49" s="50">
        <v>6.6</v>
      </c>
      <c r="AD49" s="50">
        <v>6.6</v>
      </c>
      <c r="AE49" s="50">
        <v>6.6</v>
      </c>
      <c r="AF49" s="61">
        <v>6.6</v>
      </c>
      <c r="AG49" s="67">
        <v>10.050000000000001</v>
      </c>
      <c r="AH49" s="54">
        <f t="shared" si="2"/>
        <v>6.6</v>
      </c>
      <c r="AI49" s="55">
        <f t="shared" si="3"/>
        <v>6.6</v>
      </c>
      <c r="AK49" s="56"/>
    </row>
    <row r="50" spans="1:37" x14ac:dyDescent="0.25">
      <c r="A50" s="66" t="s">
        <v>58</v>
      </c>
      <c r="B50" s="61">
        <v>4.4000000000000004</v>
      </c>
      <c r="C50" s="61">
        <v>4.4000000000000004</v>
      </c>
      <c r="D50" s="61">
        <v>4.4000000000000004</v>
      </c>
      <c r="E50" s="61">
        <v>4.4000000000000004</v>
      </c>
      <c r="F50" s="61">
        <v>4.4000000000000004</v>
      </c>
      <c r="G50" s="61">
        <v>4.4000000000000004</v>
      </c>
      <c r="H50" s="61">
        <v>4.4000000000000004</v>
      </c>
      <c r="I50" s="61">
        <v>4.4000000000000004</v>
      </c>
      <c r="J50" s="61">
        <v>4.4000000000000004</v>
      </c>
      <c r="K50" s="61">
        <v>4.4000000000000004</v>
      </c>
      <c r="L50" s="61">
        <v>4.4000000000000004</v>
      </c>
      <c r="M50" s="50">
        <v>4.4000000000000004</v>
      </c>
      <c r="N50" s="50">
        <v>4.4000000000000004</v>
      </c>
      <c r="O50" s="50">
        <v>4.4000000000000004</v>
      </c>
      <c r="P50" s="50">
        <v>4.4000000000000004</v>
      </c>
      <c r="Q50" s="50">
        <v>4.4000000000000004</v>
      </c>
      <c r="R50" s="50">
        <v>4.4000000000000004</v>
      </c>
      <c r="S50" s="50">
        <v>4.4000000000000004</v>
      </c>
      <c r="T50" s="50">
        <v>4.4000000000000004</v>
      </c>
      <c r="U50" s="50">
        <v>4.4000000000000004</v>
      </c>
      <c r="V50" s="50">
        <v>4.4000000000000004</v>
      </c>
      <c r="W50" s="50">
        <v>4.4000000000000004</v>
      </c>
      <c r="X50" s="50">
        <v>4.4000000000000004</v>
      </c>
      <c r="Y50" s="50">
        <v>4.4000000000000004</v>
      </c>
      <c r="Z50" s="50">
        <v>4.4000000000000004</v>
      </c>
      <c r="AA50" s="50">
        <v>4.4000000000000004</v>
      </c>
      <c r="AB50" s="50">
        <v>4.4000000000000004</v>
      </c>
      <c r="AC50" s="50">
        <v>4.4000000000000004</v>
      </c>
      <c r="AD50" s="50">
        <v>4.4000000000000004</v>
      </c>
      <c r="AE50" s="50">
        <v>4.4000000000000004</v>
      </c>
      <c r="AF50" s="61">
        <v>4.4000000000000004</v>
      </c>
      <c r="AG50" s="67">
        <v>6.2</v>
      </c>
      <c r="AH50" s="54">
        <f t="shared" si="2"/>
        <v>4.4000000000000004</v>
      </c>
      <c r="AI50" s="55">
        <f t="shared" si="3"/>
        <v>4.4000000000000004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220.54</v>
      </c>
      <c r="C52" s="72">
        <f t="shared" ref="C52:AF52" si="6">SUM(C39:C51)</f>
        <v>220.54</v>
      </c>
      <c r="D52" s="72">
        <f t="shared" si="6"/>
        <v>220.54</v>
      </c>
      <c r="E52" s="72">
        <f t="shared" si="6"/>
        <v>217.04</v>
      </c>
      <c r="F52" s="72">
        <f t="shared" si="6"/>
        <v>191.04</v>
      </c>
      <c r="G52" s="72">
        <f t="shared" si="6"/>
        <v>188.33999999999997</v>
      </c>
      <c r="H52" s="72">
        <f t="shared" si="6"/>
        <v>213.04</v>
      </c>
      <c r="I52" s="72">
        <f t="shared" si="6"/>
        <v>273.04000000000002</v>
      </c>
      <c r="J52" s="72">
        <f t="shared" si="6"/>
        <v>328.03999999999996</v>
      </c>
      <c r="K52" s="72">
        <f t="shared" si="6"/>
        <v>359.93999999999994</v>
      </c>
      <c r="L52" s="72">
        <f t="shared" si="6"/>
        <v>424.34</v>
      </c>
      <c r="M52" s="72">
        <f t="shared" si="6"/>
        <v>428.84</v>
      </c>
      <c r="N52" s="72">
        <f t="shared" si="6"/>
        <v>374.74</v>
      </c>
      <c r="O52" s="72">
        <f t="shared" si="6"/>
        <v>364.54</v>
      </c>
      <c r="P52" s="72">
        <f t="shared" si="6"/>
        <v>332.64</v>
      </c>
      <c r="Q52" s="72">
        <f t="shared" si="6"/>
        <v>340.04</v>
      </c>
      <c r="R52" s="72">
        <f t="shared" si="6"/>
        <v>233.33999999999997</v>
      </c>
      <c r="S52" s="72">
        <f t="shared" si="6"/>
        <v>241.44</v>
      </c>
      <c r="T52" s="72">
        <f t="shared" si="6"/>
        <v>271.33999999999997</v>
      </c>
      <c r="U52" s="72">
        <f t="shared" si="6"/>
        <v>291.33999999999997</v>
      </c>
      <c r="V52" s="72">
        <f t="shared" si="6"/>
        <v>365.84</v>
      </c>
      <c r="W52" s="72">
        <f t="shared" si="6"/>
        <v>389.44</v>
      </c>
      <c r="X52" s="72">
        <f t="shared" si="6"/>
        <v>423.94</v>
      </c>
      <c r="Y52" s="72">
        <f t="shared" si="6"/>
        <v>428.94</v>
      </c>
      <c r="Z52" s="72">
        <f t="shared" si="6"/>
        <v>425.63999999999993</v>
      </c>
      <c r="AA52" s="72">
        <f t="shared" si="6"/>
        <v>426.53999999999996</v>
      </c>
      <c r="AB52" s="72">
        <f t="shared" si="6"/>
        <v>413.73999999999995</v>
      </c>
      <c r="AC52" s="72">
        <f t="shared" si="6"/>
        <v>398.34</v>
      </c>
      <c r="AD52" s="72">
        <f t="shared" si="6"/>
        <v>362.53999999999996</v>
      </c>
      <c r="AE52" s="72">
        <f t="shared" si="6"/>
        <v>271.14</v>
      </c>
      <c r="AF52" s="72">
        <f t="shared" si="6"/>
        <v>224.54</v>
      </c>
      <c r="AG52" s="78">
        <f>SUM(AG39:AG51)</f>
        <v>489.91</v>
      </c>
      <c r="AH52" s="54">
        <f t="shared" si="2"/>
        <v>428.94</v>
      </c>
      <c r="AI52" s="55">
        <f t="shared" si="3"/>
        <v>188.33999999999997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</v>
      </c>
      <c r="L53" s="61">
        <v>60</v>
      </c>
      <c r="M53" s="79">
        <v>60</v>
      </c>
      <c r="N53" s="79">
        <v>45.2</v>
      </c>
      <c r="O53" s="79">
        <v>29.6</v>
      </c>
      <c r="P53" s="79">
        <v>30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25</v>
      </c>
      <c r="W53" s="50">
        <v>25.2</v>
      </c>
      <c r="X53" s="50">
        <v>45.8</v>
      </c>
      <c r="Y53" s="50">
        <v>40.799999999999997</v>
      </c>
      <c r="Z53" s="50">
        <v>40.6</v>
      </c>
      <c r="AA53" s="50">
        <v>25</v>
      </c>
      <c r="AB53" s="50">
        <v>19</v>
      </c>
      <c r="AC53" s="50">
        <v>14</v>
      </c>
      <c r="AD53" s="50">
        <v>14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6.4</v>
      </c>
      <c r="L54" s="61">
        <v>30</v>
      </c>
      <c r="M54" s="79">
        <v>30</v>
      </c>
      <c r="N54" s="79">
        <v>21</v>
      </c>
      <c r="O54" s="79">
        <v>14.4</v>
      </c>
      <c r="P54" s="79">
        <v>15.1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4.5999999999999996</v>
      </c>
      <c r="W54" s="73">
        <v>10.1</v>
      </c>
      <c r="X54" s="73">
        <v>21.8</v>
      </c>
      <c r="Y54" s="73">
        <v>18.3</v>
      </c>
      <c r="Z54" s="73">
        <v>17.5</v>
      </c>
      <c r="AA54" s="73">
        <v>15.3</v>
      </c>
      <c r="AB54" s="73">
        <v>9.4</v>
      </c>
      <c r="AC54" s="73">
        <v>6</v>
      </c>
      <c r="AD54" s="73">
        <v>6</v>
      </c>
      <c r="AE54" s="73">
        <v>0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2.2999999999999998</v>
      </c>
      <c r="L55" s="74">
        <v>10.5</v>
      </c>
      <c r="M55" s="81">
        <v>10.5</v>
      </c>
      <c r="N55" s="81">
        <v>7.7</v>
      </c>
      <c r="O55" s="81">
        <v>5.3</v>
      </c>
      <c r="P55" s="81">
        <v>5.5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1.7</v>
      </c>
      <c r="W55" s="80">
        <v>3.7</v>
      </c>
      <c r="X55" s="80">
        <v>8</v>
      </c>
      <c r="Y55" s="80">
        <v>6.6</v>
      </c>
      <c r="Z55" s="80">
        <v>6.4</v>
      </c>
      <c r="AA55" s="80">
        <v>5.6</v>
      </c>
      <c r="AB55" s="80">
        <v>3.5</v>
      </c>
      <c r="AC55" s="80">
        <v>2</v>
      </c>
      <c r="AD55" s="80">
        <v>2</v>
      </c>
      <c r="AE55" s="80">
        <v>0</v>
      </c>
      <c r="AF55" s="80">
        <v>0</v>
      </c>
      <c r="AG55" s="82">
        <v>14</v>
      </c>
      <c r="AH55" s="54">
        <f t="shared" si="2"/>
        <v>10.5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38.699999999999996</v>
      </c>
      <c r="L56" s="72">
        <f t="shared" si="7"/>
        <v>100.5</v>
      </c>
      <c r="M56" s="72">
        <f t="shared" si="7"/>
        <v>100.5</v>
      </c>
      <c r="N56" s="72">
        <f t="shared" si="7"/>
        <v>73.900000000000006</v>
      </c>
      <c r="O56" s="72">
        <f t="shared" si="7"/>
        <v>49.3</v>
      </c>
      <c r="P56" s="72">
        <f t="shared" si="7"/>
        <v>50.6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31.3</v>
      </c>
      <c r="W56" s="72">
        <f t="shared" si="7"/>
        <v>39</v>
      </c>
      <c r="X56" s="72">
        <f t="shared" si="7"/>
        <v>75.599999999999994</v>
      </c>
      <c r="Y56" s="72">
        <f t="shared" si="7"/>
        <v>65.699999999999989</v>
      </c>
      <c r="Z56" s="72">
        <f t="shared" si="7"/>
        <v>64.5</v>
      </c>
      <c r="AA56" s="72">
        <f t="shared" si="7"/>
        <v>45.9</v>
      </c>
      <c r="AB56" s="72">
        <f t="shared" si="7"/>
        <v>31.9</v>
      </c>
      <c r="AC56" s="72">
        <f t="shared" si="7"/>
        <v>22</v>
      </c>
      <c r="AD56" s="72">
        <f t="shared" si="7"/>
        <v>22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100.5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62</v>
      </c>
      <c r="C57" s="50">
        <v>59</v>
      </c>
      <c r="D57" s="50">
        <v>60</v>
      </c>
      <c r="E57" s="50">
        <v>60</v>
      </c>
      <c r="F57" s="50">
        <v>58</v>
      </c>
      <c r="G57" s="50">
        <v>60</v>
      </c>
      <c r="H57" s="50">
        <v>60</v>
      </c>
      <c r="I57" s="50">
        <v>71</v>
      </c>
      <c r="J57" s="50">
        <v>62</v>
      </c>
      <c r="K57" s="50">
        <v>68</v>
      </c>
      <c r="L57" s="50">
        <v>56</v>
      </c>
      <c r="M57" s="50">
        <v>67</v>
      </c>
      <c r="N57" s="50">
        <v>71.5</v>
      </c>
      <c r="O57" s="50">
        <v>63.5</v>
      </c>
      <c r="P57" s="50">
        <v>60.8</v>
      </c>
      <c r="Q57" s="50">
        <v>64.77</v>
      </c>
      <c r="R57" s="50">
        <v>66</v>
      </c>
      <c r="S57" s="50">
        <v>63.69</v>
      </c>
      <c r="T57" s="50">
        <v>69.5</v>
      </c>
      <c r="U57" s="50">
        <v>76</v>
      </c>
      <c r="V57" s="50">
        <v>64</v>
      </c>
      <c r="W57" s="50">
        <v>64</v>
      </c>
      <c r="X57" s="50">
        <v>73.599999999999994</v>
      </c>
      <c r="Y57" s="50">
        <v>68.92</v>
      </c>
      <c r="Z57" s="50">
        <v>63.6</v>
      </c>
      <c r="AA57" s="50">
        <v>69</v>
      </c>
      <c r="AB57" s="50">
        <v>67</v>
      </c>
      <c r="AC57" s="50">
        <v>66</v>
      </c>
      <c r="AD57" s="50">
        <v>65</v>
      </c>
      <c r="AE57" s="50">
        <v>64.5</v>
      </c>
      <c r="AF57" s="50">
        <v>63.5</v>
      </c>
      <c r="AG57" s="62"/>
      <c r="AH57" s="54">
        <f t="shared" si="2"/>
        <v>76</v>
      </c>
      <c r="AI57" s="55">
        <f t="shared" si="3"/>
        <v>56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141</v>
      </c>
      <c r="C59" s="73">
        <v>128</v>
      </c>
      <c r="D59" s="73">
        <v>126</v>
      </c>
      <c r="E59" s="73">
        <v>123</v>
      </c>
      <c r="F59" s="73">
        <v>170</v>
      </c>
      <c r="G59" s="73">
        <v>205</v>
      </c>
      <c r="H59" s="50">
        <v>230</v>
      </c>
      <c r="I59" s="50">
        <v>250</v>
      </c>
      <c r="J59" s="50">
        <v>310</v>
      </c>
      <c r="K59" s="50">
        <v>287</v>
      </c>
      <c r="L59" s="50">
        <v>65</v>
      </c>
      <c r="M59" s="73">
        <v>60</v>
      </c>
      <c r="N59" s="73">
        <f>167</f>
        <v>167</v>
      </c>
      <c r="O59" s="73">
        <v>297</v>
      </c>
      <c r="P59" s="73">
        <v>304</v>
      </c>
      <c r="Q59" s="73">
        <v>322</v>
      </c>
      <c r="R59" s="73">
        <v>340</v>
      </c>
      <c r="S59" s="73">
        <v>337.9</v>
      </c>
      <c r="T59" s="73">
        <v>344.1</v>
      </c>
      <c r="U59" s="73">
        <v>339</v>
      </c>
      <c r="V59" s="73">
        <v>87</v>
      </c>
      <c r="W59" s="73">
        <v>81.7</v>
      </c>
      <c r="X59" s="84">
        <v>4.3</v>
      </c>
      <c r="Y59" s="84">
        <v>0</v>
      </c>
      <c r="Z59" s="84">
        <v>0</v>
      </c>
      <c r="AA59" s="84">
        <v>170</v>
      </c>
      <c r="AB59" s="73">
        <v>264</v>
      </c>
      <c r="AC59" s="73">
        <v>248</v>
      </c>
      <c r="AD59" s="73">
        <v>248</v>
      </c>
      <c r="AE59" s="73">
        <v>272</v>
      </c>
      <c r="AF59" s="73">
        <v>169</v>
      </c>
      <c r="AG59" s="85"/>
      <c r="AH59" s="54">
        <f t="shared" si="2"/>
        <v>344.1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0</v>
      </c>
      <c r="N60" s="73">
        <v>43.9</v>
      </c>
      <c r="O60" s="73">
        <v>44</v>
      </c>
      <c r="P60" s="73">
        <v>44</v>
      </c>
      <c r="Q60" s="73">
        <v>47.1</v>
      </c>
      <c r="R60" s="73">
        <v>0</v>
      </c>
      <c r="S60" s="73">
        <v>47</v>
      </c>
      <c r="T60" s="73">
        <v>47</v>
      </c>
      <c r="U60" s="73">
        <v>44</v>
      </c>
      <c r="V60" s="73">
        <v>30.7</v>
      </c>
      <c r="W60" s="73">
        <v>32</v>
      </c>
      <c r="X60" s="73">
        <v>32</v>
      </c>
      <c r="Y60" s="73">
        <v>32</v>
      </c>
      <c r="Z60" s="73">
        <v>37.9</v>
      </c>
      <c r="AA60" s="73">
        <v>38</v>
      </c>
      <c r="AB60" s="73">
        <v>36</v>
      </c>
      <c r="AC60" s="73">
        <v>33</v>
      </c>
      <c r="AD60" s="73">
        <v>30</v>
      </c>
      <c r="AE60" s="73">
        <v>0</v>
      </c>
      <c r="AF60" s="58">
        <v>0</v>
      </c>
      <c r="AG60" s="85"/>
      <c r="AH60" s="54">
        <f t="shared" si="2"/>
        <v>47.1</v>
      </c>
      <c r="AI60" s="55">
        <f t="shared" si="3"/>
        <v>0</v>
      </c>
      <c r="AK60" s="56"/>
    </row>
    <row r="61" spans="1:37" x14ac:dyDescent="0.25">
      <c r="A61" s="66" t="s">
        <v>69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65.2</v>
      </c>
      <c r="T61" s="50">
        <v>60.6</v>
      </c>
      <c r="U61" s="50">
        <v>54.3</v>
      </c>
      <c r="V61" s="50">
        <v>60.9</v>
      </c>
      <c r="W61" s="50">
        <v>62</v>
      </c>
      <c r="X61" s="50">
        <v>71.099999999999994</v>
      </c>
      <c r="Y61" s="50">
        <v>71.599999999999994</v>
      </c>
      <c r="Z61" s="50">
        <v>74.900000000000006</v>
      </c>
      <c r="AA61" s="50">
        <v>72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74.900000000000006</v>
      </c>
      <c r="AI61" s="55">
        <f t="shared" si="3"/>
        <v>0</v>
      </c>
      <c r="AK61" s="56"/>
    </row>
    <row r="62" spans="1:37" x14ac:dyDescent="0.25">
      <c r="A62" s="66" t="s">
        <v>70</v>
      </c>
      <c r="B62" s="58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73">
        <v>0</v>
      </c>
      <c r="N62" s="73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5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7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58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50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58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203</v>
      </c>
      <c r="C68" s="72">
        <f>SUM(C57:C67)</f>
        <v>187</v>
      </c>
      <c r="D68" s="72">
        <f t="shared" ref="D68:AF68" si="8">SUM(D57:D67)</f>
        <v>186</v>
      </c>
      <c r="E68" s="72">
        <f t="shared" si="8"/>
        <v>183</v>
      </c>
      <c r="F68" s="72">
        <f t="shared" si="8"/>
        <v>228</v>
      </c>
      <c r="G68" s="72">
        <f t="shared" si="8"/>
        <v>265</v>
      </c>
      <c r="H68" s="72">
        <f t="shared" si="8"/>
        <v>290</v>
      </c>
      <c r="I68" s="72">
        <f t="shared" si="8"/>
        <v>321</v>
      </c>
      <c r="J68" s="72">
        <f t="shared" si="8"/>
        <v>372</v>
      </c>
      <c r="K68" s="72">
        <f t="shared" si="8"/>
        <v>355</v>
      </c>
      <c r="L68" s="72">
        <f t="shared" si="8"/>
        <v>121</v>
      </c>
      <c r="M68" s="72">
        <f t="shared" si="8"/>
        <v>127</v>
      </c>
      <c r="N68" s="72">
        <f t="shared" si="8"/>
        <v>282.39999999999998</v>
      </c>
      <c r="O68" s="72">
        <f t="shared" si="8"/>
        <v>404.5</v>
      </c>
      <c r="P68" s="72">
        <f t="shared" si="8"/>
        <v>408.8</v>
      </c>
      <c r="Q68" s="72">
        <f t="shared" si="8"/>
        <v>433.87</v>
      </c>
      <c r="R68" s="72">
        <f t="shared" si="8"/>
        <v>406</v>
      </c>
      <c r="S68" s="72">
        <f t="shared" si="8"/>
        <v>513.79</v>
      </c>
      <c r="T68" s="72">
        <f t="shared" si="8"/>
        <v>521.20000000000005</v>
      </c>
      <c r="U68" s="72">
        <f t="shared" si="8"/>
        <v>513.29999999999995</v>
      </c>
      <c r="V68" s="72">
        <f t="shared" si="8"/>
        <v>242.6</v>
      </c>
      <c r="W68" s="72">
        <f t="shared" si="8"/>
        <v>239.7</v>
      </c>
      <c r="X68" s="72">
        <f t="shared" si="8"/>
        <v>181</v>
      </c>
      <c r="Y68" s="72">
        <f t="shared" si="8"/>
        <v>172.51999999999998</v>
      </c>
      <c r="Z68" s="72">
        <f t="shared" si="8"/>
        <v>176.4</v>
      </c>
      <c r="AA68" s="72">
        <f t="shared" si="8"/>
        <v>349</v>
      </c>
      <c r="AB68" s="72">
        <f t="shared" si="8"/>
        <v>367</v>
      </c>
      <c r="AC68" s="72">
        <f t="shared" si="8"/>
        <v>347</v>
      </c>
      <c r="AD68" s="72">
        <f t="shared" si="8"/>
        <v>343</v>
      </c>
      <c r="AE68" s="72">
        <f t="shared" si="8"/>
        <v>336.5</v>
      </c>
      <c r="AF68" s="72">
        <f t="shared" si="8"/>
        <v>232.5</v>
      </c>
      <c r="AG68" s="78">
        <f>SUM(AG57:AG67)</f>
        <v>0</v>
      </c>
      <c r="AH68" s="54">
        <f t="shared" si="2"/>
        <v>521.20000000000005</v>
      </c>
      <c r="AI68" s="55">
        <f t="shared" si="3"/>
        <v>121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926.24</v>
      </c>
      <c r="C73" s="89">
        <f>C68+C56+C52+C38+C72</f>
        <v>885.24</v>
      </c>
      <c r="D73" s="89">
        <f t="shared" ref="D73:AG73" si="10">D68+D56+D52+D38+D72</f>
        <v>878.24</v>
      </c>
      <c r="E73" s="89">
        <f t="shared" si="10"/>
        <v>871.74</v>
      </c>
      <c r="F73" s="89">
        <f t="shared" si="10"/>
        <v>880.74</v>
      </c>
      <c r="G73" s="89">
        <f t="shared" si="10"/>
        <v>925.04</v>
      </c>
      <c r="H73" s="89">
        <f t="shared" si="10"/>
        <v>984.74</v>
      </c>
      <c r="I73" s="89">
        <f t="shared" si="10"/>
        <v>1085.74</v>
      </c>
      <c r="J73" s="89">
        <f t="shared" si="10"/>
        <v>1211.74</v>
      </c>
      <c r="K73" s="89">
        <f t="shared" si="10"/>
        <v>1285.3399999999999</v>
      </c>
      <c r="L73" s="89">
        <f t="shared" si="10"/>
        <v>1477.54</v>
      </c>
      <c r="M73" s="89">
        <f t="shared" si="10"/>
        <v>1488.04</v>
      </c>
      <c r="N73" s="89">
        <f t="shared" si="10"/>
        <v>1425.54</v>
      </c>
      <c r="O73" s="89">
        <f t="shared" si="10"/>
        <v>1362.8400000000001</v>
      </c>
      <c r="P73" s="89">
        <f t="shared" si="10"/>
        <v>1326.54</v>
      </c>
      <c r="Q73" s="89">
        <f t="shared" si="10"/>
        <v>1299.4100000000001</v>
      </c>
      <c r="R73" s="89">
        <f t="shared" si="10"/>
        <v>1112.8399999999999</v>
      </c>
      <c r="S73" s="89">
        <f t="shared" si="10"/>
        <v>1198.73</v>
      </c>
      <c r="T73" s="89">
        <f t="shared" si="10"/>
        <v>1246.04</v>
      </c>
      <c r="U73" s="89">
        <f t="shared" si="10"/>
        <v>1263.2399999999998</v>
      </c>
      <c r="V73" s="89">
        <f t="shared" si="10"/>
        <v>1273.24</v>
      </c>
      <c r="W73" s="89">
        <f t="shared" si="10"/>
        <v>1384.74</v>
      </c>
      <c r="X73" s="89">
        <f t="shared" si="10"/>
        <v>1517.14</v>
      </c>
      <c r="Y73" s="89">
        <f t="shared" si="10"/>
        <v>1533.7600000000002</v>
      </c>
      <c r="Z73" s="89">
        <f t="shared" si="10"/>
        <v>1475.1399999999999</v>
      </c>
      <c r="AA73" s="89">
        <f t="shared" si="10"/>
        <v>1460.04</v>
      </c>
      <c r="AB73" s="89">
        <f t="shared" si="10"/>
        <v>1361.2399999999998</v>
      </c>
      <c r="AC73" s="89">
        <f t="shared" si="10"/>
        <v>1305.9399999999998</v>
      </c>
      <c r="AD73" s="89">
        <f t="shared" si="10"/>
        <v>1266.1399999999999</v>
      </c>
      <c r="AE73" s="89">
        <f t="shared" si="10"/>
        <v>1068.1399999999999</v>
      </c>
      <c r="AF73" s="89">
        <f t="shared" si="10"/>
        <v>972.13999999999987</v>
      </c>
      <c r="AG73" s="89">
        <f t="shared" si="10"/>
        <v>2144.14</v>
      </c>
      <c r="AH73" s="54">
        <f t="shared" si="2"/>
        <v>1533.7600000000002</v>
      </c>
      <c r="AI73" s="55">
        <f t="shared" si="3"/>
        <v>871.74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>
        <v>30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926.24</v>
      </c>
      <c r="C75" s="89">
        <f>C73+C74</f>
        <v>885.24</v>
      </c>
      <c r="D75" s="89">
        <f t="shared" ref="D75:AF75" si="11">D72+D68+D56+D52+D38+D74</f>
        <v>878.24</v>
      </c>
      <c r="E75" s="89">
        <f t="shared" si="11"/>
        <v>871.74</v>
      </c>
      <c r="F75" s="89">
        <f t="shared" si="11"/>
        <v>880.74</v>
      </c>
      <c r="G75" s="89">
        <f t="shared" si="11"/>
        <v>925.04</v>
      </c>
      <c r="H75" s="89">
        <f t="shared" si="11"/>
        <v>984.74</v>
      </c>
      <c r="I75" s="89">
        <f t="shared" si="11"/>
        <v>1085.74</v>
      </c>
      <c r="J75" s="89">
        <f t="shared" si="11"/>
        <v>1211.74</v>
      </c>
      <c r="K75" s="89">
        <f t="shared" si="11"/>
        <v>1285.3399999999999</v>
      </c>
      <c r="L75" s="89">
        <f t="shared" si="11"/>
        <v>1477.54</v>
      </c>
      <c r="M75" s="89">
        <f t="shared" si="11"/>
        <v>1488.04</v>
      </c>
      <c r="N75" s="89">
        <f t="shared" si="11"/>
        <v>1425.54</v>
      </c>
      <c r="O75" s="89">
        <f t="shared" si="11"/>
        <v>1362.8400000000001</v>
      </c>
      <c r="P75" s="89">
        <f t="shared" si="11"/>
        <v>1326.54</v>
      </c>
      <c r="Q75" s="89">
        <f t="shared" si="11"/>
        <v>1299.4100000000001</v>
      </c>
      <c r="R75" s="89">
        <f t="shared" si="11"/>
        <v>1142.8399999999999</v>
      </c>
      <c r="S75" s="89">
        <f t="shared" si="11"/>
        <v>1198.73</v>
      </c>
      <c r="T75" s="89">
        <f t="shared" si="11"/>
        <v>1246.04</v>
      </c>
      <c r="U75" s="89">
        <f t="shared" si="11"/>
        <v>1263.2399999999998</v>
      </c>
      <c r="V75" s="89">
        <f t="shared" si="11"/>
        <v>1273.24</v>
      </c>
      <c r="W75" s="89">
        <f t="shared" si="11"/>
        <v>1384.74</v>
      </c>
      <c r="X75" s="89">
        <f t="shared" si="11"/>
        <v>1517.14</v>
      </c>
      <c r="Y75" s="89">
        <f t="shared" si="11"/>
        <v>1533.7600000000002</v>
      </c>
      <c r="Z75" s="89">
        <f t="shared" si="11"/>
        <v>1475.1399999999999</v>
      </c>
      <c r="AA75" s="89">
        <f t="shared" si="11"/>
        <v>1460.04</v>
      </c>
      <c r="AB75" s="89">
        <f t="shared" si="11"/>
        <v>1361.2399999999998</v>
      </c>
      <c r="AC75" s="89">
        <f t="shared" si="11"/>
        <v>1305.9399999999998</v>
      </c>
      <c r="AD75" s="89">
        <f t="shared" si="11"/>
        <v>1266.1399999999999</v>
      </c>
      <c r="AE75" s="89">
        <f t="shared" si="11"/>
        <v>1068.1399999999999</v>
      </c>
      <c r="AF75" s="89">
        <f t="shared" si="11"/>
        <v>972.13999999999987</v>
      </c>
      <c r="AG75" s="78">
        <f>AG72+AG68+AG56+AG52+AG38+AG74</f>
        <v>2144.14</v>
      </c>
      <c r="AH75" s="54">
        <f t="shared" si="2"/>
        <v>1533.7600000000002</v>
      </c>
      <c r="AI75" s="55">
        <f t="shared" si="3"/>
        <v>871.74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1852.48</v>
      </c>
      <c r="C83" s="72">
        <f t="shared" ref="C83:AG83" si="20">SUM(C70:C82)</f>
        <v>1770.48</v>
      </c>
      <c r="D83" s="72">
        <f t="shared" si="20"/>
        <v>1756.48</v>
      </c>
      <c r="E83" s="72">
        <f t="shared" si="20"/>
        <v>1743.48</v>
      </c>
      <c r="F83" s="72">
        <f t="shared" si="20"/>
        <v>1761.48</v>
      </c>
      <c r="G83" s="72">
        <f t="shared" si="20"/>
        <v>1850.08</v>
      </c>
      <c r="H83" s="72">
        <f t="shared" si="20"/>
        <v>1969.48</v>
      </c>
      <c r="I83" s="72">
        <f t="shared" si="20"/>
        <v>2171.48</v>
      </c>
      <c r="J83" s="72">
        <f t="shared" si="20"/>
        <v>2423.48</v>
      </c>
      <c r="K83" s="72">
        <f t="shared" si="20"/>
        <v>2570.6799999999998</v>
      </c>
      <c r="L83" s="72">
        <f t="shared" si="20"/>
        <v>2955.08</v>
      </c>
      <c r="M83" s="72">
        <f t="shared" si="20"/>
        <v>2976.08</v>
      </c>
      <c r="N83" s="72">
        <f t="shared" si="20"/>
        <v>2851.08</v>
      </c>
      <c r="O83" s="72">
        <f t="shared" si="20"/>
        <v>2725.6800000000003</v>
      </c>
      <c r="P83" s="72">
        <f t="shared" si="20"/>
        <v>2653.08</v>
      </c>
      <c r="Q83" s="72">
        <f t="shared" si="20"/>
        <v>2598.8200000000002</v>
      </c>
      <c r="R83" s="72">
        <f t="shared" si="20"/>
        <v>2285.6799999999998</v>
      </c>
      <c r="S83" s="72">
        <f t="shared" si="20"/>
        <v>2397.46</v>
      </c>
      <c r="T83" s="72">
        <f t="shared" si="20"/>
        <v>2492.08</v>
      </c>
      <c r="U83" s="72">
        <f t="shared" si="20"/>
        <v>2526.4799999999996</v>
      </c>
      <c r="V83" s="72">
        <f t="shared" si="20"/>
        <v>2546.48</v>
      </c>
      <c r="W83" s="72">
        <f t="shared" si="20"/>
        <v>2769.48</v>
      </c>
      <c r="X83" s="72">
        <f t="shared" si="20"/>
        <v>3034.28</v>
      </c>
      <c r="Y83" s="72">
        <f t="shared" si="20"/>
        <v>3067.5200000000004</v>
      </c>
      <c r="Z83" s="72">
        <f t="shared" si="20"/>
        <v>2950.2799999999997</v>
      </c>
      <c r="AA83" s="72">
        <f t="shared" si="20"/>
        <v>2920.08</v>
      </c>
      <c r="AB83" s="72">
        <f t="shared" si="20"/>
        <v>2722.4799999999996</v>
      </c>
      <c r="AC83" s="72">
        <f t="shared" si="20"/>
        <v>2611.8799999999997</v>
      </c>
      <c r="AD83" s="72">
        <f t="shared" si="20"/>
        <v>2532.2799999999997</v>
      </c>
      <c r="AE83" s="72">
        <f t="shared" si="20"/>
        <v>2136.2799999999997</v>
      </c>
      <c r="AF83" s="72">
        <f t="shared" si="20"/>
        <v>1944.2799999999997</v>
      </c>
      <c r="AG83" s="78">
        <f t="shared" si="20"/>
        <v>4360.08</v>
      </c>
      <c r="AH83" s="54">
        <f t="shared" si="13"/>
        <v>3067.5200000000004</v>
      </c>
      <c r="AI83" s="55">
        <f t="shared" si="14"/>
        <v>1743.48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49.97</v>
      </c>
      <c r="C84" s="95">
        <v>50</v>
      </c>
      <c r="D84" s="95">
        <v>50</v>
      </c>
      <c r="E84" s="95">
        <v>49.942999999999998</v>
      </c>
      <c r="F84" s="95">
        <v>49.975000000000001</v>
      </c>
      <c r="G84" s="95">
        <v>50.033999999999999</v>
      </c>
      <c r="H84" s="95">
        <v>50.055999999999997</v>
      </c>
      <c r="I84" s="95">
        <v>49.988</v>
      </c>
      <c r="J84" s="95">
        <v>49.96</v>
      </c>
      <c r="K84" s="95">
        <v>49.975999999999999</v>
      </c>
      <c r="L84" s="95">
        <v>49.92</v>
      </c>
      <c r="M84" s="95">
        <v>50.04</v>
      </c>
      <c r="N84" s="95">
        <v>50.04</v>
      </c>
      <c r="O84" s="95">
        <v>50.1</v>
      </c>
      <c r="P84" s="95">
        <v>50.08</v>
      </c>
      <c r="Q84" s="95">
        <v>49.99</v>
      </c>
      <c r="R84" s="95">
        <v>49.936999999999998</v>
      </c>
      <c r="S84" s="95">
        <v>50.064999999999998</v>
      </c>
      <c r="T84" s="95">
        <v>50.064</v>
      </c>
      <c r="U84" s="95">
        <v>50.018000000000001</v>
      </c>
      <c r="V84" s="95">
        <v>50.042000000000002</v>
      </c>
      <c r="W84" s="95">
        <v>50.072000000000003</v>
      </c>
      <c r="X84" s="95">
        <v>50.021000000000001</v>
      </c>
      <c r="Y84" s="95">
        <v>50.042000000000002</v>
      </c>
      <c r="Z84" s="95">
        <v>49.973999999999997</v>
      </c>
      <c r="AA84" s="95">
        <v>49.970999999999997</v>
      </c>
      <c r="AB84" s="95">
        <v>50.066000000000003</v>
      </c>
      <c r="AC84" s="95">
        <v>49.999000000000002</v>
      </c>
      <c r="AD84" s="95">
        <v>50.015999999999998</v>
      </c>
      <c r="AE84" s="95">
        <v>49.98</v>
      </c>
      <c r="AF84" s="95">
        <v>50.01</v>
      </c>
      <c r="AG84" s="96"/>
      <c r="AH84" s="54">
        <f t="shared" si="13"/>
        <v>50.1</v>
      </c>
      <c r="AI84" s="55">
        <f t="shared" si="14"/>
        <v>49.92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127</v>
      </c>
      <c r="C85" s="73">
        <v>128</v>
      </c>
      <c r="D85" s="73">
        <v>128</v>
      </c>
      <c r="E85" s="73">
        <v>127.5</v>
      </c>
      <c r="F85" s="73">
        <v>127.1</v>
      </c>
      <c r="G85" s="73">
        <v>126.7</v>
      </c>
      <c r="H85" s="73">
        <v>126.6</v>
      </c>
      <c r="I85" s="73">
        <v>125.2</v>
      </c>
      <c r="J85" s="73">
        <v>123.3</v>
      </c>
      <c r="K85" s="73">
        <v>123.7</v>
      </c>
      <c r="L85" s="73">
        <v>121.6</v>
      </c>
      <c r="M85" s="73">
        <v>122.5</v>
      </c>
      <c r="N85" s="73">
        <v>122.5</v>
      </c>
      <c r="O85" s="73">
        <v>123.3</v>
      </c>
      <c r="P85" s="73">
        <v>123.1</v>
      </c>
      <c r="Q85" s="73">
        <v>121</v>
      </c>
      <c r="R85" s="73">
        <v>122</v>
      </c>
      <c r="S85" s="73">
        <v>123.4</v>
      </c>
      <c r="T85" s="73">
        <v>123.4</v>
      </c>
      <c r="U85" s="98">
        <v>123</v>
      </c>
      <c r="V85" s="98">
        <v>124.6</v>
      </c>
      <c r="W85" s="98">
        <v>123</v>
      </c>
      <c r="X85" s="98">
        <v>123.5</v>
      </c>
      <c r="Y85" s="98">
        <v>124</v>
      </c>
      <c r="Z85" s="98">
        <v>124.8</v>
      </c>
      <c r="AA85" s="98">
        <v>125.5</v>
      </c>
      <c r="AB85" s="73">
        <v>123.6</v>
      </c>
      <c r="AC85" s="73">
        <v>123.6</v>
      </c>
      <c r="AD85" s="73">
        <v>125.5</v>
      </c>
      <c r="AE85" s="73">
        <v>126.7</v>
      </c>
      <c r="AF85" s="73">
        <v>126.6</v>
      </c>
      <c r="AG85" s="99"/>
      <c r="AH85" s="54">
        <f t="shared" si="13"/>
        <v>128</v>
      </c>
      <c r="AI85" s="55">
        <f t="shared" si="14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</v>
      </c>
      <c r="C86" s="73">
        <v>131.69999999999999</v>
      </c>
      <c r="D86" s="73">
        <v>132</v>
      </c>
      <c r="E86" s="73">
        <v>131.69999999999999</v>
      </c>
      <c r="F86" s="73">
        <v>131.30000000000001</v>
      </c>
      <c r="G86" s="73">
        <v>130.69999999999999</v>
      </c>
      <c r="H86" s="73">
        <v>66.099999999999994</v>
      </c>
      <c r="I86" s="73">
        <v>128.9</v>
      </c>
      <c r="J86" s="73">
        <v>127.5</v>
      </c>
      <c r="K86" s="73">
        <v>127.1</v>
      </c>
      <c r="L86" s="73">
        <v>124.7</v>
      </c>
      <c r="M86" s="73">
        <v>125.4</v>
      </c>
      <c r="N86" s="73">
        <v>125.4</v>
      </c>
      <c r="O86" s="73">
        <v>125.9</v>
      </c>
      <c r="P86" s="73">
        <v>125.4</v>
      </c>
      <c r="Q86" s="73">
        <v>124</v>
      </c>
      <c r="R86" s="73">
        <v>125</v>
      </c>
      <c r="S86" s="73">
        <v>125.7</v>
      </c>
      <c r="T86" s="73">
        <v>125.7</v>
      </c>
      <c r="U86" s="98">
        <v>125.9</v>
      </c>
      <c r="V86" s="98">
        <v>126.6</v>
      </c>
      <c r="W86" s="98">
        <v>125.2</v>
      </c>
      <c r="X86" s="98">
        <v>124.9</v>
      </c>
      <c r="Y86" s="98">
        <v>125.4</v>
      </c>
      <c r="Z86" s="98">
        <v>126.1</v>
      </c>
      <c r="AA86" s="98">
        <v>126.8</v>
      </c>
      <c r="AB86" s="73">
        <v>126</v>
      </c>
      <c r="AC86" s="73">
        <v>126</v>
      </c>
      <c r="AD86" s="73">
        <v>127.9</v>
      </c>
      <c r="AE86" s="73">
        <v>129.4</v>
      </c>
      <c r="AF86" s="73">
        <v>130</v>
      </c>
      <c r="AG86" s="99"/>
      <c r="AH86" s="54">
        <f t="shared" si="13"/>
        <v>132</v>
      </c>
      <c r="AI86" s="55">
        <f t="shared" si="14"/>
        <v>66.099999999999994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131</v>
      </c>
      <c r="C87" s="73">
        <v>130</v>
      </c>
      <c r="D87" s="73">
        <v>130</v>
      </c>
      <c r="E87" s="73">
        <v>130</v>
      </c>
      <c r="F87" s="73">
        <v>128.9</v>
      </c>
      <c r="G87" s="73">
        <v>129.4</v>
      </c>
      <c r="H87" s="73">
        <v>128.30000000000001</v>
      </c>
      <c r="I87" s="73">
        <v>127.6</v>
      </c>
      <c r="J87" s="73">
        <v>126.4</v>
      </c>
      <c r="K87" s="73">
        <v>128.9</v>
      </c>
      <c r="L87" s="73">
        <v>127</v>
      </c>
      <c r="M87" s="73">
        <v>126.7</v>
      </c>
      <c r="N87" s="73">
        <v>126.7</v>
      </c>
      <c r="O87" s="73">
        <v>1329.3</v>
      </c>
      <c r="P87" s="73">
        <v>129.19999999999999</v>
      </c>
      <c r="Q87" s="73">
        <v>130.80000000000001</v>
      </c>
      <c r="R87" s="73">
        <v>128</v>
      </c>
      <c r="S87" s="73">
        <v>128.19999999999999</v>
      </c>
      <c r="T87" s="73">
        <v>129.1</v>
      </c>
      <c r="U87" s="73">
        <v>127.7</v>
      </c>
      <c r="V87" s="73">
        <v>128.6</v>
      </c>
      <c r="W87" s="73">
        <v>126.1</v>
      </c>
      <c r="X87" s="98">
        <v>128.1</v>
      </c>
      <c r="Y87" s="98">
        <v>130.4</v>
      </c>
      <c r="Z87" s="98">
        <v>128.19999999999999</v>
      </c>
      <c r="AA87" s="98">
        <v>130.19999999999999</v>
      </c>
      <c r="AB87" s="73">
        <v>131.69999999999999</v>
      </c>
      <c r="AC87" s="73">
        <v>131.69999999999999</v>
      </c>
      <c r="AD87" s="73">
        <v>131.6</v>
      </c>
      <c r="AE87" s="73">
        <v>132.4</v>
      </c>
      <c r="AF87" s="73">
        <v>131.1</v>
      </c>
      <c r="AG87" s="99"/>
      <c r="AH87" s="54">
        <f t="shared" si="13"/>
        <v>1329.3</v>
      </c>
      <c r="AI87" s="55">
        <f t="shared" si="14"/>
        <v>126.1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132</v>
      </c>
      <c r="C88" s="73">
        <v>132</v>
      </c>
      <c r="D88" s="73">
        <v>132</v>
      </c>
      <c r="E88" s="73">
        <v>132.4</v>
      </c>
      <c r="F88" s="73">
        <v>131.6</v>
      </c>
      <c r="G88" s="73">
        <v>131.6</v>
      </c>
      <c r="H88" s="73">
        <v>131.30000000000001</v>
      </c>
      <c r="I88" s="73">
        <v>130.80000000000001</v>
      </c>
      <c r="J88" s="73">
        <v>129.19999999999999</v>
      </c>
      <c r="K88" s="73">
        <v>132.1</v>
      </c>
      <c r="L88" s="73">
        <v>131.6</v>
      </c>
      <c r="M88" s="73">
        <v>130.30000000000001</v>
      </c>
      <c r="N88" s="73">
        <v>130.30000000000001</v>
      </c>
      <c r="O88" s="73">
        <v>132.80000000000001</v>
      </c>
      <c r="P88" s="73">
        <v>132.80000000000001</v>
      </c>
      <c r="Q88" s="73">
        <v>132.4</v>
      </c>
      <c r="R88" s="73">
        <v>131.9</v>
      </c>
      <c r="S88" s="73">
        <v>133.1</v>
      </c>
      <c r="T88" s="73">
        <v>132.69999999999999</v>
      </c>
      <c r="U88" s="73">
        <v>130.69999999999999</v>
      </c>
      <c r="V88" s="73">
        <v>132</v>
      </c>
      <c r="W88" s="73">
        <v>129.4</v>
      </c>
      <c r="X88" s="98">
        <v>132.30000000000001</v>
      </c>
      <c r="Y88" s="98">
        <v>135</v>
      </c>
      <c r="Z88" s="98">
        <v>132.6</v>
      </c>
      <c r="AA88" s="98">
        <v>134.5</v>
      </c>
      <c r="AB88" s="73">
        <v>134.5</v>
      </c>
      <c r="AC88" s="73">
        <v>134.5</v>
      </c>
      <c r="AD88" s="73">
        <v>133.4</v>
      </c>
      <c r="AE88" s="73">
        <v>133.6</v>
      </c>
      <c r="AF88" s="73">
        <v>132.6</v>
      </c>
      <c r="AG88" s="99"/>
      <c r="AH88" s="54">
        <f t="shared" si="13"/>
        <v>135</v>
      </c>
      <c r="AI88" s="55">
        <f t="shared" si="14"/>
        <v>129.19999999999999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</v>
      </c>
      <c r="C89" s="101">
        <v>132</v>
      </c>
      <c r="D89" s="101">
        <v>130.6</v>
      </c>
      <c r="E89" s="101">
        <v>129.5</v>
      </c>
      <c r="F89" s="101">
        <v>128.1</v>
      </c>
      <c r="G89" s="101">
        <v>131.19999999999999</v>
      </c>
      <c r="H89" s="101">
        <v>133</v>
      </c>
      <c r="I89" s="101">
        <v>135.30000000000001</v>
      </c>
      <c r="J89" s="101">
        <v>133.69999999999999</v>
      </c>
      <c r="K89" s="101">
        <v>131.19999999999999</v>
      </c>
      <c r="L89" s="101">
        <v>131</v>
      </c>
      <c r="M89" s="101">
        <v>133.5</v>
      </c>
      <c r="N89" s="101">
        <v>133.5</v>
      </c>
      <c r="O89" s="101">
        <v>134.5</v>
      </c>
      <c r="P89" s="101">
        <v>111.5</v>
      </c>
      <c r="Q89" s="101">
        <v>133</v>
      </c>
      <c r="R89" s="101">
        <v>130</v>
      </c>
      <c r="S89" s="101">
        <v>130.30000000000001</v>
      </c>
      <c r="T89" s="101">
        <v>132.30000000000001</v>
      </c>
      <c r="U89" s="101">
        <v>132.19999999999999</v>
      </c>
      <c r="V89" s="101">
        <v>135.69999999999999</v>
      </c>
      <c r="W89" s="101">
        <v>131.6</v>
      </c>
      <c r="X89" s="98">
        <v>132.5</v>
      </c>
      <c r="Y89" s="98">
        <v>133.5</v>
      </c>
      <c r="Z89" s="98">
        <v>134.69999999999999</v>
      </c>
      <c r="AA89" s="98">
        <v>134.5</v>
      </c>
      <c r="AB89" s="101">
        <v>132.6</v>
      </c>
      <c r="AC89" s="101">
        <v>132.6</v>
      </c>
      <c r="AD89" s="101">
        <v>131.1</v>
      </c>
      <c r="AE89" s="101">
        <v>130.1</v>
      </c>
      <c r="AF89" s="101">
        <v>133.1</v>
      </c>
      <c r="AG89" s="102"/>
      <c r="AH89" s="54">
        <f t="shared" si="13"/>
        <v>135.69999999999999</v>
      </c>
      <c r="AI89" s="55">
        <f t="shared" si="14"/>
        <v>111.5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133</v>
      </c>
      <c r="C90" s="73">
        <v>135</v>
      </c>
      <c r="D90" s="73">
        <v>137</v>
      </c>
      <c r="E90" s="73">
        <v>138.30000000000001</v>
      </c>
      <c r="F90" s="73">
        <v>138.1</v>
      </c>
      <c r="G90" s="73">
        <v>135.5</v>
      </c>
      <c r="H90" s="73">
        <v>138</v>
      </c>
      <c r="I90" s="73">
        <v>134.9</v>
      </c>
      <c r="J90" s="73">
        <v>135</v>
      </c>
      <c r="K90" s="73">
        <v>129.80000000000001</v>
      </c>
      <c r="L90" s="73">
        <v>127</v>
      </c>
      <c r="M90" s="73">
        <v>129.5</v>
      </c>
      <c r="N90" s="73">
        <v>129.5</v>
      </c>
      <c r="O90" s="73">
        <v>133.6</v>
      </c>
      <c r="P90" s="73">
        <v>134.9</v>
      </c>
      <c r="Q90" s="73">
        <v>136.9</v>
      </c>
      <c r="R90" s="73"/>
      <c r="S90" s="73">
        <v>133.9</v>
      </c>
      <c r="T90" s="73">
        <v>132.5</v>
      </c>
      <c r="U90" s="73">
        <v>131.80000000000001</v>
      </c>
      <c r="V90" s="73">
        <v>134.5</v>
      </c>
      <c r="W90" s="73">
        <v>131.5</v>
      </c>
      <c r="X90" s="98">
        <v>127.5</v>
      </c>
      <c r="Y90" s="98">
        <v>135.9</v>
      </c>
      <c r="Z90" s="98">
        <v>132</v>
      </c>
      <c r="AA90" s="98">
        <v>132.1</v>
      </c>
      <c r="AB90" s="73">
        <v>133.30000000000001</v>
      </c>
      <c r="AC90" s="73">
        <v>133.30000000000001</v>
      </c>
      <c r="AD90" s="73">
        <v>136.5</v>
      </c>
      <c r="AE90" s="73">
        <v>135.9</v>
      </c>
      <c r="AF90" s="73">
        <v>135.30000000000001</v>
      </c>
      <c r="AG90" s="99"/>
      <c r="AH90" s="54">
        <f t="shared" si="13"/>
        <v>138.30000000000001</v>
      </c>
      <c r="AI90" s="55">
        <f t="shared" si="14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131.19999999999999</v>
      </c>
      <c r="C91" s="103">
        <v>131.69999999999999</v>
      </c>
      <c r="D91" s="103">
        <v>67</v>
      </c>
      <c r="E91" s="103">
        <v>66.900000000000006</v>
      </c>
      <c r="F91" s="103">
        <v>66.599999999999994</v>
      </c>
      <c r="G91" s="103">
        <v>66.400000000000006</v>
      </c>
      <c r="H91" s="103">
        <v>66.099999999999994</v>
      </c>
      <c r="I91" s="103">
        <v>65.099999999999994</v>
      </c>
      <c r="J91" s="103">
        <v>64.7</v>
      </c>
      <c r="K91" s="103">
        <v>64.599999999999994</v>
      </c>
      <c r="L91" s="103">
        <v>63.3</v>
      </c>
      <c r="M91" s="103">
        <v>64</v>
      </c>
      <c r="N91" s="103">
        <v>64</v>
      </c>
      <c r="O91" s="103">
        <v>64.099999999999994</v>
      </c>
      <c r="P91" s="103">
        <v>63.7</v>
      </c>
      <c r="Q91" s="103">
        <v>63</v>
      </c>
      <c r="R91" s="103">
        <v>63.8</v>
      </c>
      <c r="S91" s="103">
        <v>63.9</v>
      </c>
      <c r="T91" s="103">
        <v>64</v>
      </c>
      <c r="U91" s="103">
        <v>64</v>
      </c>
      <c r="V91" s="103">
        <v>64</v>
      </c>
      <c r="W91" s="103">
        <v>63.4</v>
      </c>
      <c r="X91" s="103">
        <v>63.2</v>
      </c>
      <c r="Y91" s="103">
        <v>63.7</v>
      </c>
      <c r="Z91" s="103">
        <v>64.099999999999994</v>
      </c>
      <c r="AA91" s="103">
        <v>64.5</v>
      </c>
      <c r="AB91" s="103">
        <v>64.2</v>
      </c>
      <c r="AC91" s="103">
        <v>64.2</v>
      </c>
      <c r="AD91" s="103">
        <v>65</v>
      </c>
      <c r="AE91" s="103">
        <v>65.5</v>
      </c>
      <c r="AF91" s="103">
        <v>65.7</v>
      </c>
      <c r="AG91" s="104"/>
      <c r="AH91" s="54">
        <f t="shared" si="13"/>
        <v>131.69999999999999</v>
      </c>
      <c r="AI91" s="55">
        <f t="shared" si="14"/>
        <v>63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196.63999999999996</v>
      </c>
      <c r="C93" s="110">
        <f>SUM(C15,C18,C21:C22,C42,C44:C45,C47,C49,C94:C97,C102,C108,C114,C123,C125,C137,C144,C147:C148,C155,C157,C159,C163:C165,C167:C169,C174,C180:C181,C183:C185,C193,C198)</f>
        <v>178.63999999999996</v>
      </c>
      <c r="D93" s="110">
        <f t="shared" ref="D93:AF93" si="21">SUM(D15,D18,D21:D22,D42,D44:D45,D47,D49,D94:D97,D102,D108,D114,D123,D125,D137,D144,D147:D148,D155,D157,D159,D163:D165,D167:D169,D174,D180:D181,D183:D185,D193,D198)</f>
        <v>171.63999999999996</v>
      </c>
      <c r="E93" s="110">
        <f t="shared" si="21"/>
        <v>169.14</v>
      </c>
      <c r="F93" s="110">
        <f t="shared" si="21"/>
        <v>177.23999999999995</v>
      </c>
      <c r="G93" s="109">
        <f t="shared" si="21"/>
        <v>198.53999999999994</v>
      </c>
      <c r="H93" s="109">
        <f t="shared" si="21"/>
        <v>225.73999999999995</v>
      </c>
      <c r="I93" s="109">
        <f t="shared" si="21"/>
        <v>260.74</v>
      </c>
      <c r="J93" s="109">
        <f t="shared" si="21"/>
        <v>303.24</v>
      </c>
      <c r="K93" s="109">
        <f t="shared" si="21"/>
        <v>343.74</v>
      </c>
      <c r="L93" s="109">
        <f t="shared" si="21"/>
        <v>406.44000000000005</v>
      </c>
      <c r="M93" s="109">
        <f t="shared" si="21"/>
        <v>420.24</v>
      </c>
      <c r="N93" s="109">
        <f t="shared" si="21"/>
        <v>420.24</v>
      </c>
      <c r="O93" s="109">
        <f t="shared" si="21"/>
        <v>405.54</v>
      </c>
      <c r="P93" s="109">
        <f t="shared" si="21"/>
        <v>379.74000000000007</v>
      </c>
      <c r="Q93" s="109">
        <f t="shared" si="21"/>
        <v>371.64000000000004</v>
      </c>
      <c r="R93" s="109">
        <f t="shared" si="21"/>
        <v>339.64</v>
      </c>
      <c r="S93" s="109">
        <f t="shared" si="21"/>
        <v>343.64</v>
      </c>
      <c r="T93" s="109">
        <f t="shared" si="21"/>
        <v>362.74</v>
      </c>
      <c r="U93" s="109">
        <f t="shared" si="21"/>
        <v>368.64000000000004</v>
      </c>
      <c r="V93" s="109">
        <f t="shared" si="21"/>
        <v>381.94</v>
      </c>
      <c r="W93" s="109">
        <f t="shared" si="21"/>
        <v>418.44000000000005</v>
      </c>
      <c r="X93" s="109">
        <f t="shared" si="21"/>
        <v>466.34000000000003</v>
      </c>
      <c r="Y93" s="109">
        <f t="shared" si="21"/>
        <v>471.64</v>
      </c>
      <c r="Z93" s="109">
        <f t="shared" si="21"/>
        <v>467.64000000000004</v>
      </c>
      <c r="AA93" s="109">
        <f t="shared" si="21"/>
        <v>448.14000000000004</v>
      </c>
      <c r="AB93" s="109">
        <f t="shared" si="21"/>
        <v>431.94000000000005</v>
      </c>
      <c r="AC93" s="109">
        <f t="shared" si="21"/>
        <v>414.94000000000005</v>
      </c>
      <c r="AD93" s="109">
        <f t="shared" si="21"/>
        <v>382.94000000000005</v>
      </c>
      <c r="AE93" s="109">
        <f t="shared" si="21"/>
        <v>305.04000000000002</v>
      </c>
      <c r="AF93" s="109">
        <f t="shared" si="21"/>
        <v>283.34000000000003</v>
      </c>
      <c r="AG93" s="111"/>
      <c r="AH93" s="54">
        <f>MAX(C93:AF93)</f>
        <v>471.64</v>
      </c>
      <c r="AI93" s="55">
        <f>MIN(C93:AF93)</f>
        <v>169.14</v>
      </c>
    </row>
    <row r="94" spans="1:88" x14ac:dyDescent="0.25">
      <c r="A94" s="112" t="s">
        <v>98</v>
      </c>
      <c r="B94" s="175">
        <v>11</v>
      </c>
      <c r="C94" s="58">
        <v>16</v>
      </c>
      <c r="D94" s="58">
        <v>17</v>
      </c>
      <c r="E94" s="58">
        <v>14.3</v>
      </c>
      <c r="F94" s="58">
        <v>-0.7</v>
      </c>
      <c r="G94" s="114">
        <v>-9.8000000000000007</v>
      </c>
      <c r="H94" s="114">
        <v>-3.8</v>
      </c>
      <c r="I94" s="114">
        <v>14.6</v>
      </c>
      <c r="J94" s="114">
        <v>22.3</v>
      </c>
      <c r="K94" s="114">
        <v>28.1</v>
      </c>
      <c r="L94" s="114">
        <v>38.200000000000003</v>
      </c>
      <c r="M94" s="113">
        <v>55.8</v>
      </c>
      <c r="N94" s="113">
        <v>55.8</v>
      </c>
      <c r="O94" s="113">
        <v>57.5</v>
      </c>
      <c r="P94" s="114">
        <v>52.2</v>
      </c>
      <c r="Q94" s="114">
        <v>60.5</v>
      </c>
      <c r="R94" s="114">
        <v>19.399999999999999</v>
      </c>
      <c r="S94" s="114">
        <v>32.799999999999997</v>
      </c>
      <c r="T94" s="114">
        <v>40.299999999999997</v>
      </c>
      <c r="U94" s="113">
        <v>48.5</v>
      </c>
      <c r="V94" s="113">
        <v>75.5</v>
      </c>
      <c r="W94" s="113">
        <v>78.099999999999994</v>
      </c>
      <c r="X94" s="114">
        <v>80.7</v>
      </c>
      <c r="Y94" s="114">
        <v>67</v>
      </c>
      <c r="Z94" s="114">
        <v>82</v>
      </c>
      <c r="AA94" s="114">
        <v>83.4</v>
      </c>
      <c r="AB94" s="113">
        <v>88</v>
      </c>
      <c r="AC94" s="113">
        <v>93</v>
      </c>
      <c r="AD94" s="113">
        <v>77</v>
      </c>
      <c r="AE94" s="113">
        <v>37.6</v>
      </c>
      <c r="AF94" s="113">
        <v>15.8</v>
      </c>
      <c r="AG94" s="115">
        <v>75</v>
      </c>
      <c r="AH94" s="54">
        <f t="shared" ref="AH94:AH99" si="22">IF(ABS(MAX(C94:AF94))&gt;ABS(MIN(C94:AF94)),MAX(C94:AF94),MIN(C94:AF94))</f>
        <v>93</v>
      </c>
      <c r="AI94" s="116">
        <f t="shared" ref="AI94:AI99" si="23">INDEX($C$9:$AF$9,1,MATCH(AH94,C94:AF94,0))</f>
        <v>0.85416666666666663</v>
      </c>
    </row>
    <row r="95" spans="1:88" x14ac:dyDescent="0.25">
      <c r="A95" s="117" t="s">
        <v>99</v>
      </c>
      <c r="B95" s="176">
        <v>-54</v>
      </c>
      <c r="C95" s="60">
        <v>-60</v>
      </c>
      <c r="D95" s="60">
        <v>-65</v>
      </c>
      <c r="E95" s="60">
        <v>-66</v>
      </c>
      <c r="F95" s="60">
        <v>-57</v>
      </c>
      <c r="G95" s="60">
        <v>-48</v>
      </c>
      <c r="H95" s="60">
        <v>-40</v>
      </c>
      <c r="I95" s="60">
        <v>-28</v>
      </c>
      <c r="J95" s="60">
        <v>-17</v>
      </c>
      <c r="K95" s="60">
        <v>-2</v>
      </c>
      <c r="L95" s="60">
        <v>33.5</v>
      </c>
      <c r="M95" s="60">
        <v>30</v>
      </c>
      <c r="N95" s="60">
        <v>30</v>
      </c>
      <c r="O95" s="60">
        <f>8.8+4.8</f>
        <v>13.600000000000001</v>
      </c>
      <c r="P95" s="60">
        <v>7.1</v>
      </c>
      <c r="Q95" s="60">
        <f>3.1+3.4</f>
        <v>6.5</v>
      </c>
      <c r="R95" s="60">
        <v>18.2</v>
      </c>
      <c r="S95" s="60">
        <v>17.5</v>
      </c>
      <c r="T95" s="60">
        <v>22</v>
      </c>
      <c r="U95" s="60">
        <v>23</v>
      </c>
      <c r="V95" s="60">
        <v>7.9</v>
      </c>
      <c r="W95" s="60">
        <v>24.2</v>
      </c>
      <c r="X95" s="60">
        <v>52.4</v>
      </c>
      <c r="Y95" s="60">
        <v>72</v>
      </c>
      <c r="Z95" s="60">
        <v>54.6</v>
      </c>
      <c r="AA95" s="60">
        <v>53</v>
      </c>
      <c r="AB95" s="73">
        <v>23</v>
      </c>
      <c r="AC95" s="73">
        <v>20</v>
      </c>
      <c r="AD95" s="73">
        <v>10</v>
      </c>
      <c r="AE95" s="73">
        <f>-5.7-6.5</f>
        <v>-12.2</v>
      </c>
      <c r="AF95" s="73">
        <f>-24.8+27</f>
        <v>2.1999999999999993</v>
      </c>
      <c r="AG95" s="115">
        <v>240</v>
      </c>
      <c r="AH95" s="54">
        <f t="shared" si="22"/>
        <v>72</v>
      </c>
      <c r="AI95" s="116">
        <f t="shared" si="23"/>
        <v>0.77083333333333337</v>
      </c>
    </row>
    <row r="96" spans="1:88" x14ac:dyDescent="0.25">
      <c r="A96" s="117" t="s">
        <v>100</v>
      </c>
      <c r="B96" s="176">
        <v>-1</v>
      </c>
      <c r="C96" s="60">
        <v>-4</v>
      </c>
      <c r="D96" s="60">
        <v>-2</v>
      </c>
      <c r="E96" s="60">
        <v>-6.8</v>
      </c>
      <c r="F96" s="60">
        <v>-7.4</v>
      </c>
      <c r="G96" s="60">
        <v>-3.4</v>
      </c>
      <c r="H96" s="60">
        <v>-0.6</v>
      </c>
      <c r="I96" s="60">
        <v>1.4</v>
      </c>
      <c r="J96" s="60">
        <v>5.3</v>
      </c>
      <c r="K96" s="60">
        <v>28.1</v>
      </c>
      <c r="L96" s="60">
        <v>47.2</v>
      </c>
      <c r="M96" s="60">
        <v>48</v>
      </c>
      <c r="N96" s="60">
        <v>48</v>
      </c>
      <c r="O96" s="60">
        <v>48</v>
      </c>
      <c r="P96" s="60">
        <v>38.5</v>
      </c>
      <c r="Q96" s="60">
        <v>8.6999999999999993</v>
      </c>
      <c r="R96" s="60">
        <v>5.6</v>
      </c>
      <c r="S96" s="60">
        <v>13</v>
      </c>
      <c r="T96" s="60">
        <v>11.4</v>
      </c>
      <c r="U96" s="60">
        <v>13.8</v>
      </c>
      <c r="V96" s="60">
        <v>35.9</v>
      </c>
      <c r="W96" s="60">
        <v>36</v>
      </c>
      <c r="X96" s="60">
        <v>56.4</v>
      </c>
      <c r="Y96" s="60">
        <v>51.7</v>
      </c>
      <c r="Z96" s="60">
        <v>52.6</v>
      </c>
      <c r="AA96" s="60">
        <v>37.299999999999997</v>
      </c>
      <c r="AB96" s="73">
        <v>33</v>
      </c>
      <c r="AC96" s="73">
        <v>27</v>
      </c>
      <c r="AD96" s="73">
        <v>27</v>
      </c>
      <c r="AE96" s="73">
        <v>14.1</v>
      </c>
      <c r="AF96" s="73">
        <v>14.3</v>
      </c>
      <c r="AG96" s="115">
        <v>60</v>
      </c>
      <c r="AH96" s="54">
        <f t="shared" si="22"/>
        <v>56.4</v>
      </c>
      <c r="AI96" s="116">
        <f t="shared" si="23"/>
        <v>0.75</v>
      </c>
    </row>
    <row r="97" spans="1:37" x14ac:dyDescent="0.25">
      <c r="A97" s="118" t="s">
        <v>101</v>
      </c>
      <c r="B97" s="177">
        <v>52</v>
      </c>
      <c r="C97" s="63">
        <v>38</v>
      </c>
      <c r="D97" s="63">
        <v>33</v>
      </c>
      <c r="E97" s="63">
        <v>39</v>
      </c>
      <c r="F97" s="63">
        <v>53.7</v>
      </c>
      <c r="G97" s="63">
        <v>71.099999999999994</v>
      </c>
      <c r="H97" s="63">
        <v>81.5</v>
      </c>
      <c r="I97" s="63">
        <v>84.1</v>
      </c>
      <c r="J97" s="63">
        <v>104</v>
      </c>
      <c r="K97" s="63">
        <v>100.9</v>
      </c>
      <c r="L97" s="63">
        <v>98.9</v>
      </c>
      <c r="M97" s="63">
        <v>98</v>
      </c>
      <c r="N97" s="63">
        <v>98</v>
      </c>
      <c r="O97" s="63">
        <v>98</v>
      </c>
      <c r="P97" s="63">
        <v>95.7</v>
      </c>
      <c r="Q97" s="63">
        <v>109.7</v>
      </c>
      <c r="R97" s="63">
        <v>110</v>
      </c>
      <c r="S97" s="63">
        <v>93.9</v>
      </c>
      <c r="T97" s="63">
        <v>101.8</v>
      </c>
      <c r="U97" s="63">
        <v>96.1</v>
      </c>
      <c r="V97" s="63">
        <v>74.2</v>
      </c>
      <c r="W97" s="63">
        <v>91.9</v>
      </c>
      <c r="X97" s="63">
        <v>88.6</v>
      </c>
      <c r="Y97" s="63">
        <v>92.7</v>
      </c>
      <c r="Z97" s="63">
        <v>88.5</v>
      </c>
      <c r="AA97" s="63">
        <v>84.5</v>
      </c>
      <c r="AB97" s="119">
        <v>98</v>
      </c>
      <c r="AC97" s="119">
        <v>85</v>
      </c>
      <c r="AD97" s="119">
        <v>79</v>
      </c>
      <c r="AE97" s="119">
        <v>77</v>
      </c>
      <c r="AF97" s="119">
        <v>63.2</v>
      </c>
      <c r="AG97" s="120">
        <v>120</v>
      </c>
      <c r="AH97" s="54">
        <f t="shared" si="22"/>
        <v>110</v>
      </c>
      <c r="AI97" s="116">
        <f t="shared" si="23"/>
        <v>0.54166666666666696</v>
      </c>
    </row>
    <row r="98" spans="1:37" x14ac:dyDescent="0.25">
      <c r="A98" s="118" t="s">
        <v>102</v>
      </c>
      <c r="B98" s="177">
        <v>62</v>
      </c>
      <c r="C98" s="63">
        <v>52</v>
      </c>
      <c r="D98" s="63">
        <v>48</v>
      </c>
      <c r="E98" s="63">
        <v>50.4</v>
      </c>
      <c r="F98" s="63">
        <v>63.4</v>
      </c>
      <c r="G98" s="63">
        <v>77</v>
      </c>
      <c r="H98" s="63">
        <v>82.5</v>
      </c>
      <c r="I98" s="63">
        <v>84.9</v>
      </c>
      <c r="J98" s="63">
        <v>99.5</v>
      </c>
      <c r="K98" s="63">
        <v>91.9</v>
      </c>
      <c r="L98" s="63">
        <v>108</v>
      </c>
      <c r="M98" s="63">
        <v>110</v>
      </c>
      <c r="N98" s="63">
        <v>110</v>
      </c>
      <c r="O98" s="63">
        <v>110</v>
      </c>
      <c r="P98" s="63">
        <v>90.8</v>
      </c>
      <c r="Q98" s="63">
        <v>103.3</v>
      </c>
      <c r="R98" s="63">
        <v>94</v>
      </c>
      <c r="S98" s="63">
        <v>82.8</v>
      </c>
      <c r="T98" s="63">
        <v>86.8</v>
      </c>
      <c r="U98" s="63">
        <v>80.8</v>
      </c>
      <c r="V98" s="63">
        <v>48.2</v>
      </c>
      <c r="W98" s="63">
        <v>56.9</v>
      </c>
      <c r="X98" s="63">
        <v>68.8</v>
      </c>
      <c r="Y98" s="63">
        <v>76</v>
      </c>
      <c r="Z98" s="63">
        <v>64.5</v>
      </c>
      <c r="AA98" s="63">
        <v>60.2</v>
      </c>
      <c r="AB98" s="119">
        <v>82</v>
      </c>
      <c r="AC98" s="119">
        <v>72</v>
      </c>
      <c r="AD98" s="119">
        <v>70</v>
      </c>
      <c r="AE98" s="119">
        <v>76.599999999999994</v>
      </c>
      <c r="AF98" s="119">
        <v>69.400000000000006</v>
      </c>
      <c r="AG98" s="120"/>
      <c r="AH98" s="54">
        <f t="shared" si="22"/>
        <v>110</v>
      </c>
      <c r="AI98" s="116">
        <f t="shared" si="23"/>
        <v>0.33333333333333331</v>
      </c>
    </row>
    <row r="99" spans="1:37" ht="15.75" thickBot="1" x14ac:dyDescent="0.3">
      <c r="A99" s="118" t="s">
        <v>217</v>
      </c>
      <c r="B99" s="177">
        <v>58</v>
      </c>
      <c r="C99" s="63">
        <v>59</v>
      </c>
      <c r="D99" s="63">
        <v>57</v>
      </c>
      <c r="E99" s="63">
        <v>59.6</v>
      </c>
      <c r="F99" s="63">
        <v>61.6</v>
      </c>
      <c r="G99" s="63">
        <v>64.400000000000006</v>
      </c>
      <c r="H99" s="63">
        <v>66.8</v>
      </c>
      <c r="I99" s="63">
        <v>48.6</v>
      </c>
      <c r="J99" s="63">
        <v>57.6</v>
      </c>
      <c r="K99" s="63">
        <v>74</v>
      </c>
      <c r="L99" s="63">
        <v>58.8</v>
      </c>
      <c r="M99" s="63">
        <v>60</v>
      </c>
      <c r="N99" s="63">
        <v>60</v>
      </c>
      <c r="O99" s="63">
        <v>60</v>
      </c>
      <c r="P99" s="63">
        <v>4.5999999999999996</v>
      </c>
      <c r="Q99" s="63">
        <v>10.1</v>
      </c>
      <c r="R99" s="63">
        <v>33.299999999999997</v>
      </c>
      <c r="S99" s="63">
        <v>15.9</v>
      </c>
      <c r="T99" s="63">
        <v>23.9</v>
      </c>
      <c r="U99" s="63">
        <v>19.899999999999999</v>
      </c>
      <c r="V99" s="63">
        <v>-3.4</v>
      </c>
      <c r="W99" s="63">
        <v>0</v>
      </c>
      <c r="X99" s="63">
        <v>-2.2000000000000002</v>
      </c>
      <c r="Y99" s="63">
        <v>15.9</v>
      </c>
      <c r="Z99" s="63">
        <v>4</v>
      </c>
      <c r="AA99" s="63">
        <v>3</v>
      </c>
      <c r="AB99" s="119">
        <v>-1</v>
      </c>
      <c r="AC99" s="119">
        <v>-6.6</v>
      </c>
      <c r="AD99" s="119">
        <v>0</v>
      </c>
      <c r="AE99" s="119">
        <v>33.299999999999997</v>
      </c>
      <c r="AF99" s="119">
        <v>51.9</v>
      </c>
      <c r="AG99" s="121"/>
      <c r="AH99" s="54">
        <f t="shared" si="22"/>
        <v>74</v>
      </c>
      <c r="AI99" s="116">
        <f t="shared" si="23"/>
        <v>0.29166666666666669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4">AF101</f>
        <v>9.9</v>
      </c>
      <c r="C101" s="53">
        <v>9.9</v>
      </c>
      <c r="D101" s="127">
        <f t="shared" ref="D101:S106" si="25">C101</f>
        <v>9.9</v>
      </c>
      <c r="E101" s="127">
        <f t="shared" si="25"/>
        <v>9.9</v>
      </c>
      <c r="F101" s="127">
        <f t="shared" si="25"/>
        <v>9.9</v>
      </c>
      <c r="G101" s="127">
        <f t="shared" si="25"/>
        <v>9.9</v>
      </c>
      <c r="H101" s="127">
        <f t="shared" si="25"/>
        <v>9.9</v>
      </c>
      <c r="I101" s="127">
        <f t="shared" si="25"/>
        <v>9.9</v>
      </c>
      <c r="J101" s="127">
        <f t="shared" si="25"/>
        <v>9.9</v>
      </c>
      <c r="K101" s="127">
        <f t="shared" si="25"/>
        <v>9.9</v>
      </c>
      <c r="L101" s="127">
        <f t="shared" si="25"/>
        <v>9.9</v>
      </c>
      <c r="M101" s="127">
        <f t="shared" si="25"/>
        <v>9.9</v>
      </c>
      <c r="N101" s="127">
        <f t="shared" si="25"/>
        <v>9.9</v>
      </c>
      <c r="O101" s="127">
        <f t="shared" si="25"/>
        <v>9.9</v>
      </c>
      <c r="P101" s="127">
        <f t="shared" si="25"/>
        <v>9.9</v>
      </c>
      <c r="Q101" s="127">
        <f t="shared" si="25"/>
        <v>9.9</v>
      </c>
      <c r="R101" s="127">
        <f t="shared" si="25"/>
        <v>9.9</v>
      </c>
      <c r="S101" s="127">
        <f t="shared" si="25"/>
        <v>9.9</v>
      </c>
      <c r="T101" s="127">
        <f t="shared" ref="T101:AF106" si="26">S101</f>
        <v>9.9</v>
      </c>
      <c r="U101" s="127">
        <f t="shared" si="26"/>
        <v>9.9</v>
      </c>
      <c r="V101" s="127">
        <f t="shared" si="26"/>
        <v>9.9</v>
      </c>
      <c r="W101" s="127">
        <f t="shared" si="26"/>
        <v>9.9</v>
      </c>
      <c r="X101" s="127">
        <f t="shared" si="26"/>
        <v>9.9</v>
      </c>
      <c r="Y101" s="127">
        <f t="shared" si="26"/>
        <v>9.9</v>
      </c>
      <c r="Z101" s="127">
        <f t="shared" si="26"/>
        <v>9.9</v>
      </c>
      <c r="AA101" s="127">
        <f t="shared" si="26"/>
        <v>9.9</v>
      </c>
      <c r="AB101" s="127">
        <f t="shared" si="26"/>
        <v>9.9</v>
      </c>
      <c r="AC101" s="127">
        <f t="shared" si="26"/>
        <v>9.9</v>
      </c>
      <c r="AD101" s="127">
        <f t="shared" si="26"/>
        <v>9.9</v>
      </c>
      <c r="AE101" s="127">
        <f t="shared" si="26"/>
        <v>9.9</v>
      </c>
      <c r="AF101" s="127">
        <f t="shared" si="26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4"/>
        <v>9.6</v>
      </c>
      <c r="C102" s="130">
        <v>9.6</v>
      </c>
      <c r="D102" s="129">
        <f t="shared" si="25"/>
        <v>9.6</v>
      </c>
      <c r="E102" s="129">
        <f t="shared" si="25"/>
        <v>9.6</v>
      </c>
      <c r="F102" s="129">
        <f t="shared" si="25"/>
        <v>9.6</v>
      </c>
      <c r="G102" s="129">
        <f t="shared" si="25"/>
        <v>9.6</v>
      </c>
      <c r="H102" s="129">
        <f t="shared" si="25"/>
        <v>9.6</v>
      </c>
      <c r="I102" s="129">
        <f t="shared" si="25"/>
        <v>9.6</v>
      </c>
      <c r="J102" s="129">
        <f t="shared" si="25"/>
        <v>9.6</v>
      </c>
      <c r="K102" s="129">
        <f t="shared" si="25"/>
        <v>9.6</v>
      </c>
      <c r="L102" s="129">
        <f t="shared" si="25"/>
        <v>9.6</v>
      </c>
      <c r="M102" s="129">
        <f t="shared" si="25"/>
        <v>9.6</v>
      </c>
      <c r="N102" s="129">
        <f t="shared" si="25"/>
        <v>9.6</v>
      </c>
      <c r="O102" s="129">
        <f t="shared" si="25"/>
        <v>9.6</v>
      </c>
      <c r="P102" s="129">
        <f t="shared" si="25"/>
        <v>9.6</v>
      </c>
      <c r="Q102" s="129">
        <f t="shared" si="25"/>
        <v>9.6</v>
      </c>
      <c r="R102" s="129">
        <f t="shared" si="25"/>
        <v>9.6</v>
      </c>
      <c r="S102" s="129">
        <f t="shared" si="25"/>
        <v>9.6</v>
      </c>
      <c r="T102" s="129">
        <f t="shared" si="26"/>
        <v>9.6</v>
      </c>
      <c r="U102" s="129">
        <f t="shared" si="26"/>
        <v>9.6</v>
      </c>
      <c r="V102" s="129">
        <f t="shared" si="26"/>
        <v>9.6</v>
      </c>
      <c r="W102" s="129">
        <f t="shared" si="26"/>
        <v>9.6</v>
      </c>
      <c r="X102" s="129">
        <f t="shared" si="26"/>
        <v>9.6</v>
      </c>
      <c r="Y102" s="129">
        <f t="shared" si="26"/>
        <v>9.6</v>
      </c>
      <c r="Z102" s="129">
        <f t="shared" si="26"/>
        <v>9.6</v>
      </c>
      <c r="AA102" s="129">
        <f t="shared" si="26"/>
        <v>9.6</v>
      </c>
      <c r="AB102" s="129">
        <f t="shared" si="26"/>
        <v>9.6</v>
      </c>
      <c r="AC102" s="129">
        <f t="shared" si="26"/>
        <v>9.6</v>
      </c>
      <c r="AD102" s="129">
        <f t="shared" si="26"/>
        <v>9.6</v>
      </c>
      <c r="AE102" s="129">
        <f t="shared" si="26"/>
        <v>9.6</v>
      </c>
      <c r="AF102" s="129">
        <f t="shared" si="26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4"/>
        <v>9.98</v>
      </c>
      <c r="C103" s="130">
        <v>9.98</v>
      </c>
      <c r="D103" s="129">
        <f t="shared" si="25"/>
        <v>9.98</v>
      </c>
      <c r="E103" s="129">
        <f t="shared" si="25"/>
        <v>9.98</v>
      </c>
      <c r="F103" s="129">
        <f t="shared" si="25"/>
        <v>9.98</v>
      </c>
      <c r="G103" s="129">
        <f t="shared" si="25"/>
        <v>9.98</v>
      </c>
      <c r="H103" s="129">
        <f t="shared" si="25"/>
        <v>9.98</v>
      </c>
      <c r="I103" s="129">
        <f t="shared" si="25"/>
        <v>9.98</v>
      </c>
      <c r="J103" s="129">
        <f t="shared" si="25"/>
        <v>9.98</v>
      </c>
      <c r="K103" s="129">
        <f t="shared" si="25"/>
        <v>9.98</v>
      </c>
      <c r="L103" s="129">
        <f t="shared" si="25"/>
        <v>9.98</v>
      </c>
      <c r="M103" s="129">
        <f t="shared" si="25"/>
        <v>9.98</v>
      </c>
      <c r="N103" s="129">
        <f t="shared" si="25"/>
        <v>9.98</v>
      </c>
      <c r="O103" s="129">
        <f t="shared" si="25"/>
        <v>9.98</v>
      </c>
      <c r="P103" s="129">
        <f t="shared" si="25"/>
        <v>9.98</v>
      </c>
      <c r="Q103" s="129">
        <f t="shared" si="25"/>
        <v>9.98</v>
      </c>
      <c r="R103" s="129">
        <f t="shared" si="25"/>
        <v>9.98</v>
      </c>
      <c r="S103" s="129">
        <f t="shared" si="25"/>
        <v>9.98</v>
      </c>
      <c r="T103" s="129">
        <f t="shared" si="26"/>
        <v>9.98</v>
      </c>
      <c r="U103" s="129">
        <f t="shared" si="26"/>
        <v>9.98</v>
      </c>
      <c r="V103" s="129">
        <f t="shared" si="26"/>
        <v>9.98</v>
      </c>
      <c r="W103" s="129">
        <f t="shared" si="26"/>
        <v>9.98</v>
      </c>
      <c r="X103" s="129">
        <f t="shared" si="26"/>
        <v>9.98</v>
      </c>
      <c r="Y103" s="129">
        <f t="shared" si="26"/>
        <v>9.98</v>
      </c>
      <c r="Z103" s="129">
        <f t="shared" si="26"/>
        <v>9.98</v>
      </c>
      <c r="AA103" s="129">
        <f t="shared" si="26"/>
        <v>9.98</v>
      </c>
      <c r="AB103" s="129">
        <f t="shared" si="26"/>
        <v>9.98</v>
      </c>
      <c r="AC103" s="129">
        <f t="shared" si="26"/>
        <v>9.98</v>
      </c>
      <c r="AD103" s="129">
        <f t="shared" si="26"/>
        <v>9.98</v>
      </c>
      <c r="AE103" s="129">
        <f t="shared" si="26"/>
        <v>9.98</v>
      </c>
      <c r="AF103" s="129">
        <f t="shared" si="26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4"/>
        <v>9.1</v>
      </c>
      <c r="C104" s="130">
        <v>9.1</v>
      </c>
      <c r="D104" s="129">
        <f t="shared" si="25"/>
        <v>9.1</v>
      </c>
      <c r="E104" s="129">
        <f t="shared" si="25"/>
        <v>9.1</v>
      </c>
      <c r="F104" s="129">
        <f t="shared" si="25"/>
        <v>9.1</v>
      </c>
      <c r="G104" s="129">
        <f t="shared" si="25"/>
        <v>9.1</v>
      </c>
      <c r="H104" s="129">
        <f t="shared" si="25"/>
        <v>9.1</v>
      </c>
      <c r="I104" s="129">
        <f t="shared" si="25"/>
        <v>9.1</v>
      </c>
      <c r="J104" s="129">
        <f t="shared" si="25"/>
        <v>9.1</v>
      </c>
      <c r="K104" s="129">
        <f t="shared" si="25"/>
        <v>9.1</v>
      </c>
      <c r="L104" s="129">
        <f t="shared" si="25"/>
        <v>9.1</v>
      </c>
      <c r="M104" s="129">
        <f t="shared" si="25"/>
        <v>9.1</v>
      </c>
      <c r="N104" s="129">
        <f t="shared" si="25"/>
        <v>9.1</v>
      </c>
      <c r="O104" s="129">
        <f t="shared" si="25"/>
        <v>9.1</v>
      </c>
      <c r="P104" s="129">
        <f t="shared" si="25"/>
        <v>9.1</v>
      </c>
      <c r="Q104" s="129">
        <f t="shared" si="25"/>
        <v>9.1</v>
      </c>
      <c r="R104" s="129">
        <f t="shared" si="25"/>
        <v>9.1</v>
      </c>
      <c r="S104" s="129">
        <f t="shared" si="25"/>
        <v>9.1</v>
      </c>
      <c r="T104" s="129">
        <f t="shared" si="26"/>
        <v>9.1</v>
      </c>
      <c r="U104" s="129">
        <f t="shared" si="26"/>
        <v>9.1</v>
      </c>
      <c r="V104" s="129">
        <f t="shared" si="26"/>
        <v>9.1</v>
      </c>
      <c r="W104" s="129">
        <f t="shared" si="26"/>
        <v>9.1</v>
      </c>
      <c r="X104" s="129">
        <f t="shared" si="26"/>
        <v>9.1</v>
      </c>
      <c r="Y104" s="129">
        <f t="shared" si="26"/>
        <v>9.1</v>
      </c>
      <c r="Z104" s="129">
        <f t="shared" si="26"/>
        <v>9.1</v>
      </c>
      <c r="AA104" s="129">
        <f t="shared" si="26"/>
        <v>9.1</v>
      </c>
      <c r="AB104" s="129">
        <f t="shared" si="26"/>
        <v>9.1</v>
      </c>
      <c r="AC104" s="129">
        <f t="shared" si="26"/>
        <v>9.1</v>
      </c>
      <c r="AD104" s="129">
        <f t="shared" si="26"/>
        <v>9.1</v>
      </c>
      <c r="AE104" s="129">
        <f t="shared" si="26"/>
        <v>9.1</v>
      </c>
      <c r="AF104" s="129">
        <f t="shared" si="26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4"/>
        <v>9.18</v>
      </c>
      <c r="C105" s="130">
        <v>9.18</v>
      </c>
      <c r="D105" s="129">
        <f t="shared" si="25"/>
        <v>9.18</v>
      </c>
      <c r="E105" s="129">
        <f t="shared" si="25"/>
        <v>9.18</v>
      </c>
      <c r="F105" s="129">
        <f t="shared" si="25"/>
        <v>9.18</v>
      </c>
      <c r="G105" s="129">
        <f t="shared" si="25"/>
        <v>9.18</v>
      </c>
      <c r="H105" s="129">
        <f t="shared" si="25"/>
        <v>9.18</v>
      </c>
      <c r="I105" s="129">
        <f t="shared" si="25"/>
        <v>9.18</v>
      </c>
      <c r="J105" s="129">
        <f t="shared" si="25"/>
        <v>9.18</v>
      </c>
      <c r="K105" s="129">
        <f t="shared" si="25"/>
        <v>9.18</v>
      </c>
      <c r="L105" s="129">
        <f t="shared" si="25"/>
        <v>9.18</v>
      </c>
      <c r="M105" s="129">
        <f t="shared" si="25"/>
        <v>9.18</v>
      </c>
      <c r="N105" s="129">
        <f t="shared" si="25"/>
        <v>9.18</v>
      </c>
      <c r="O105" s="129">
        <f t="shared" si="25"/>
        <v>9.18</v>
      </c>
      <c r="P105" s="129">
        <f t="shared" si="25"/>
        <v>9.18</v>
      </c>
      <c r="Q105" s="129">
        <f t="shared" si="25"/>
        <v>9.18</v>
      </c>
      <c r="R105" s="129">
        <f t="shared" si="25"/>
        <v>9.18</v>
      </c>
      <c r="S105" s="129">
        <f t="shared" si="25"/>
        <v>9.18</v>
      </c>
      <c r="T105" s="129">
        <f t="shared" si="26"/>
        <v>9.18</v>
      </c>
      <c r="U105" s="129">
        <f t="shared" si="26"/>
        <v>9.18</v>
      </c>
      <c r="V105" s="129">
        <f t="shared" si="26"/>
        <v>9.18</v>
      </c>
      <c r="W105" s="129">
        <f t="shared" si="26"/>
        <v>9.18</v>
      </c>
      <c r="X105" s="129">
        <f t="shared" si="26"/>
        <v>9.18</v>
      </c>
      <c r="Y105" s="129">
        <f t="shared" si="26"/>
        <v>9.18</v>
      </c>
      <c r="Z105" s="129">
        <f t="shared" si="26"/>
        <v>9.18</v>
      </c>
      <c r="AA105" s="129">
        <f t="shared" si="26"/>
        <v>9.18</v>
      </c>
      <c r="AB105" s="129">
        <f t="shared" si="26"/>
        <v>9.18</v>
      </c>
      <c r="AC105" s="129">
        <f t="shared" si="26"/>
        <v>9.18</v>
      </c>
      <c r="AD105" s="129">
        <f t="shared" si="26"/>
        <v>9.18</v>
      </c>
      <c r="AE105" s="129">
        <f t="shared" si="26"/>
        <v>9.18</v>
      </c>
      <c r="AF105" s="129">
        <f t="shared" si="26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4"/>
        <v>7</v>
      </c>
      <c r="C106" s="130">
        <v>7</v>
      </c>
      <c r="D106" s="129">
        <f t="shared" si="25"/>
        <v>7</v>
      </c>
      <c r="E106" s="129">
        <f t="shared" si="25"/>
        <v>7</v>
      </c>
      <c r="F106" s="129">
        <f t="shared" si="25"/>
        <v>7</v>
      </c>
      <c r="G106" s="129">
        <f t="shared" si="25"/>
        <v>7</v>
      </c>
      <c r="H106" s="129">
        <f t="shared" si="25"/>
        <v>7</v>
      </c>
      <c r="I106" s="129">
        <f t="shared" si="25"/>
        <v>7</v>
      </c>
      <c r="J106" s="129">
        <f t="shared" si="25"/>
        <v>7</v>
      </c>
      <c r="K106" s="129">
        <f t="shared" si="25"/>
        <v>7</v>
      </c>
      <c r="L106" s="129">
        <f t="shared" si="25"/>
        <v>7</v>
      </c>
      <c r="M106" s="129">
        <f t="shared" si="25"/>
        <v>7</v>
      </c>
      <c r="N106" s="129">
        <f t="shared" si="25"/>
        <v>7</v>
      </c>
      <c r="O106" s="129">
        <f t="shared" si="25"/>
        <v>7</v>
      </c>
      <c r="P106" s="129">
        <f t="shared" si="25"/>
        <v>7</v>
      </c>
      <c r="Q106" s="129">
        <f t="shared" si="25"/>
        <v>7</v>
      </c>
      <c r="R106" s="129">
        <f t="shared" si="25"/>
        <v>7</v>
      </c>
      <c r="S106" s="129">
        <f t="shared" si="25"/>
        <v>7</v>
      </c>
      <c r="T106" s="129">
        <f t="shared" si="26"/>
        <v>7</v>
      </c>
      <c r="U106" s="129">
        <f t="shared" si="26"/>
        <v>7</v>
      </c>
      <c r="V106" s="129">
        <f t="shared" si="26"/>
        <v>7</v>
      </c>
      <c r="W106" s="129">
        <f t="shared" si="26"/>
        <v>7</v>
      </c>
      <c r="X106" s="129">
        <f t="shared" si="26"/>
        <v>7</v>
      </c>
      <c r="Y106" s="129">
        <f t="shared" si="26"/>
        <v>7</v>
      </c>
      <c r="Z106" s="129">
        <f t="shared" si="26"/>
        <v>7</v>
      </c>
      <c r="AA106" s="129">
        <f t="shared" si="26"/>
        <v>7</v>
      </c>
      <c r="AB106" s="129">
        <f t="shared" si="26"/>
        <v>7</v>
      </c>
      <c r="AC106" s="129">
        <f t="shared" si="26"/>
        <v>7</v>
      </c>
      <c r="AD106" s="129">
        <f t="shared" si="26"/>
        <v>7</v>
      </c>
      <c r="AE106" s="129">
        <f t="shared" si="26"/>
        <v>7</v>
      </c>
      <c r="AF106" s="129">
        <f t="shared" si="26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7">C108</f>
        <v>2.25</v>
      </c>
      <c r="E108" s="129">
        <f t="shared" si="27"/>
        <v>2.25</v>
      </c>
      <c r="F108" s="129">
        <f t="shared" si="27"/>
        <v>2.25</v>
      </c>
      <c r="G108" s="129">
        <f t="shared" si="27"/>
        <v>2.25</v>
      </c>
      <c r="H108" s="129">
        <f t="shared" si="27"/>
        <v>2.25</v>
      </c>
      <c r="I108" s="129">
        <f t="shared" si="27"/>
        <v>2.25</v>
      </c>
      <c r="J108" s="129">
        <f t="shared" si="27"/>
        <v>2.25</v>
      </c>
      <c r="K108" s="129">
        <f t="shared" si="27"/>
        <v>2.25</v>
      </c>
      <c r="L108" s="129">
        <f t="shared" si="27"/>
        <v>2.25</v>
      </c>
      <c r="M108" s="129">
        <f t="shared" si="27"/>
        <v>2.25</v>
      </c>
      <c r="N108" s="129">
        <f t="shared" si="27"/>
        <v>2.25</v>
      </c>
      <c r="O108" s="129">
        <f t="shared" si="27"/>
        <v>2.25</v>
      </c>
      <c r="P108" s="129">
        <f t="shared" si="27"/>
        <v>2.25</v>
      </c>
      <c r="Q108" s="129">
        <f t="shared" si="27"/>
        <v>2.25</v>
      </c>
      <c r="R108" s="129">
        <f t="shared" si="27"/>
        <v>2.25</v>
      </c>
      <c r="S108" s="129">
        <f t="shared" si="27"/>
        <v>2.25</v>
      </c>
      <c r="T108" s="129">
        <f t="shared" ref="T108:AF109" si="28">S108</f>
        <v>2.25</v>
      </c>
      <c r="U108" s="129">
        <f t="shared" si="28"/>
        <v>2.25</v>
      </c>
      <c r="V108" s="129">
        <f t="shared" si="28"/>
        <v>2.25</v>
      </c>
      <c r="W108" s="129">
        <f t="shared" si="28"/>
        <v>2.25</v>
      </c>
      <c r="X108" s="129">
        <f t="shared" si="28"/>
        <v>2.25</v>
      </c>
      <c r="Y108" s="129">
        <f t="shared" si="28"/>
        <v>2.25</v>
      </c>
      <c r="Z108" s="129">
        <f t="shared" si="28"/>
        <v>2.25</v>
      </c>
      <c r="AA108" s="129">
        <f t="shared" si="28"/>
        <v>2.25</v>
      </c>
      <c r="AB108" s="129">
        <f t="shared" si="28"/>
        <v>2.25</v>
      </c>
      <c r="AC108" s="129">
        <f t="shared" si="28"/>
        <v>2.25</v>
      </c>
      <c r="AD108" s="129">
        <f t="shared" si="28"/>
        <v>2.25</v>
      </c>
      <c r="AE108" s="129">
        <f t="shared" si="28"/>
        <v>2.25</v>
      </c>
      <c r="AF108" s="129">
        <f t="shared" si="28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7"/>
        <v>1.64</v>
      </c>
      <c r="E109" s="129">
        <f t="shared" si="27"/>
        <v>1.64</v>
      </c>
      <c r="F109" s="129">
        <f t="shared" si="27"/>
        <v>1.64</v>
      </c>
      <c r="G109" s="129">
        <f t="shared" si="27"/>
        <v>1.64</v>
      </c>
      <c r="H109" s="129">
        <f t="shared" si="27"/>
        <v>1.64</v>
      </c>
      <c r="I109" s="129">
        <f t="shared" si="27"/>
        <v>1.64</v>
      </c>
      <c r="J109" s="129">
        <f t="shared" si="27"/>
        <v>1.64</v>
      </c>
      <c r="K109" s="129">
        <f t="shared" si="27"/>
        <v>1.64</v>
      </c>
      <c r="L109" s="129">
        <f t="shared" si="27"/>
        <v>1.64</v>
      </c>
      <c r="M109" s="129">
        <f t="shared" si="27"/>
        <v>1.64</v>
      </c>
      <c r="N109" s="129">
        <f t="shared" si="27"/>
        <v>1.64</v>
      </c>
      <c r="O109" s="129">
        <f t="shared" si="27"/>
        <v>1.64</v>
      </c>
      <c r="P109" s="129">
        <f t="shared" si="27"/>
        <v>1.64</v>
      </c>
      <c r="Q109" s="129">
        <f t="shared" si="27"/>
        <v>1.64</v>
      </c>
      <c r="R109" s="129">
        <f t="shared" si="27"/>
        <v>1.64</v>
      </c>
      <c r="S109" s="129">
        <f t="shared" si="27"/>
        <v>1.64</v>
      </c>
      <c r="T109" s="129">
        <f t="shared" si="28"/>
        <v>1.64</v>
      </c>
      <c r="U109" s="129">
        <f t="shared" si="28"/>
        <v>1.64</v>
      </c>
      <c r="V109" s="129">
        <f t="shared" si="28"/>
        <v>1.64</v>
      </c>
      <c r="W109" s="129">
        <f t="shared" si="28"/>
        <v>1.64</v>
      </c>
      <c r="X109" s="129">
        <f t="shared" si="28"/>
        <v>1.64</v>
      </c>
      <c r="Y109" s="129">
        <f t="shared" si="28"/>
        <v>1.64</v>
      </c>
      <c r="Z109" s="129">
        <f t="shared" si="28"/>
        <v>1.64</v>
      </c>
      <c r="AA109" s="129">
        <f t="shared" si="28"/>
        <v>1.64</v>
      </c>
      <c r="AB109" s="129">
        <f t="shared" si="28"/>
        <v>1.64</v>
      </c>
      <c r="AC109" s="129">
        <f t="shared" si="28"/>
        <v>1.64</v>
      </c>
      <c r="AD109" s="129">
        <f t="shared" si="28"/>
        <v>1.64</v>
      </c>
      <c r="AE109" s="129">
        <f t="shared" si="28"/>
        <v>1.64</v>
      </c>
      <c r="AF109" s="129">
        <f t="shared" si="28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9">AF111</f>
        <v>1.62</v>
      </c>
      <c r="C111" s="130">
        <v>1.62</v>
      </c>
      <c r="D111" s="129">
        <f t="shared" ref="D111:S118" si="30">C111</f>
        <v>1.62</v>
      </c>
      <c r="E111" s="129">
        <f t="shared" si="30"/>
        <v>1.62</v>
      </c>
      <c r="F111" s="129">
        <f t="shared" si="30"/>
        <v>1.62</v>
      </c>
      <c r="G111" s="129">
        <f t="shared" si="30"/>
        <v>1.62</v>
      </c>
      <c r="H111" s="129">
        <f t="shared" si="30"/>
        <v>1.62</v>
      </c>
      <c r="I111" s="129">
        <f t="shared" si="30"/>
        <v>1.62</v>
      </c>
      <c r="J111" s="129">
        <f t="shared" si="30"/>
        <v>1.62</v>
      </c>
      <c r="K111" s="129">
        <f t="shared" si="30"/>
        <v>1.62</v>
      </c>
      <c r="L111" s="129">
        <f t="shared" si="30"/>
        <v>1.62</v>
      </c>
      <c r="M111" s="129">
        <f t="shared" si="30"/>
        <v>1.62</v>
      </c>
      <c r="N111" s="129">
        <f t="shared" si="30"/>
        <v>1.62</v>
      </c>
      <c r="O111" s="129">
        <f t="shared" si="30"/>
        <v>1.62</v>
      </c>
      <c r="P111" s="129">
        <f t="shared" si="30"/>
        <v>1.62</v>
      </c>
      <c r="Q111" s="129">
        <f t="shared" si="30"/>
        <v>1.62</v>
      </c>
      <c r="R111" s="129">
        <f t="shared" si="30"/>
        <v>1.62</v>
      </c>
      <c r="S111" s="129">
        <f t="shared" si="30"/>
        <v>1.62</v>
      </c>
      <c r="T111" s="129">
        <f t="shared" ref="T111:AF126" si="31">S111</f>
        <v>1.62</v>
      </c>
      <c r="U111" s="129">
        <f t="shared" si="31"/>
        <v>1.62</v>
      </c>
      <c r="V111" s="129">
        <f t="shared" si="31"/>
        <v>1.62</v>
      </c>
      <c r="W111" s="129">
        <f t="shared" si="31"/>
        <v>1.62</v>
      </c>
      <c r="X111" s="129">
        <f t="shared" si="31"/>
        <v>1.62</v>
      </c>
      <c r="Y111" s="129">
        <f t="shared" si="31"/>
        <v>1.62</v>
      </c>
      <c r="Z111" s="129">
        <f t="shared" si="31"/>
        <v>1.62</v>
      </c>
      <c r="AA111" s="129">
        <f t="shared" si="31"/>
        <v>1.62</v>
      </c>
      <c r="AB111" s="129">
        <f t="shared" si="31"/>
        <v>1.62</v>
      </c>
      <c r="AC111" s="129">
        <f t="shared" si="31"/>
        <v>1.62</v>
      </c>
      <c r="AD111" s="129">
        <f t="shared" si="31"/>
        <v>1.62</v>
      </c>
      <c r="AE111" s="129">
        <f t="shared" si="31"/>
        <v>1.62</v>
      </c>
      <c r="AF111" s="129">
        <f t="shared" si="31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9"/>
        <v>8.36</v>
      </c>
      <c r="C112" s="130">
        <v>8.36</v>
      </c>
      <c r="D112" s="129">
        <f t="shared" si="30"/>
        <v>8.36</v>
      </c>
      <c r="E112" s="129">
        <f t="shared" si="30"/>
        <v>8.36</v>
      </c>
      <c r="F112" s="129">
        <f t="shared" si="30"/>
        <v>8.36</v>
      </c>
      <c r="G112" s="129">
        <f t="shared" si="30"/>
        <v>8.36</v>
      </c>
      <c r="H112" s="129">
        <f t="shared" si="30"/>
        <v>8.36</v>
      </c>
      <c r="I112" s="129">
        <f t="shared" si="30"/>
        <v>8.36</v>
      </c>
      <c r="J112" s="129">
        <f t="shared" si="30"/>
        <v>8.36</v>
      </c>
      <c r="K112" s="129">
        <f t="shared" si="30"/>
        <v>8.36</v>
      </c>
      <c r="L112" s="129">
        <f t="shared" si="30"/>
        <v>8.36</v>
      </c>
      <c r="M112" s="129">
        <f t="shared" si="30"/>
        <v>8.36</v>
      </c>
      <c r="N112" s="129">
        <f t="shared" si="30"/>
        <v>8.36</v>
      </c>
      <c r="O112" s="129">
        <f t="shared" si="30"/>
        <v>8.36</v>
      </c>
      <c r="P112" s="129">
        <f t="shared" si="30"/>
        <v>8.36</v>
      </c>
      <c r="Q112" s="129">
        <f t="shared" si="30"/>
        <v>8.36</v>
      </c>
      <c r="R112" s="129">
        <f t="shared" si="30"/>
        <v>8.36</v>
      </c>
      <c r="S112" s="129">
        <f t="shared" si="30"/>
        <v>8.36</v>
      </c>
      <c r="T112" s="129">
        <f t="shared" si="31"/>
        <v>8.36</v>
      </c>
      <c r="U112" s="129">
        <f t="shared" si="31"/>
        <v>8.36</v>
      </c>
      <c r="V112" s="129">
        <f t="shared" si="31"/>
        <v>8.36</v>
      </c>
      <c r="W112" s="129">
        <f t="shared" si="31"/>
        <v>8.36</v>
      </c>
      <c r="X112" s="129">
        <f t="shared" si="31"/>
        <v>8.36</v>
      </c>
      <c r="Y112" s="129">
        <f t="shared" si="31"/>
        <v>8.36</v>
      </c>
      <c r="Z112" s="129">
        <f t="shared" si="31"/>
        <v>8.36</v>
      </c>
      <c r="AA112" s="129">
        <f t="shared" si="31"/>
        <v>8.36</v>
      </c>
      <c r="AB112" s="129">
        <f t="shared" si="31"/>
        <v>8.36</v>
      </c>
      <c r="AC112" s="129">
        <f t="shared" si="31"/>
        <v>8.36</v>
      </c>
      <c r="AD112" s="129">
        <f t="shared" si="31"/>
        <v>8.36</v>
      </c>
      <c r="AE112" s="129">
        <f t="shared" si="31"/>
        <v>8.36</v>
      </c>
      <c r="AF112" s="129">
        <f t="shared" si="31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9"/>
        <v>5.4</v>
      </c>
      <c r="C113" s="130"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v>5.4</v>
      </c>
      <c r="K113" s="129">
        <f t="shared" si="30"/>
        <v>5.4</v>
      </c>
      <c r="L113" s="129">
        <f t="shared" si="30"/>
        <v>5.4</v>
      </c>
      <c r="M113" s="129">
        <f t="shared" si="30"/>
        <v>5.4</v>
      </c>
      <c r="N113" s="129">
        <f t="shared" si="30"/>
        <v>5.4</v>
      </c>
      <c r="O113" s="129">
        <f t="shared" si="30"/>
        <v>5.4</v>
      </c>
      <c r="P113" s="129">
        <f t="shared" si="30"/>
        <v>5.4</v>
      </c>
      <c r="Q113" s="129">
        <f t="shared" si="30"/>
        <v>5.4</v>
      </c>
      <c r="R113" s="129">
        <f t="shared" si="30"/>
        <v>5.4</v>
      </c>
      <c r="S113" s="129">
        <f t="shared" si="30"/>
        <v>5.4</v>
      </c>
      <c r="T113" s="129">
        <f t="shared" si="31"/>
        <v>5.4</v>
      </c>
      <c r="U113" s="129">
        <f t="shared" si="31"/>
        <v>5.4</v>
      </c>
      <c r="V113" s="129">
        <f t="shared" si="31"/>
        <v>5.4</v>
      </c>
      <c r="W113" s="129">
        <f t="shared" si="31"/>
        <v>5.4</v>
      </c>
      <c r="X113" s="129">
        <f t="shared" si="31"/>
        <v>5.4</v>
      </c>
      <c r="Y113" s="129">
        <f t="shared" si="31"/>
        <v>5.4</v>
      </c>
      <c r="Z113" s="129">
        <f t="shared" si="31"/>
        <v>5.4</v>
      </c>
      <c r="AA113" s="129">
        <f t="shared" si="31"/>
        <v>5.4</v>
      </c>
      <c r="AB113" s="129">
        <f t="shared" si="31"/>
        <v>5.4</v>
      </c>
      <c r="AC113" s="129">
        <f t="shared" si="31"/>
        <v>5.4</v>
      </c>
      <c r="AD113" s="129">
        <f t="shared" si="31"/>
        <v>5.4</v>
      </c>
      <c r="AE113" s="129">
        <f t="shared" si="31"/>
        <v>5.4</v>
      </c>
      <c r="AF113" s="129">
        <f t="shared" si="31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9"/>
        <v>6.57</v>
      </c>
      <c r="C114" s="130">
        <v>6.57</v>
      </c>
      <c r="D114" s="129">
        <f t="shared" si="30"/>
        <v>6.57</v>
      </c>
      <c r="E114" s="129">
        <f t="shared" si="30"/>
        <v>6.57</v>
      </c>
      <c r="F114" s="129">
        <f t="shared" si="30"/>
        <v>6.57</v>
      </c>
      <c r="G114" s="129">
        <f t="shared" si="30"/>
        <v>6.57</v>
      </c>
      <c r="H114" s="129">
        <f t="shared" si="30"/>
        <v>6.57</v>
      </c>
      <c r="I114" s="129">
        <f t="shared" si="30"/>
        <v>6.57</v>
      </c>
      <c r="J114" s="129">
        <f t="shared" si="30"/>
        <v>6.57</v>
      </c>
      <c r="K114" s="129">
        <f t="shared" si="30"/>
        <v>6.57</v>
      </c>
      <c r="L114" s="129">
        <f t="shared" si="30"/>
        <v>6.57</v>
      </c>
      <c r="M114" s="129">
        <f t="shared" si="30"/>
        <v>6.57</v>
      </c>
      <c r="N114" s="129">
        <f t="shared" si="30"/>
        <v>6.57</v>
      </c>
      <c r="O114" s="129">
        <f t="shared" si="30"/>
        <v>6.57</v>
      </c>
      <c r="P114" s="129">
        <f t="shared" si="30"/>
        <v>6.57</v>
      </c>
      <c r="Q114" s="129">
        <f t="shared" si="30"/>
        <v>6.57</v>
      </c>
      <c r="R114" s="129">
        <f t="shared" si="30"/>
        <v>6.57</v>
      </c>
      <c r="S114" s="129">
        <f t="shared" si="30"/>
        <v>6.57</v>
      </c>
      <c r="T114" s="129">
        <f t="shared" si="31"/>
        <v>6.57</v>
      </c>
      <c r="U114" s="129">
        <f t="shared" si="31"/>
        <v>6.57</v>
      </c>
      <c r="V114" s="129">
        <f t="shared" si="31"/>
        <v>6.57</v>
      </c>
      <c r="W114" s="129">
        <f t="shared" si="31"/>
        <v>6.57</v>
      </c>
      <c r="X114" s="129">
        <f t="shared" si="31"/>
        <v>6.57</v>
      </c>
      <c r="Y114" s="129">
        <f t="shared" si="31"/>
        <v>6.57</v>
      </c>
      <c r="Z114" s="129">
        <f t="shared" si="31"/>
        <v>6.57</v>
      </c>
      <c r="AA114" s="129">
        <f t="shared" si="31"/>
        <v>6.57</v>
      </c>
      <c r="AB114" s="129">
        <f t="shared" si="31"/>
        <v>6.57</v>
      </c>
      <c r="AC114" s="129">
        <f t="shared" si="31"/>
        <v>6.57</v>
      </c>
      <c r="AD114" s="129">
        <f t="shared" si="31"/>
        <v>6.57</v>
      </c>
      <c r="AE114" s="129">
        <f t="shared" si="31"/>
        <v>6.57</v>
      </c>
      <c r="AF114" s="129">
        <f t="shared" si="31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9"/>
        <v>3.43</v>
      </c>
      <c r="C115" s="130">
        <v>3.43</v>
      </c>
      <c r="D115" s="129">
        <f t="shared" si="30"/>
        <v>3.43</v>
      </c>
      <c r="E115" s="129">
        <f t="shared" si="30"/>
        <v>3.43</v>
      </c>
      <c r="F115" s="129">
        <f t="shared" si="30"/>
        <v>3.43</v>
      </c>
      <c r="G115" s="129">
        <f t="shared" si="30"/>
        <v>3.43</v>
      </c>
      <c r="H115" s="129">
        <f t="shared" si="30"/>
        <v>3.43</v>
      </c>
      <c r="I115" s="129">
        <f t="shared" si="30"/>
        <v>3.43</v>
      </c>
      <c r="J115" s="129">
        <f t="shared" si="30"/>
        <v>3.43</v>
      </c>
      <c r="K115" s="129">
        <f t="shared" si="30"/>
        <v>3.43</v>
      </c>
      <c r="L115" s="129">
        <f t="shared" si="30"/>
        <v>3.43</v>
      </c>
      <c r="M115" s="129">
        <f t="shared" si="30"/>
        <v>3.43</v>
      </c>
      <c r="N115" s="129">
        <f t="shared" si="30"/>
        <v>3.43</v>
      </c>
      <c r="O115" s="129">
        <f t="shared" si="30"/>
        <v>3.43</v>
      </c>
      <c r="P115" s="129">
        <f t="shared" si="30"/>
        <v>3.43</v>
      </c>
      <c r="Q115" s="129">
        <f t="shared" si="30"/>
        <v>3.43</v>
      </c>
      <c r="R115" s="129">
        <f t="shared" si="30"/>
        <v>3.43</v>
      </c>
      <c r="S115" s="129">
        <f t="shared" si="30"/>
        <v>3.43</v>
      </c>
      <c r="T115" s="129">
        <f t="shared" si="31"/>
        <v>3.43</v>
      </c>
      <c r="U115" s="129">
        <f t="shared" si="31"/>
        <v>3.43</v>
      </c>
      <c r="V115" s="129">
        <f t="shared" si="31"/>
        <v>3.43</v>
      </c>
      <c r="W115" s="129">
        <f t="shared" si="31"/>
        <v>3.43</v>
      </c>
      <c r="X115" s="129">
        <f t="shared" si="31"/>
        <v>3.43</v>
      </c>
      <c r="Y115" s="129">
        <f t="shared" si="31"/>
        <v>3.43</v>
      </c>
      <c r="Z115" s="129">
        <f t="shared" si="31"/>
        <v>3.43</v>
      </c>
      <c r="AA115" s="129">
        <f t="shared" si="31"/>
        <v>3.43</v>
      </c>
      <c r="AB115" s="129">
        <f t="shared" si="31"/>
        <v>3.43</v>
      </c>
      <c r="AC115" s="129">
        <f t="shared" si="31"/>
        <v>3.43</v>
      </c>
      <c r="AD115" s="129">
        <f t="shared" si="31"/>
        <v>3.43</v>
      </c>
      <c r="AE115" s="129">
        <f t="shared" si="31"/>
        <v>3.43</v>
      </c>
      <c r="AF115" s="129">
        <f t="shared" si="31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9"/>
        <v>2.96</v>
      </c>
      <c r="C116" s="130">
        <v>2.96</v>
      </c>
      <c r="D116" s="129">
        <f t="shared" si="30"/>
        <v>2.96</v>
      </c>
      <c r="E116" s="129">
        <f t="shared" si="30"/>
        <v>2.96</v>
      </c>
      <c r="F116" s="129">
        <f t="shared" si="30"/>
        <v>2.96</v>
      </c>
      <c r="G116" s="129">
        <f t="shared" si="30"/>
        <v>2.96</v>
      </c>
      <c r="H116" s="129">
        <f t="shared" si="30"/>
        <v>2.96</v>
      </c>
      <c r="I116" s="129">
        <f t="shared" si="30"/>
        <v>2.96</v>
      </c>
      <c r="J116" s="129">
        <f t="shared" si="30"/>
        <v>2.96</v>
      </c>
      <c r="K116" s="129">
        <f t="shared" si="30"/>
        <v>2.96</v>
      </c>
      <c r="L116" s="129">
        <f t="shared" si="30"/>
        <v>2.96</v>
      </c>
      <c r="M116" s="129">
        <f t="shared" si="30"/>
        <v>2.96</v>
      </c>
      <c r="N116" s="129">
        <f t="shared" si="30"/>
        <v>2.96</v>
      </c>
      <c r="O116" s="129">
        <f t="shared" si="30"/>
        <v>2.96</v>
      </c>
      <c r="P116" s="129">
        <f t="shared" si="30"/>
        <v>2.96</v>
      </c>
      <c r="Q116" s="129">
        <f t="shared" si="30"/>
        <v>2.96</v>
      </c>
      <c r="R116" s="129">
        <f t="shared" si="30"/>
        <v>2.96</v>
      </c>
      <c r="S116" s="129">
        <f t="shared" si="30"/>
        <v>2.96</v>
      </c>
      <c r="T116" s="129">
        <f t="shared" si="31"/>
        <v>2.96</v>
      </c>
      <c r="U116" s="129">
        <f t="shared" si="31"/>
        <v>2.96</v>
      </c>
      <c r="V116" s="129">
        <f t="shared" si="31"/>
        <v>2.96</v>
      </c>
      <c r="W116" s="129">
        <f t="shared" si="31"/>
        <v>2.96</v>
      </c>
      <c r="X116" s="129">
        <f t="shared" si="31"/>
        <v>2.96</v>
      </c>
      <c r="Y116" s="129">
        <f t="shared" si="31"/>
        <v>2.96</v>
      </c>
      <c r="Z116" s="129">
        <f t="shared" si="31"/>
        <v>2.96</v>
      </c>
      <c r="AA116" s="129">
        <f t="shared" si="31"/>
        <v>2.96</v>
      </c>
      <c r="AB116" s="129">
        <f t="shared" si="31"/>
        <v>2.96</v>
      </c>
      <c r="AC116" s="129">
        <f t="shared" si="31"/>
        <v>2.96</v>
      </c>
      <c r="AD116" s="129">
        <f t="shared" si="31"/>
        <v>2.96</v>
      </c>
      <c r="AE116" s="129">
        <f t="shared" si="31"/>
        <v>2.96</v>
      </c>
      <c r="AF116" s="129">
        <f t="shared" si="31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9"/>
        <v>8</v>
      </c>
      <c r="C117" s="130">
        <v>8</v>
      </c>
      <c r="D117" s="129">
        <f t="shared" si="30"/>
        <v>8</v>
      </c>
      <c r="E117" s="129">
        <f t="shared" si="30"/>
        <v>8</v>
      </c>
      <c r="F117" s="129">
        <f t="shared" si="30"/>
        <v>8</v>
      </c>
      <c r="G117" s="129">
        <f t="shared" si="30"/>
        <v>8</v>
      </c>
      <c r="H117" s="129">
        <f t="shared" si="30"/>
        <v>8</v>
      </c>
      <c r="I117" s="129">
        <f t="shared" si="30"/>
        <v>8</v>
      </c>
      <c r="J117" s="129">
        <f t="shared" si="30"/>
        <v>8</v>
      </c>
      <c r="K117" s="129">
        <f t="shared" si="30"/>
        <v>8</v>
      </c>
      <c r="L117" s="129">
        <f t="shared" si="30"/>
        <v>8</v>
      </c>
      <c r="M117" s="129">
        <f t="shared" si="30"/>
        <v>8</v>
      </c>
      <c r="N117" s="129">
        <f t="shared" si="30"/>
        <v>8</v>
      </c>
      <c r="O117" s="129">
        <f t="shared" si="30"/>
        <v>8</v>
      </c>
      <c r="P117" s="129">
        <f t="shared" si="30"/>
        <v>8</v>
      </c>
      <c r="Q117" s="129">
        <f t="shared" si="30"/>
        <v>8</v>
      </c>
      <c r="R117" s="129">
        <f t="shared" si="30"/>
        <v>8</v>
      </c>
      <c r="S117" s="129">
        <f t="shared" si="30"/>
        <v>8</v>
      </c>
      <c r="T117" s="129">
        <f t="shared" si="31"/>
        <v>8</v>
      </c>
      <c r="U117" s="129">
        <f t="shared" si="31"/>
        <v>8</v>
      </c>
      <c r="V117" s="129">
        <f t="shared" si="31"/>
        <v>8</v>
      </c>
      <c r="W117" s="129">
        <f t="shared" si="31"/>
        <v>8</v>
      </c>
      <c r="X117" s="129">
        <f t="shared" si="31"/>
        <v>8</v>
      </c>
      <c r="Y117" s="129">
        <f t="shared" si="31"/>
        <v>8</v>
      </c>
      <c r="Z117" s="129">
        <f t="shared" si="31"/>
        <v>8</v>
      </c>
      <c r="AA117" s="129">
        <f t="shared" si="31"/>
        <v>8</v>
      </c>
      <c r="AB117" s="129">
        <f t="shared" si="31"/>
        <v>8</v>
      </c>
      <c r="AC117" s="129">
        <f t="shared" si="31"/>
        <v>8</v>
      </c>
      <c r="AD117" s="129">
        <f t="shared" si="31"/>
        <v>8</v>
      </c>
      <c r="AE117" s="129">
        <f t="shared" si="31"/>
        <v>8</v>
      </c>
      <c r="AF117" s="129">
        <f t="shared" si="31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9"/>
        <v>7</v>
      </c>
      <c r="C118" s="130">
        <v>7</v>
      </c>
      <c r="D118" s="129">
        <f>C118</f>
        <v>7</v>
      </c>
      <c r="E118" s="129">
        <f t="shared" si="30"/>
        <v>7</v>
      </c>
      <c r="F118" s="129">
        <f t="shared" si="30"/>
        <v>7</v>
      </c>
      <c r="G118" s="129">
        <f t="shared" si="30"/>
        <v>7</v>
      </c>
      <c r="H118" s="129">
        <f t="shared" si="30"/>
        <v>7</v>
      </c>
      <c r="I118" s="129">
        <f t="shared" si="30"/>
        <v>7</v>
      </c>
      <c r="J118" s="129">
        <f t="shared" si="30"/>
        <v>7</v>
      </c>
      <c r="K118" s="129">
        <f t="shared" si="30"/>
        <v>7</v>
      </c>
      <c r="L118" s="129">
        <f t="shared" si="30"/>
        <v>7</v>
      </c>
      <c r="M118" s="129">
        <f t="shared" si="30"/>
        <v>7</v>
      </c>
      <c r="N118" s="129">
        <f t="shared" si="30"/>
        <v>7</v>
      </c>
      <c r="O118" s="129">
        <f t="shared" si="30"/>
        <v>7</v>
      </c>
      <c r="P118" s="129">
        <f t="shared" si="30"/>
        <v>7</v>
      </c>
      <c r="Q118" s="129">
        <f t="shared" si="30"/>
        <v>7</v>
      </c>
      <c r="R118" s="129">
        <f t="shared" si="30"/>
        <v>7</v>
      </c>
      <c r="S118" s="129">
        <f t="shared" si="30"/>
        <v>7</v>
      </c>
      <c r="T118" s="129">
        <f t="shared" si="31"/>
        <v>7</v>
      </c>
      <c r="U118" s="129">
        <f t="shared" si="31"/>
        <v>7</v>
      </c>
      <c r="V118" s="129">
        <f t="shared" si="31"/>
        <v>7</v>
      </c>
      <c r="W118" s="129">
        <f t="shared" si="31"/>
        <v>7</v>
      </c>
      <c r="X118" s="129">
        <f t="shared" si="31"/>
        <v>7</v>
      </c>
      <c r="Y118" s="129">
        <f t="shared" si="31"/>
        <v>7</v>
      </c>
      <c r="Z118" s="129">
        <f t="shared" si="31"/>
        <v>7</v>
      </c>
      <c r="AA118" s="129">
        <f t="shared" si="31"/>
        <v>7</v>
      </c>
      <c r="AB118" s="129">
        <f t="shared" si="31"/>
        <v>7</v>
      </c>
      <c r="AC118" s="129">
        <f t="shared" si="31"/>
        <v>7</v>
      </c>
      <c r="AD118" s="129">
        <f t="shared" si="31"/>
        <v>7</v>
      </c>
      <c r="AE118" s="129">
        <f t="shared" si="31"/>
        <v>7</v>
      </c>
      <c r="AF118" s="129">
        <f t="shared" si="31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9"/>
        <v>3.47</v>
      </c>
      <c r="C119" s="130">
        <v>3.47</v>
      </c>
      <c r="D119" s="129">
        <f t="shared" ref="D119:S128" si="32">C119</f>
        <v>3.47</v>
      </c>
      <c r="E119" s="129">
        <f t="shared" si="32"/>
        <v>3.47</v>
      </c>
      <c r="F119" s="129">
        <f t="shared" si="32"/>
        <v>3.47</v>
      </c>
      <c r="G119" s="129">
        <f t="shared" si="32"/>
        <v>3.47</v>
      </c>
      <c r="H119" s="129">
        <f t="shared" si="32"/>
        <v>3.47</v>
      </c>
      <c r="I119" s="129">
        <f t="shared" si="32"/>
        <v>3.47</v>
      </c>
      <c r="J119" s="129">
        <f t="shared" si="32"/>
        <v>3.47</v>
      </c>
      <c r="K119" s="129">
        <f t="shared" si="32"/>
        <v>3.47</v>
      </c>
      <c r="L119" s="129">
        <f t="shared" si="32"/>
        <v>3.47</v>
      </c>
      <c r="M119" s="129">
        <f t="shared" si="32"/>
        <v>3.47</v>
      </c>
      <c r="N119" s="129">
        <f t="shared" si="32"/>
        <v>3.47</v>
      </c>
      <c r="O119" s="129">
        <f t="shared" si="32"/>
        <v>3.47</v>
      </c>
      <c r="P119" s="129">
        <f t="shared" si="32"/>
        <v>3.47</v>
      </c>
      <c r="Q119" s="129">
        <f t="shared" si="32"/>
        <v>3.47</v>
      </c>
      <c r="R119" s="129">
        <f t="shared" si="32"/>
        <v>3.47</v>
      </c>
      <c r="S119" s="129">
        <f t="shared" si="32"/>
        <v>3.47</v>
      </c>
      <c r="T119" s="129">
        <f t="shared" si="31"/>
        <v>3.47</v>
      </c>
      <c r="U119" s="129">
        <f t="shared" si="31"/>
        <v>3.47</v>
      </c>
      <c r="V119" s="129">
        <f t="shared" si="31"/>
        <v>3.47</v>
      </c>
      <c r="W119" s="129">
        <f t="shared" si="31"/>
        <v>3.47</v>
      </c>
      <c r="X119" s="129">
        <f t="shared" si="31"/>
        <v>3.47</v>
      </c>
      <c r="Y119" s="129">
        <f t="shared" si="31"/>
        <v>3.47</v>
      </c>
      <c r="Z119" s="129">
        <f t="shared" si="31"/>
        <v>3.47</v>
      </c>
      <c r="AA119" s="129">
        <f t="shared" si="31"/>
        <v>3.47</v>
      </c>
      <c r="AB119" s="129">
        <f t="shared" si="31"/>
        <v>3.47</v>
      </c>
      <c r="AC119" s="129">
        <f t="shared" si="31"/>
        <v>3.47</v>
      </c>
      <c r="AD119" s="129">
        <f t="shared" si="31"/>
        <v>3.47</v>
      </c>
      <c r="AE119" s="129">
        <f t="shared" si="31"/>
        <v>3.47</v>
      </c>
      <c r="AF119" s="129">
        <f t="shared" si="31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9"/>
        <v>2.1</v>
      </c>
      <c r="C120" s="130">
        <v>2.1</v>
      </c>
      <c r="D120" s="129">
        <f t="shared" si="32"/>
        <v>2.1</v>
      </c>
      <c r="E120" s="129">
        <f t="shared" si="32"/>
        <v>2.1</v>
      </c>
      <c r="F120" s="129">
        <f t="shared" si="32"/>
        <v>2.1</v>
      </c>
      <c r="G120" s="129">
        <f t="shared" si="32"/>
        <v>2.1</v>
      </c>
      <c r="H120" s="129">
        <f t="shared" si="32"/>
        <v>2.1</v>
      </c>
      <c r="I120" s="129">
        <f t="shared" si="32"/>
        <v>2.1</v>
      </c>
      <c r="J120" s="129">
        <f t="shared" si="32"/>
        <v>2.1</v>
      </c>
      <c r="K120" s="129">
        <f t="shared" si="32"/>
        <v>2.1</v>
      </c>
      <c r="L120" s="129">
        <f t="shared" si="32"/>
        <v>2.1</v>
      </c>
      <c r="M120" s="129">
        <f t="shared" si="32"/>
        <v>2.1</v>
      </c>
      <c r="N120" s="129">
        <f t="shared" si="32"/>
        <v>2.1</v>
      </c>
      <c r="O120" s="129">
        <f t="shared" si="32"/>
        <v>2.1</v>
      </c>
      <c r="P120" s="129">
        <f t="shared" si="32"/>
        <v>2.1</v>
      </c>
      <c r="Q120" s="129">
        <f t="shared" si="32"/>
        <v>2.1</v>
      </c>
      <c r="R120" s="129">
        <f t="shared" si="32"/>
        <v>2.1</v>
      </c>
      <c r="S120" s="129">
        <f t="shared" si="32"/>
        <v>2.1</v>
      </c>
      <c r="T120" s="129">
        <f t="shared" si="31"/>
        <v>2.1</v>
      </c>
      <c r="U120" s="129">
        <f t="shared" si="31"/>
        <v>2.1</v>
      </c>
      <c r="V120" s="129">
        <f t="shared" si="31"/>
        <v>2.1</v>
      </c>
      <c r="W120" s="129">
        <f t="shared" si="31"/>
        <v>2.1</v>
      </c>
      <c r="X120" s="129">
        <f t="shared" si="31"/>
        <v>2.1</v>
      </c>
      <c r="Y120" s="129">
        <f t="shared" si="31"/>
        <v>2.1</v>
      </c>
      <c r="Z120" s="129">
        <f t="shared" si="31"/>
        <v>2.1</v>
      </c>
      <c r="AA120" s="129">
        <f t="shared" si="31"/>
        <v>2.1</v>
      </c>
      <c r="AB120" s="129">
        <f t="shared" si="31"/>
        <v>2.1</v>
      </c>
      <c r="AC120" s="129">
        <f t="shared" si="31"/>
        <v>2.1</v>
      </c>
      <c r="AD120" s="129">
        <f t="shared" si="31"/>
        <v>2.1</v>
      </c>
      <c r="AE120" s="129">
        <f t="shared" si="31"/>
        <v>2.1</v>
      </c>
      <c r="AF120" s="129">
        <f t="shared" si="31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9"/>
        <v>9.3000000000000007</v>
      </c>
      <c r="C121" s="130">
        <v>9.3000000000000007</v>
      </c>
      <c r="D121" s="129">
        <f t="shared" si="32"/>
        <v>9.3000000000000007</v>
      </c>
      <c r="E121" s="129">
        <f t="shared" si="32"/>
        <v>9.3000000000000007</v>
      </c>
      <c r="F121" s="129">
        <f t="shared" si="32"/>
        <v>9.3000000000000007</v>
      </c>
      <c r="G121" s="129">
        <f t="shared" si="32"/>
        <v>9.3000000000000007</v>
      </c>
      <c r="H121" s="129">
        <f t="shared" si="32"/>
        <v>9.3000000000000007</v>
      </c>
      <c r="I121" s="129">
        <f t="shared" si="32"/>
        <v>9.3000000000000007</v>
      </c>
      <c r="J121" s="129">
        <f t="shared" si="32"/>
        <v>9.3000000000000007</v>
      </c>
      <c r="K121" s="129">
        <f t="shared" si="32"/>
        <v>9.3000000000000007</v>
      </c>
      <c r="L121" s="129">
        <f t="shared" si="32"/>
        <v>9.3000000000000007</v>
      </c>
      <c r="M121" s="129">
        <f t="shared" si="32"/>
        <v>9.3000000000000007</v>
      </c>
      <c r="N121" s="129">
        <f t="shared" si="32"/>
        <v>9.3000000000000007</v>
      </c>
      <c r="O121" s="129">
        <f t="shared" si="32"/>
        <v>9.3000000000000007</v>
      </c>
      <c r="P121" s="129">
        <f t="shared" si="32"/>
        <v>9.3000000000000007</v>
      </c>
      <c r="Q121" s="129">
        <f t="shared" si="32"/>
        <v>9.3000000000000007</v>
      </c>
      <c r="R121" s="129">
        <f t="shared" si="32"/>
        <v>9.3000000000000007</v>
      </c>
      <c r="S121" s="129">
        <f t="shared" si="32"/>
        <v>9.3000000000000007</v>
      </c>
      <c r="T121" s="129">
        <f t="shared" si="31"/>
        <v>9.3000000000000007</v>
      </c>
      <c r="U121" s="129">
        <f t="shared" si="31"/>
        <v>9.3000000000000007</v>
      </c>
      <c r="V121" s="129">
        <f t="shared" si="31"/>
        <v>9.3000000000000007</v>
      </c>
      <c r="W121" s="129">
        <f t="shared" si="31"/>
        <v>9.3000000000000007</v>
      </c>
      <c r="X121" s="129">
        <f t="shared" si="31"/>
        <v>9.3000000000000007</v>
      </c>
      <c r="Y121" s="129">
        <f t="shared" si="31"/>
        <v>9.3000000000000007</v>
      </c>
      <c r="Z121" s="129">
        <f t="shared" si="31"/>
        <v>9.3000000000000007</v>
      </c>
      <c r="AA121" s="129">
        <f t="shared" si="31"/>
        <v>9.3000000000000007</v>
      </c>
      <c r="AB121" s="129">
        <f t="shared" si="31"/>
        <v>9.3000000000000007</v>
      </c>
      <c r="AC121" s="129">
        <f t="shared" si="31"/>
        <v>9.3000000000000007</v>
      </c>
      <c r="AD121" s="129">
        <f t="shared" si="31"/>
        <v>9.3000000000000007</v>
      </c>
      <c r="AE121" s="129">
        <f t="shared" si="31"/>
        <v>9.3000000000000007</v>
      </c>
      <c r="AF121" s="129">
        <f t="shared" si="31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9"/>
        <v>0</v>
      </c>
      <c r="C122" s="130">
        <v>0</v>
      </c>
      <c r="D122" s="129">
        <f t="shared" si="32"/>
        <v>0</v>
      </c>
      <c r="E122" s="129">
        <f t="shared" si="32"/>
        <v>0</v>
      </c>
      <c r="F122" s="129">
        <f t="shared" si="32"/>
        <v>0</v>
      </c>
      <c r="G122" s="129">
        <f t="shared" si="32"/>
        <v>0</v>
      </c>
      <c r="H122" s="129">
        <f t="shared" si="32"/>
        <v>0</v>
      </c>
      <c r="I122" s="129">
        <f t="shared" si="32"/>
        <v>0</v>
      </c>
      <c r="J122" s="129">
        <f t="shared" si="32"/>
        <v>0</v>
      </c>
      <c r="K122" s="129">
        <f t="shared" si="32"/>
        <v>0</v>
      </c>
      <c r="L122" s="129">
        <f t="shared" si="32"/>
        <v>0</v>
      </c>
      <c r="M122" s="129">
        <f t="shared" si="32"/>
        <v>0</v>
      </c>
      <c r="N122" s="129">
        <f t="shared" si="32"/>
        <v>0</v>
      </c>
      <c r="O122" s="129">
        <f t="shared" si="32"/>
        <v>0</v>
      </c>
      <c r="P122" s="129">
        <f t="shared" si="32"/>
        <v>0</v>
      </c>
      <c r="Q122" s="129">
        <f t="shared" si="32"/>
        <v>0</v>
      </c>
      <c r="R122" s="129">
        <f t="shared" si="32"/>
        <v>0</v>
      </c>
      <c r="S122" s="129">
        <f t="shared" si="32"/>
        <v>0</v>
      </c>
      <c r="T122" s="129">
        <f t="shared" si="31"/>
        <v>0</v>
      </c>
      <c r="U122" s="129">
        <f t="shared" si="31"/>
        <v>0</v>
      </c>
      <c r="V122" s="129">
        <f t="shared" si="31"/>
        <v>0</v>
      </c>
      <c r="W122" s="129">
        <f t="shared" si="31"/>
        <v>0</v>
      </c>
      <c r="X122" s="129">
        <f t="shared" si="31"/>
        <v>0</v>
      </c>
      <c r="Y122" s="129">
        <f t="shared" si="31"/>
        <v>0</v>
      </c>
      <c r="Z122" s="129">
        <f t="shared" si="31"/>
        <v>0</v>
      </c>
      <c r="AA122" s="129">
        <f t="shared" si="31"/>
        <v>0</v>
      </c>
      <c r="AB122" s="129">
        <f t="shared" si="31"/>
        <v>0</v>
      </c>
      <c r="AC122" s="129">
        <f t="shared" si="31"/>
        <v>0</v>
      </c>
      <c r="AD122" s="129">
        <f t="shared" si="31"/>
        <v>0</v>
      </c>
      <c r="AE122" s="129">
        <f t="shared" si="31"/>
        <v>0</v>
      </c>
      <c r="AF122" s="129">
        <f t="shared" si="31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9"/>
        <v>0</v>
      </c>
      <c r="C123" s="130">
        <v>0</v>
      </c>
      <c r="D123" s="129">
        <f t="shared" si="32"/>
        <v>0</v>
      </c>
      <c r="E123" s="129">
        <f t="shared" si="32"/>
        <v>0</v>
      </c>
      <c r="F123" s="129">
        <f t="shared" si="32"/>
        <v>0</v>
      </c>
      <c r="G123" s="129">
        <f t="shared" si="32"/>
        <v>0</v>
      </c>
      <c r="H123" s="129">
        <f t="shared" si="32"/>
        <v>0</v>
      </c>
      <c r="I123" s="129">
        <f t="shared" si="32"/>
        <v>0</v>
      </c>
      <c r="J123" s="129">
        <f t="shared" si="32"/>
        <v>0</v>
      </c>
      <c r="K123" s="129">
        <f t="shared" si="32"/>
        <v>0</v>
      </c>
      <c r="L123" s="129">
        <f t="shared" si="32"/>
        <v>0</v>
      </c>
      <c r="M123" s="129">
        <f t="shared" si="32"/>
        <v>0</v>
      </c>
      <c r="N123" s="129">
        <f t="shared" si="32"/>
        <v>0</v>
      </c>
      <c r="O123" s="129">
        <f t="shared" si="32"/>
        <v>0</v>
      </c>
      <c r="P123" s="129">
        <f t="shared" si="32"/>
        <v>0</v>
      </c>
      <c r="Q123" s="129">
        <f t="shared" si="32"/>
        <v>0</v>
      </c>
      <c r="R123" s="129">
        <f t="shared" si="32"/>
        <v>0</v>
      </c>
      <c r="S123" s="129">
        <f t="shared" si="32"/>
        <v>0</v>
      </c>
      <c r="T123" s="129">
        <f t="shared" si="31"/>
        <v>0</v>
      </c>
      <c r="U123" s="129">
        <f t="shared" si="31"/>
        <v>0</v>
      </c>
      <c r="V123" s="129">
        <f t="shared" si="31"/>
        <v>0</v>
      </c>
      <c r="W123" s="129">
        <f t="shared" si="31"/>
        <v>0</v>
      </c>
      <c r="X123" s="129">
        <f t="shared" si="31"/>
        <v>0</v>
      </c>
      <c r="Y123" s="129">
        <f t="shared" si="31"/>
        <v>0</v>
      </c>
      <c r="Z123" s="129">
        <f t="shared" si="31"/>
        <v>0</v>
      </c>
      <c r="AA123" s="129">
        <f t="shared" si="31"/>
        <v>0</v>
      </c>
      <c r="AB123" s="129">
        <f t="shared" si="31"/>
        <v>0</v>
      </c>
      <c r="AC123" s="129">
        <f t="shared" si="31"/>
        <v>0</v>
      </c>
      <c r="AD123" s="129">
        <f t="shared" si="31"/>
        <v>0</v>
      </c>
      <c r="AE123" s="129">
        <f t="shared" si="31"/>
        <v>0</v>
      </c>
      <c r="AF123" s="129">
        <f t="shared" si="31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9"/>
        <v>5</v>
      </c>
      <c r="C124" s="130">
        <v>5</v>
      </c>
      <c r="D124" s="129">
        <f t="shared" si="32"/>
        <v>5</v>
      </c>
      <c r="E124" s="129">
        <f t="shared" si="32"/>
        <v>5</v>
      </c>
      <c r="F124" s="129">
        <f t="shared" si="32"/>
        <v>5</v>
      </c>
      <c r="G124" s="129">
        <f t="shared" si="32"/>
        <v>5</v>
      </c>
      <c r="H124" s="129">
        <f t="shared" si="32"/>
        <v>5</v>
      </c>
      <c r="I124" s="129">
        <f t="shared" si="32"/>
        <v>5</v>
      </c>
      <c r="J124" s="129">
        <f t="shared" si="32"/>
        <v>5</v>
      </c>
      <c r="K124" s="129">
        <f t="shared" si="32"/>
        <v>5</v>
      </c>
      <c r="L124" s="129">
        <f t="shared" si="32"/>
        <v>5</v>
      </c>
      <c r="M124" s="129">
        <f t="shared" si="32"/>
        <v>5</v>
      </c>
      <c r="N124" s="129">
        <f t="shared" si="32"/>
        <v>5</v>
      </c>
      <c r="O124" s="129">
        <f t="shared" si="32"/>
        <v>5</v>
      </c>
      <c r="P124" s="129">
        <f t="shared" si="32"/>
        <v>5</v>
      </c>
      <c r="Q124" s="129">
        <f t="shared" si="32"/>
        <v>5</v>
      </c>
      <c r="R124" s="129">
        <f t="shared" si="32"/>
        <v>5</v>
      </c>
      <c r="S124" s="129">
        <f t="shared" si="32"/>
        <v>5</v>
      </c>
      <c r="T124" s="129">
        <f t="shared" si="31"/>
        <v>5</v>
      </c>
      <c r="U124" s="129">
        <f t="shared" si="31"/>
        <v>5</v>
      </c>
      <c r="V124" s="129">
        <f t="shared" si="31"/>
        <v>5</v>
      </c>
      <c r="W124" s="129">
        <f t="shared" si="31"/>
        <v>5</v>
      </c>
      <c r="X124" s="129">
        <f t="shared" si="31"/>
        <v>5</v>
      </c>
      <c r="Y124" s="129">
        <f t="shared" si="31"/>
        <v>5</v>
      </c>
      <c r="Z124" s="129">
        <f t="shared" si="31"/>
        <v>5</v>
      </c>
      <c r="AA124" s="129">
        <f t="shared" si="31"/>
        <v>5</v>
      </c>
      <c r="AB124" s="129">
        <f t="shared" si="31"/>
        <v>5</v>
      </c>
      <c r="AC124" s="129">
        <f t="shared" si="31"/>
        <v>5</v>
      </c>
      <c r="AD124" s="129">
        <f t="shared" si="31"/>
        <v>5</v>
      </c>
      <c r="AE124" s="129">
        <f t="shared" si="31"/>
        <v>5</v>
      </c>
      <c r="AF124" s="129">
        <f t="shared" si="31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9"/>
        <v>1</v>
      </c>
      <c r="C125" s="130">
        <v>1</v>
      </c>
      <c r="D125" s="129">
        <f t="shared" si="32"/>
        <v>1</v>
      </c>
      <c r="E125" s="129">
        <f t="shared" si="32"/>
        <v>1</v>
      </c>
      <c r="F125" s="129">
        <f t="shared" si="32"/>
        <v>1</v>
      </c>
      <c r="G125" s="129">
        <f t="shared" si="32"/>
        <v>1</v>
      </c>
      <c r="H125" s="129">
        <f t="shared" si="32"/>
        <v>1</v>
      </c>
      <c r="I125" s="129">
        <f t="shared" si="32"/>
        <v>1</v>
      </c>
      <c r="J125" s="129">
        <f t="shared" si="32"/>
        <v>1</v>
      </c>
      <c r="K125" s="129">
        <f t="shared" si="32"/>
        <v>1</v>
      </c>
      <c r="L125" s="129">
        <f t="shared" si="32"/>
        <v>1</v>
      </c>
      <c r="M125" s="129">
        <f t="shared" si="32"/>
        <v>1</v>
      </c>
      <c r="N125" s="129">
        <f t="shared" si="32"/>
        <v>1</v>
      </c>
      <c r="O125" s="129">
        <f t="shared" si="32"/>
        <v>1</v>
      </c>
      <c r="P125" s="129">
        <f t="shared" si="32"/>
        <v>1</v>
      </c>
      <c r="Q125" s="129">
        <f t="shared" si="32"/>
        <v>1</v>
      </c>
      <c r="R125" s="129">
        <f t="shared" si="32"/>
        <v>1</v>
      </c>
      <c r="S125" s="129">
        <f t="shared" si="32"/>
        <v>1</v>
      </c>
      <c r="T125" s="129">
        <f t="shared" si="31"/>
        <v>1</v>
      </c>
      <c r="U125" s="129">
        <f t="shared" si="31"/>
        <v>1</v>
      </c>
      <c r="V125" s="129">
        <f t="shared" si="31"/>
        <v>1</v>
      </c>
      <c r="W125" s="129">
        <f t="shared" si="31"/>
        <v>1</v>
      </c>
      <c r="X125" s="129">
        <f t="shared" si="31"/>
        <v>1</v>
      </c>
      <c r="Y125" s="129">
        <f t="shared" si="31"/>
        <v>1</v>
      </c>
      <c r="Z125" s="129">
        <f t="shared" si="31"/>
        <v>1</v>
      </c>
      <c r="AA125" s="129">
        <f t="shared" si="31"/>
        <v>1</v>
      </c>
      <c r="AB125" s="129">
        <f t="shared" si="31"/>
        <v>1</v>
      </c>
      <c r="AC125" s="129">
        <f t="shared" si="31"/>
        <v>1</v>
      </c>
      <c r="AD125" s="129">
        <f t="shared" si="31"/>
        <v>1</v>
      </c>
      <c r="AE125" s="129">
        <f t="shared" si="31"/>
        <v>1</v>
      </c>
      <c r="AF125" s="129">
        <f t="shared" si="31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9"/>
        <v>1.58</v>
      </c>
      <c r="C126" s="130">
        <v>1.58</v>
      </c>
      <c r="D126" s="129">
        <f t="shared" si="32"/>
        <v>1.58</v>
      </c>
      <c r="E126" s="129">
        <f t="shared" si="32"/>
        <v>1.58</v>
      </c>
      <c r="F126" s="129">
        <f t="shared" si="32"/>
        <v>1.58</v>
      </c>
      <c r="G126" s="129">
        <f t="shared" si="32"/>
        <v>1.58</v>
      </c>
      <c r="H126" s="129">
        <f t="shared" si="32"/>
        <v>1.58</v>
      </c>
      <c r="I126" s="129">
        <f t="shared" si="32"/>
        <v>1.58</v>
      </c>
      <c r="J126" s="129">
        <f t="shared" si="32"/>
        <v>1.58</v>
      </c>
      <c r="K126" s="129">
        <f t="shared" si="32"/>
        <v>1.58</v>
      </c>
      <c r="L126" s="129">
        <f t="shared" si="32"/>
        <v>1.58</v>
      </c>
      <c r="M126" s="129">
        <f t="shared" si="32"/>
        <v>1.58</v>
      </c>
      <c r="N126" s="129">
        <f t="shared" si="32"/>
        <v>1.58</v>
      </c>
      <c r="O126" s="129">
        <f t="shared" si="32"/>
        <v>1.58</v>
      </c>
      <c r="P126" s="129">
        <f t="shared" si="32"/>
        <v>1.58</v>
      </c>
      <c r="Q126" s="129">
        <f t="shared" si="32"/>
        <v>1.58</v>
      </c>
      <c r="R126" s="129">
        <f t="shared" si="32"/>
        <v>1.58</v>
      </c>
      <c r="S126" s="129">
        <f t="shared" si="32"/>
        <v>1.58</v>
      </c>
      <c r="T126" s="129">
        <f t="shared" si="31"/>
        <v>1.58</v>
      </c>
      <c r="U126" s="129">
        <f t="shared" si="31"/>
        <v>1.58</v>
      </c>
      <c r="V126" s="129">
        <f t="shared" si="31"/>
        <v>1.58</v>
      </c>
      <c r="W126" s="129">
        <f t="shared" si="31"/>
        <v>1.58</v>
      </c>
      <c r="X126" s="129">
        <f t="shared" si="31"/>
        <v>1.58</v>
      </c>
      <c r="Y126" s="129">
        <f t="shared" si="31"/>
        <v>1.58</v>
      </c>
      <c r="Z126" s="129">
        <f t="shared" si="31"/>
        <v>1.58</v>
      </c>
      <c r="AA126" s="129">
        <f t="shared" si="31"/>
        <v>1.58</v>
      </c>
      <c r="AB126" s="129">
        <f t="shared" si="31"/>
        <v>1.58</v>
      </c>
      <c r="AC126" s="129">
        <f t="shared" si="31"/>
        <v>1.58</v>
      </c>
      <c r="AD126" s="129">
        <f t="shared" si="31"/>
        <v>1.58</v>
      </c>
      <c r="AE126" s="129">
        <f t="shared" si="31"/>
        <v>1.58</v>
      </c>
      <c r="AF126" s="129">
        <f t="shared" si="31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9"/>
        <v>1.46</v>
      </c>
      <c r="C127" s="130">
        <v>1.46</v>
      </c>
      <c r="D127" s="129">
        <f t="shared" si="32"/>
        <v>1.46</v>
      </c>
      <c r="E127" s="129">
        <f t="shared" si="32"/>
        <v>1.46</v>
      </c>
      <c r="F127" s="129">
        <f t="shared" si="32"/>
        <v>1.46</v>
      </c>
      <c r="G127" s="129">
        <f t="shared" si="32"/>
        <v>1.46</v>
      </c>
      <c r="H127" s="129">
        <f t="shared" si="32"/>
        <v>1.46</v>
      </c>
      <c r="I127" s="129">
        <f t="shared" si="32"/>
        <v>1.46</v>
      </c>
      <c r="J127" s="129">
        <f t="shared" si="32"/>
        <v>1.46</v>
      </c>
      <c r="K127" s="129">
        <f t="shared" si="32"/>
        <v>1.46</v>
      </c>
      <c r="L127" s="129">
        <f t="shared" si="32"/>
        <v>1.46</v>
      </c>
      <c r="M127" s="129">
        <f t="shared" si="32"/>
        <v>1.46</v>
      </c>
      <c r="N127" s="129">
        <f t="shared" si="32"/>
        <v>1.46</v>
      </c>
      <c r="O127" s="129">
        <f t="shared" si="32"/>
        <v>1.46</v>
      </c>
      <c r="P127" s="129">
        <f t="shared" si="32"/>
        <v>1.46</v>
      </c>
      <c r="Q127" s="129">
        <f t="shared" si="32"/>
        <v>1.46</v>
      </c>
      <c r="R127" s="129">
        <f t="shared" si="32"/>
        <v>1.46</v>
      </c>
      <c r="S127" s="129">
        <f t="shared" si="32"/>
        <v>1.46</v>
      </c>
      <c r="T127" s="129">
        <f t="shared" ref="T127:AF128" si="33">S127</f>
        <v>1.46</v>
      </c>
      <c r="U127" s="129">
        <f t="shared" si="33"/>
        <v>1.46</v>
      </c>
      <c r="V127" s="129">
        <f t="shared" si="33"/>
        <v>1.46</v>
      </c>
      <c r="W127" s="129">
        <f t="shared" si="33"/>
        <v>1.46</v>
      </c>
      <c r="X127" s="129">
        <f t="shared" si="33"/>
        <v>1.46</v>
      </c>
      <c r="Y127" s="129">
        <f t="shared" si="33"/>
        <v>1.46</v>
      </c>
      <c r="Z127" s="129">
        <f t="shared" si="33"/>
        <v>1.46</v>
      </c>
      <c r="AA127" s="129">
        <f t="shared" si="33"/>
        <v>1.46</v>
      </c>
      <c r="AB127" s="129">
        <f t="shared" si="33"/>
        <v>1.46</v>
      </c>
      <c r="AC127" s="129">
        <f t="shared" si="33"/>
        <v>1.46</v>
      </c>
      <c r="AD127" s="129">
        <f t="shared" si="33"/>
        <v>1.46</v>
      </c>
      <c r="AE127" s="129">
        <f t="shared" si="33"/>
        <v>1.46</v>
      </c>
      <c r="AF127" s="129">
        <f t="shared" si="33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9"/>
        <v>1.48</v>
      </c>
      <c r="C128" s="130">
        <v>1.48</v>
      </c>
      <c r="D128" s="129">
        <f t="shared" si="32"/>
        <v>1.48</v>
      </c>
      <c r="E128" s="129">
        <f t="shared" si="32"/>
        <v>1.48</v>
      </c>
      <c r="F128" s="129">
        <f t="shared" si="32"/>
        <v>1.48</v>
      </c>
      <c r="G128" s="129">
        <f t="shared" si="32"/>
        <v>1.48</v>
      </c>
      <c r="H128" s="129">
        <f t="shared" si="32"/>
        <v>1.48</v>
      </c>
      <c r="I128" s="129">
        <f t="shared" si="32"/>
        <v>1.48</v>
      </c>
      <c r="J128" s="129">
        <f t="shared" si="32"/>
        <v>1.48</v>
      </c>
      <c r="K128" s="129">
        <f t="shared" si="32"/>
        <v>1.48</v>
      </c>
      <c r="L128" s="129">
        <f t="shared" si="32"/>
        <v>1.48</v>
      </c>
      <c r="M128" s="129">
        <f t="shared" si="32"/>
        <v>1.48</v>
      </c>
      <c r="N128" s="129">
        <f t="shared" si="32"/>
        <v>1.48</v>
      </c>
      <c r="O128" s="129">
        <f t="shared" si="32"/>
        <v>1.48</v>
      </c>
      <c r="P128" s="129">
        <f t="shared" si="32"/>
        <v>1.48</v>
      </c>
      <c r="Q128" s="129">
        <f t="shared" si="32"/>
        <v>1.48</v>
      </c>
      <c r="R128" s="129">
        <f t="shared" si="32"/>
        <v>1.48</v>
      </c>
      <c r="S128" s="129">
        <f t="shared" si="32"/>
        <v>1.48</v>
      </c>
      <c r="T128" s="129">
        <f t="shared" si="33"/>
        <v>1.48</v>
      </c>
      <c r="U128" s="129">
        <f t="shared" si="33"/>
        <v>1.48</v>
      </c>
      <c r="V128" s="129">
        <f t="shared" si="33"/>
        <v>1.48</v>
      </c>
      <c r="W128" s="129">
        <f t="shared" si="33"/>
        <v>1.48</v>
      </c>
      <c r="X128" s="129">
        <f t="shared" si="33"/>
        <v>1.48</v>
      </c>
      <c r="Y128" s="129">
        <f t="shared" si="33"/>
        <v>1.48</v>
      </c>
      <c r="Z128" s="129">
        <f t="shared" si="33"/>
        <v>1.48</v>
      </c>
      <c r="AA128" s="129">
        <f t="shared" si="33"/>
        <v>1.48</v>
      </c>
      <c r="AB128" s="129">
        <f t="shared" si="33"/>
        <v>1.48</v>
      </c>
      <c r="AC128" s="129">
        <f t="shared" si="33"/>
        <v>1.48</v>
      </c>
      <c r="AD128" s="129">
        <f t="shared" si="33"/>
        <v>1.48</v>
      </c>
      <c r="AE128" s="129">
        <f t="shared" si="33"/>
        <v>1.48</v>
      </c>
      <c r="AF128" s="129">
        <f t="shared" si="33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4">AF130</f>
        <v>2.2000000000000002</v>
      </c>
      <c r="C130" s="130">
        <v>2.2000000000000002</v>
      </c>
      <c r="D130" s="129">
        <f t="shared" ref="D130:S137" si="35">C130</f>
        <v>2.2000000000000002</v>
      </c>
      <c r="E130" s="129">
        <f t="shared" si="35"/>
        <v>2.2000000000000002</v>
      </c>
      <c r="F130" s="129">
        <f t="shared" si="35"/>
        <v>2.2000000000000002</v>
      </c>
      <c r="G130" s="129">
        <f t="shared" si="35"/>
        <v>2.2000000000000002</v>
      </c>
      <c r="H130" s="129">
        <f t="shared" si="35"/>
        <v>2.2000000000000002</v>
      </c>
      <c r="I130" s="129">
        <f t="shared" si="35"/>
        <v>2.2000000000000002</v>
      </c>
      <c r="J130" s="129">
        <f t="shared" si="35"/>
        <v>2.2000000000000002</v>
      </c>
      <c r="K130" s="129">
        <f t="shared" si="35"/>
        <v>2.2000000000000002</v>
      </c>
      <c r="L130" s="129">
        <f t="shared" si="35"/>
        <v>2.2000000000000002</v>
      </c>
      <c r="M130" s="129">
        <f t="shared" si="35"/>
        <v>2.2000000000000002</v>
      </c>
      <c r="N130" s="129">
        <f t="shared" si="35"/>
        <v>2.2000000000000002</v>
      </c>
      <c r="O130" s="129">
        <f t="shared" si="35"/>
        <v>2.2000000000000002</v>
      </c>
      <c r="P130" s="129">
        <f t="shared" si="35"/>
        <v>2.2000000000000002</v>
      </c>
      <c r="Q130" s="129">
        <f t="shared" si="35"/>
        <v>2.2000000000000002</v>
      </c>
      <c r="R130" s="129">
        <f t="shared" si="35"/>
        <v>2.2000000000000002</v>
      </c>
      <c r="S130" s="129">
        <f t="shared" si="35"/>
        <v>2.2000000000000002</v>
      </c>
      <c r="T130" s="129">
        <f t="shared" ref="T130:AF137" si="36">S130</f>
        <v>2.2000000000000002</v>
      </c>
      <c r="U130" s="129">
        <f t="shared" si="36"/>
        <v>2.2000000000000002</v>
      </c>
      <c r="V130" s="129">
        <f t="shared" si="36"/>
        <v>2.2000000000000002</v>
      </c>
      <c r="W130" s="129">
        <f t="shared" si="36"/>
        <v>2.2000000000000002</v>
      </c>
      <c r="X130" s="129">
        <f t="shared" si="36"/>
        <v>2.2000000000000002</v>
      </c>
      <c r="Y130" s="129">
        <f t="shared" si="36"/>
        <v>2.2000000000000002</v>
      </c>
      <c r="Z130" s="129">
        <f t="shared" si="36"/>
        <v>2.2000000000000002</v>
      </c>
      <c r="AA130" s="129">
        <f t="shared" si="36"/>
        <v>2.2000000000000002</v>
      </c>
      <c r="AB130" s="129">
        <f t="shared" si="36"/>
        <v>2.2000000000000002</v>
      </c>
      <c r="AC130" s="129">
        <f t="shared" si="36"/>
        <v>2.2000000000000002</v>
      </c>
      <c r="AD130" s="129">
        <f t="shared" si="36"/>
        <v>2.2000000000000002</v>
      </c>
      <c r="AE130" s="129">
        <f t="shared" si="36"/>
        <v>2.2000000000000002</v>
      </c>
      <c r="AF130" s="129">
        <f t="shared" si="36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4"/>
        <v>2</v>
      </c>
      <c r="C131" s="130">
        <v>2</v>
      </c>
      <c r="D131" s="129">
        <f t="shared" si="35"/>
        <v>2</v>
      </c>
      <c r="E131" s="129">
        <f t="shared" si="35"/>
        <v>2</v>
      </c>
      <c r="F131" s="129">
        <f t="shared" si="35"/>
        <v>2</v>
      </c>
      <c r="G131" s="129">
        <f t="shared" si="35"/>
        <v>2</v>
      </c>
      <c r="H131" s="129">
        <f t="shared" si="35"/>
        <v>2</v>
      </c>
      <c r="I131" s="129">
        <f t="shared" si="35"/>
        <v>2</v>
      </c>
      <c r="J131" s="129">
        <f t="shared" si="35"/>
        <v>2</v>
      </c>
      <c r="K131" s="129">
        <f t="shared" si="35"/>
        <v>2</v>
      </c>
      <c r="L131" s="129">
        <f t="shared" si="35"/>
        <v>2</v>
      </c>
      <c r="M131" s="129">
        <f t="shared" si="35"/>
        <v>2</v>
      </c>
      <c r="N131" s="129">
        <f t="shared" si="35"/>
        <v>2</v>
      </c>
      <c r="O131" s="129">
        <f t="shared" si="35"/>
        <v>2</v>
      </c>
      <c r="P131" s="129">
        <f t="shared" si="35"/>
        <v>2</v>
      </c>
      <c r="Q131" s="129">
        <f t="shared" si="35"/>
        <v>2</v>
      </c>
      <c r="R131" s="129">
        <f t="shared" si="35"/>
        <v>2</v>
      </c>
      <c r="S131" s="129">
        <f t="shared" si="35"/>
        <v>2</v>
      </c>
      <c r="T131" s="129">
        <f t="shared" si="36"/>
        <v>2</v>
      </c>
      <c r="U131" s="129">
        <f t="shared" si="36"/>
        <v>2</v>
      </c>
      <c r="V131" s="129">
        <f t="shared" si="36"/>
        <v>2</v>
      </c>
      <c r="W131" s="129">
        <f t="shared" si="36"/>
        <v>2</v>
      </c>
      <c r="X131" s="129">
        <f t="shared" si="36"/>
        <v>2</v>
      </c>
      <c r="Y131" s="129">
        <f t="shared" si="36"/>
        <v>2</v>
      </c>
      <c r="Z131" s="129">
        <f t="shared" si="36"/>
        <v>2</v>
      </c>
      <c r="AA131" s="129">
        <f t="shared" si="36"/>
        <v>2</v>
      </c>
      <c r="AB131" s="129">
        <f t="shared" si="36"/>
        <v>2</v>
      </c>
      <c r="AC131" s="129">
        <f t="shared" si="36"/>
        <v>2</v>
      </c>
      <c r="AD131" s="129">
        <f t="shared" si="36"/>
        <v>2</v>
      </c>
      <c r="AE131" s="129">
        <f t="shared" si="36"/>
        <v>2</v>
      </c>
      <c r="AF131" s="129">
        <f t="shared" si="36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4"/>
        <v>1.25</v>
      </c>
      <c r="C132" s="130">
        <v>1.25</v>
      </c>
      <c r="D132" s="129">
        <f t="shared" si="35"/>
        <v>1.25</v>
      </c>
      <c r="E132" s="129">
        <f t="shared" si="35"/>
        <v>1.25</v>
      </c>
      <c r="F132" s="129">
        <f t="shared" si="35"/>
        <v>1.25</v>
      </c>
      <c r="G132" s="129">
        <f t="shared" si="35"/>
        <v>1.25</v>
      </c>
      <c r="H132" s="129">
        <f t="shared" si="35"/>
        <v>1.25</v>
      </c>
      <c r="I132" s="129">
        <f t="shared" si="35"/>
        <v>1.25</v>
      </c>
      <c r="J132" s="129">
        <f t="shared" si="35"/>
        <v>1.25</v>
      </c>
      <c r="K132" s="129">
        <f t="shared" si="35"/>
        <v>1.25</v>
      </c>
      <c r="L132" s="129">
        <f t="shared" si="35"/>
        <v>1.25</v>
      </c>
      <c r="M132" s="129">
        <f t="shared" si="35"/>
        <v>1.25</v>
      </c>
      <c r="N132" s="129">
        <f t="shared" si="35"/>
        <v>1.25</v>
      </c>
      <c r="O132" s="129">
        <f t="shared" si="35"/>
        <v>1.25</v>
      </c>
      <c r="P132" s="129">
        <f t="shared" si="35"/>
        <v>1.25</v>
      </c>
      <c r="Q132" s="129">
        <f t="shared" si="35"/>
        <v>1.25</v>
      </c>
      <c r="R132" s="129">
        <f t="shared" si="35"/>
        <v>1.25</v>
      </c>
      <c r="S132" s="129">
        <f t="shared" si="35"/>
        <v>1.25</v>
      </c>
      <c r="T132" s="129">
        <f t="shared" si="36"/>
        <v>1.25</v>
      </c>
      <c r="U132" s="129">
        <f t="shared" si="36"/>
        <v>1.25</v>
      </c>
      <c r="V132" s="129">
        <f t="shared" si="36"/>
        <v>1.25</v>
      </c>
      <c r="W132" s="129">
        <f t="shared" si="36"/>
        <v>1.25</v>
      </c>
      <c r="X132" s="129">
        <f t="shared" si="36"/>
        <v>1.25</v>
      </c>
      <c r="Y132" s="129">
        <f t="shared" si="36"/>
        <v>1.25</v>
      </c>
      <c r="Z132" s="129">
        <f t="shared" si="36"/>
        <v>1.25</v>
      </c>
      <c r="AA132" s="129">
        <f t="shared" si="36"/>
        <v>1.25</v>
      </c>
      <c r="AB132" s="129">
        <f t="shared" si="36"/>
        <v>1.25</v>
      </c>
      <c r="AC132" s="129">
        <f t="shared" si="36"/>
        <v>1.25</v>
      </c>
      <c r="AD132" s="129">
        <f t="shared" si="36"/>
        <v>1.25</v>
      </c>
      <c r="AE132" s="129">
        <f t="shared" si="36"/>
        <v>1.25</v>
      </c>
      <c r="AF132" s="129">
        <f t="shared" si="36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4"/>
        <v>1.1499999999999999</v>
      </c>
      <c r="C133" s="130">
        <v>1.1499999999999999</v>
      </c>
      <c r="D133" s="129">
        <f t="shared" si="35"/>
        <v>1.1499999999999999</v>
      </c>
      <c r="E133" s="129">
        <f t="shared" si="35"/>
        <v>1.1499999999999999</v>
      </c>
      <c r="F133" s="129">
        <f t="shared" si="35"/>
        <v>1.1499999999999999</v>
      </c>
      <c r="G133" s="129">
        <f t="shared" si="35"/>
        <v>1.1499999999999999</v>
      </c>
      <c r="H133" s="129">
        <f t="shared" si="35"/>
        <v>1.1499999999999999</v>
      </c>
      <c r="I133" s="129">
        <f t="shared" si="35"/>
        <v>1.1499999999999999</v>
      </c>
      <c r="J133" s="129">
        <f t="shared" si="35"/>
        <v>1.1499999999999999</v>
      </c>
      <c r="K133" s="129">
        <f t="shared" si="35"/>
        <v>1.1499999999999999</v>
      </c>
      <c r="L133" s="129">
        <f t="shared" si="35"/>
        <v>1.1499999999999999</v>
      </c>
      <c r="M133" s="129">
        <f t="shared" si="35"/>
        <v>1.1499999999999999</v>
      </c>
      <c r="N133" s="129">
        <f t="shared" si="35"/>
        <v>1.1499999999999999</v>
      </c>
      <c r="O133" s="129">
        <f t="shared" si="35"/>
        <v>1.1499999999999999</v>
      </c>
      <c r="P133" s="129">
        <f t="shared" si="35"/>
        <v>1.1499999999999999</v>
      </c>
      <c r="Q133" s="129">
        <f t="shared" si="35"/>
        <v>1.1499999999999999</v>
      </c>
      <c r="R133" s="129">
        <f t="shared" si="35"/>
        <v>1.1499999999999999</v>
      </c>
      <c r="S133" s="129">
        <f t="shared" si="35"/>
        <v>1.1499999999999999</v>
      </c>
      <c r="T133" s="129">
        <f t="shared" si="36"/>
        <v>1.1499999999999999</v>
      </c>
      <c r="U133" s="129">
        <f t="shared" si="36"/>
        <v>1.1499999999999999</v>
      </c>
      <c r="V133" s="129">
        <f t="shared" si="36"/>
        <v>1.1499999999999999</v>
      </c>
      <c r="W133" s="129">
        <f t="shared" si="36"/>
        <v>1.1499999999999999</v>
      </c>
      <c r="X133" s="129">
        <f t="shared" si="36"/>
        <v>1.1499999999999999</v>
      </c>
      <c r="Y133" s="129">
        <f t="shared" si="36"/>
        <v>1.1499999999999999</v>
      </c>
      <c r="Z133" s="129">
        <f t="shared" si="36"/>
        <v>1.1499999999999999</v>
      </c>
      <c r="AA133" s="129">
        <f t="shared" si="36"/>
        <v>1.1499999999999999</v>
      </c>
      <c r="AB133" s="129">
        <f t="shared" si="36"/>
        <v>1.1499999999999999</v>
      </c>
      <c r="AC133" s="129">
        <f t="shared" si="36"/>
        <v>1.1499999999999999</v>
      </c>
      <c r="AD133" s="129">
        <f t="shared" si="36"/>
        <v>1.1499999999999999</v>
      </c>
      <c r="AE133" s="129">
        <f t="shared" si="36"/>
        <v>1.1499999999999999</v>
      </c>
      <c r="AF133" s="129">
        <f t="shared" si="36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4"/>
        <v>2.133</v>
      </c>
      <c r="C134" s="130">
        <v>2.133</v>
      </c>
      <c r="D134" s="129">
        <f t="shared" si="35"/>
        <v>2.133</v>
      </c>
      <c r="E134" s="129">
        <f t="shared" si="35"/>
        <v>2.133</v>
      </c>
      <c r="F134" s="129">
        <f t="shared" si="35"/>
        <v>2.133</v>
      </c>
      <c r="G134" s="129">
        <f t="shared" si="35"/>
        <v>2.133</v>
      </c>
      <c r="H134" s="129">
        <f t="shared" si="35"/>
        <v>2.133</v>
      </c>
      <c r="I134" s="129">
        <f t="shared" si="35"/>
        <v>2.133</v>
      </c>
      <c r="J134" s="129">
        <f t="shared" si="35"/>
        <v>2.133</v>
      </c>
      <c r="K134" s="129">
        <f t="shared" si="35"/>
        <v>2.133</v>
      </c>
      <c r="L134" s="129">
        <f t="shared" si="35"/>
        <v>2.133</v>
      </c>
      <c r="M134" s="129">
        <f t="shared" si="35"/>
        <v>2.133</v>
      </c>
      <c r="N134" s="129">
        <f t="shared" si="35"/>
        <v>2.133</v>
      </c>
      <c r="O134" s="129">
        <f t="shared" si="35"/>
        <v>2.133</v>
      </c>
      <c r="P134" s="129">
        <f t="shared" si="35"/>
        <v>2.133</v>
      </c>
      <c r="Q134" s="129">
        <f t="shared" si="35"/>
        <v>2.133</v>
      </c>
      <c r="R134" s="129">
        <f t="shared" si="35"/>
        <v>2.133</v>
      </c>
      <c r="S134" s="129">
        <f t="shared" si="35"/>
        <v>2.133</v>
      </c>
      <c r="T134" s="129">
        <f t="shared" si="36"/>
        <v>2.133</v>
      </c>
      <c r="U134" s="129">
        <f t="shared" si="36"/>
        <v>2.133</v>
      </c>
      <c r="V134" s="129">
        <f t="shared" si="36"/>
        <v>2.133</v>
      </c>
      <c r="W134" s="129">
        <f t="shared" si="36"/>
        <v>2.133</v>
      </c>
      <c r="X134" s="129">
        <f t="shared" si="36"/>
        <v>2.133</v>
      </c>
      <c r="Y134" s="129">
        <f t="shared" si="36"/>
        <v>2.133</v>
      </c>
      <c r="Z134" s="129">
        <f t="shared" si="36"/>
        <v>2.133</v>
      </c>
      <c r="AA134" s="129">
        <f t="shared" si="36"/>
        <v>2.133</v>
      </c>
      <c r="AB134" s="129">
        <f t="shared" si="36"/>
        <v>2.133</v>
      </c>
      <c r="AC134" s="129">
        <f t="shared" si="36"/>
        <v>2.133</v>
      </c>
      <c r="AD134" s="129">
        <f t="shared" si="36"/>
        <v>2.133</v>
      </c>
      <c r="AE134" s="129">
        <f t="shared" si="36"/>
        <v>2.133</v>
      </c>
      <c r="AF134" s="129">
        <f t="shared" si="36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4"/>
        <v>2.09</v>
      </c>
      <c r="C135" s="130">
        <v>2.09</v>
      </c>
      <c r="D135" s="129">
        <f t="shared" si="35"/>
        <v>2.09</v>
      </c>
      <c r="E135" s="129">
        <f t="shared" si="35"/>
        <v>2.09</v>
      </c>
      <c r="F135" s="129">
        <f t="shared" si="35"/>
        <v>2.09</v>
      </c>
      <c r="G135" s="129">
        <f t="shared" si="35"/>
        <v>2.09</v>
      </c>
      <c r="H135" s="129">
        <f t="shared" si="35"/>
        <v>2.09</v>
      </c>
      <c r="I135" s="129">
        <f t="shared" si="35"/>
        <v>2.09</v>
      </c>
      <c r="J135" s="129">
        <f t="shared" si="35"/>
        <v>2.09</v>
      </c>
      <c r="K135" s="129">
        <f t="shared" si="35"/>
        <v>2.09</v>
      </c>
      <c r="L135" s="129">
        <f t="shared" si="35"/>
        <v>2.09</v>
      </c>
      <c r="M135" s="129">
        <f t="shared" si="35"/>
        <v>2.09</v>
      </c>
      <c r="N135" s="129">
        <f t="shared" si="35"/>
        <v>2.09</v>
      </c>
      <c r="O135" s="129">
        <f t="shared" si="35"/>
        <v>2.09</v>
      </c>
      <c r="P135" s="129">
        <f t="shared" si="35"/>
        <v>2.09</v>
      </c>
      <c r="Q135" s="129">
        <f t="shared" si="35"/>
        <v>2.09</v>
      </c>
      <c r="R135" s="129">
        <f t="shared" si="35"/>
        <v>2.09</v>
      </c>
      <c r="S135" s="129">
        <f t="shared" si="35"/>
        <v>2.09</v>
      </c>
      <c r="T135" s="129">
        <f t="shared" si="36"/>
        <v>2.09</v>
      </c>
      <c r="U135" s="129">
        <f t="shared" si="36"/>
        <v>2.09</v>
      </c>
      <c r="V135" s="129">
        <f t="shared" si="36"/>
        <v>2.09</v>
      </c>
      <c r="W135" s="129">
        <f t="shared" si="36"/>
        <v>2.09</v>
      </c>
      <c r="X135" s="129">
        <f t="shared" si="36"/>
        <v>2.09</v>
      </c>
      <c r="Y135" s="129">
        <f t="shared" si="36"/>
        <v>2.09</v>
      </c>
      <c r="Z135" s="129">
        <f t="shared" si="36"/>
        <v>2.09</v>
      </c>
      <c r="AA135" s="129">
        <f t="shared" si="36"/>
        <v>2.09</v>
      </c>
      <c r="AB135" s="129">
        <f t="shared" si="36"/>
        <v>2.09</v>
      </c>
      <c r="AC135" s="129">
        <f t="shared" si="36"/>
        <v>2.09</v>
      </c>
      <c r="AD135" s="129">
        <f t="shared" si="36"/>
        <v>2.09</v>
      </c>
      <c r="AE135" s="129">
        <f t="shared" si="36"/>
        <v>2.09</v>
      </c>
      <c r="AF135" s="129">
        <f t="shared" si="36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4"/>
        <v>1.1399999999999999</v>
      </c>
      <c r="C136" s="130">
        <v>1.1399999999999999</v>
      </c>
      <c r="D136" s="129">
        <f t="shared" si="35"/>
        <v>1.1399999999999999</v>
      </c>
      <c r="E136" s="129">
        <f t="shared" si="35"/>
        <v>1.1399999999999999</v>
      </c>
      <c r="F136" s="129">
        <f t="shared" si="35"/>
        <v>1.1399999999999999</v>
      </c>
      <c r="G136" s="129">
        <f t="shared" si="35"/>
        <v>1.1399999999999999</v>
      </c>
      <c r="H136" s="129">
        <f t="shared" si="35"/>
        <v>1.1399999999999999</v>
      </c>
      <c r="I136" s="129">
        <f t="shared" si="35"/>
        <v>1.1399999999999999</v>
      </c>
      <c r="J136" s="129">
        <f t="shared" si="35"/>
        <v>1.1399999999999999</v>
      </c>
      <c r="K136" s="129">
        <f t="shared" si="35"/>
        <v>1.1399999999999999</v>
      </c>
      <c r="L136" s="129">
        <f t="shared" si="35"/>
        <v>1.1399999999999999</v>
      </c>
      <c r="M136" s="129">
        <f t="shared" si="35"/>
        <v>1.1399999999999999</v>
      </c>
      <c r="N136" s="129">
        <f t="shared" si="35"/>
        <v>1.1399999999999999</v>
      </c>
      <c r="O136" s="129">
        <f t="shared" si="35"/>
        <v>1.1399999999999999</v>
      </c>
      <c r="P136" s="129">
        <f t="shared" si="35"/>
        <v>1.1399999999999999</v>
      </c>
      <c r="Q136" s="129">
        <f t="shared" si="35"/>
        <v>1.1399999999999999</v>
      </c>
      <c r="R136" s="129">
        <f t="shared" si="35"/>
        <v>1.1399999999999999</v>
      </c>
      <c r="S136" s="129">
        <f t="shared" si="35"/>
        <v>1.1399999999999999</v>
      </c>
      <c r="T136" s="129">
        <f t="shared" si="36"/>
        <v>1.1399999999999999</v>
      </c>
      <c r="U136" s="129">
        <f t="shared" si="36"/>
        <v>1.1399999999999999</v>
      </c>
      <c r="V136" s="129">
        <f t="shared" si="36"/>
        <v>1.1399999999999999</v>
      </c>
      <c r="W136" s="129">
        <f t="shared" si="36"/>
        <v>1.1399999999999999</v>
      </c>
      <c r="X136" s="129">
        <f t="shared" si="36"/>
        <v>1.1399999999999999</v>
      </c>
      <c r="Y136" s="129">
        <f t="shared" si="36"/>
        <v>1.1399999999999999</v>
      </c>
      <c r="Z136" s="129">
        <f t="shared" si="36"/>
        <v>1.1399999999999999</v>
      </c>
      <c r="AA136" s="129">
        <f t="shared" si="36"/>
        <v>1.1399999999999999</v>
      </c>
      <c r="AB136" s="129">
        <f t="shared" si="36"/>
        <v>1.1399999999999999</v>
      </c>
      <c r="AC136" s="129">
        <f t="shared" si="36"/>
        <v>1.1399999999999999</v>
      </c>
      <c r="AD136" s="129">
        <f t="shared" si="36"/>
        <v>1.1399999999999999</v>
      </c>
      <c r="AE136" s="129">
        <f t="shared" si="36"/>
        <v>1.1399999999999999</v>
      </c>
      <c r="AF136" s="129">
        <f t="shared" si="36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4"/>
        <v>0.82</v>
      </c>
      <c r="C137" s="130">
        <v>0.82</v>
      </c>
      <c r="D137" s="129">
        <f t="shared" si="35"/>
        <v>0.82</v>
      </c>
      <c r="E137" s="129">
        <f t="shared" si="35"/>
        <v>0.82</v>
      </c>
      <c r="F137" s="129">
        <f t="shared" si="35"/>
        <v>0.82</v>
      </c>
      <c r="G137" s="129">
        <f t="shared" si="35"/>
        <v>0.82</v>
      </c>
      <c r="H137" s="129">
        <f t="shared" si="35"/>
        <v>0.82</v>
      </c>
      <c r="I137" s="129">
        <f t="shared" si="35"/>
        <v>0.82</v>
      </c>
      <c r="J137" s="129">
        <f t="shared" si="35"/>
        <v>0.82</v>
      </c>
      <c r="K137" s="129">
        <f t="shared" si="35"/>
        <v>0.82</v>
      </c>
      <c r="L137" s="129">
        <f t="shared" si="35"/>
        <v>0.82</v>
      </c>
      <c r="M137" s="129">
        <f t="shared" si="35"/>
        <v>0.82</v>
      </c>
      <c r="N137" s="129">
        <f t="shared" si="35"/>
        <v>0.82</v>
      </c>
      <c r="O137" s="129">
        <f t="shared" si="35"/>
        <v>0.82</v>
      </c>
      <c r="P137" s="129">
        <f t="shared" si="35"/>
        <v>0.82</v>
      </c>
      <c r="Q137" s="129">
        <f t="shared" si="35"/>
        <v>0.82</v>
      </c>
      <c r="R137" s="129">
        <f t="shared" si="35"/>
        <v>0.82</v>
      </c>
      <c r="S137" s="129">
        <f t="shared" si="35"/>
        <v>0.82</v>
      </c>
      <c r="T137" s="129">
        <f t="shared" si="36"/>
        <v>0.82</v>
      </c>
      <c r="U137" s="129">
        <f t="shared" si="36"/>
        <v>0.82</v>
      </c>
      <c r="V137" s="129">
        <f t="shared" si="36"/>
        <v>0.82</v>
      </c>
      <c r="W137" s="129">
        <f t="shared" si="36"/>
        <v>0.82</v>
      </c>
      <c r="X137" s="129">
        <f t="shared" si="36"/>
        <v>0.82</v>
      </c>
      <c r="Y137" s="129">
        <f t="shared" si="36"/>
        <v>0.82</v>
      </c>
      <c r="Z137" s="129">
        <f t="shared" si="36"/>
        <v>0.82</v>
      </c>
      <c r="AA137" s="129">
        <f t="shared" si="36"/>
        <v>0.82</v>
      </c>
      <c r="AB137" s="129">
        <f t="shared" si="36"/>
        <v>0.82</v>
      </c>
      <c r="AC137" s="129">
        <f t="shared" si="36"/>
        <v>0.82</v>
      </c>
      <c r="AD137" s="129">
        <f t="shared" si="36"/>
        <v>0.82</v>
      </c>
      <c r="AE137" s="129">
        <f t="shared" si="36"/>
        <v>0.82</v>
      </c>
      <c r="AF137" s="129">
        <f t="shared" si="36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7">AF139</f>
        <v>2</v>
      </c>
      <c r="C139" s="130">
        <v>2</v>
      </c>
      <c r="D139" s="129">
        <f t="shared" ref="D139:S145" si="38">C139</f>
        <v>2</v>
      </c>
      <c r="E139" s="129">
        <f t="shared" si="38"/>
        <v>2</v>
      </c>
      <c r="F139" s="129">
        <f t="shared" si="38"/>
        <v>2</v>
      </c>
      <c r="G139" s="129">
        <f t="shared" si="38"/>
        <v>2</v>
      </c>
      <c r="H139" s="129">
        <f t="shared" si="38"/>
        <v>2</v>
      </c>
      <c r="I139" s="129">
        <f t="shared" si="38"/>
        <v>2</v>
      </c>
      <c r="J139" s="129">
        <f t="shared" si="38"/>
        <v>2</v>
      </c>
      <c r="K139" s="129">
        <f t="shared" si="38"/>
        <v>2</v>
      </c>
      <c r="L139" s="129">
        <f t="shared" si="38"/>
        <v>2</v>
      </c>
      <c r="M139" s="129">
        <f t="shared" si="38"/>
        <v>2</v>
      </c>
      <c r="N139" s="129">
        <f t="shared" si="38"/>
        <v>2</v>
      </c>
      <c r="O139" s="129">
        <f t="shared" si="38"/>
        <v>2</v>
      </c>
      <c r="P139" s="129">
        <f t="shared" si="38"/>
        <v>2</v>
      </c>
      <c r="Q139" s="129">
        <f t="shared" si="38"/>
        <v>2</v>
      </c>
      <c r="R139" s="129">
        <f t="shared" si="38"/>
        <v>2</v>
      </c>
      <c r="S139" s="129">
        <f t="shared" si="38"/>
        <v>2</v>
      </c>
      <c r="T139" s="129">
        <f t="shared" ref="T139:AF145" si="39">S139</f>
        <v>2</v>
      </c>
      <c r="U139" s="129">
        <f t="shared" si="39"/>
        <v>2</v>
      </c>
      <c r="V139" s="129">
        <f t="shared" si="39"/>
        <v>2</v>
      </c>
      <c r="W139" s="129">
        <f t="shared" si="39"/>
        <v>2</v>
      </c>
      <c r="X139" s="129">
        <f t="shared" si="39"/>
        <v>2</v>
      </c>
      <c r="Y139" s="129">
        <f t="shared" si="39"/>
        <v>2</v>
      </c>
      <c r="Z139" s="129">
        <f t="shared" si="39"/>
        <v>2</v>
      </c>
      <c r="AA139" s="129">
        <f t="shared" si="39"/>
        <v>2</v>
      </c>
      <c r="AB139" s="129">
        <f t="shared" si="39"/>
        <v>2</v>
      </c>
      <c r="AC139" s="129">
        <f t="shared" si="39"/>
        <v>2</v>
      </c>
      <c r="AD139" s="129">
        <f t="shared" si="39"/>
        <v>2</v>
      </c>
      <c r="AE139" s="129">
        <f t="shared" si="39"/>
        <v>2</v>
      </c>
      <c r="AF139" s="129">
        <f t="shared" si="39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7"/>
        <v>5.61</v>
      </c>
      <c r="C140" s="130">
        <v>5.61</v>
      </c>
      <c r="D140" s="129">
        <f t="shared" si="38"/>
        <v>5.61</v>
      </c>
      <c r="E140" s="129">
        <f t="shared" si="38"/>
        <v>5.61</v>
      </c>
      <c r="F140" s="129">
        <f t="shared" si="38"/>
        <v>5.61</v>
      </c>
      <c r="G140" s="129">
        <f t="shared" si="38"/>
        <v>5.61</v>
      </c>
      <c r="H140" s="129">
        <f t="shared" si="38"/>
        <v>5.61</v>
      </c>
      <c r="I140" s="129">
        <f t="shared" si="38"/>
        <v>5.61</v>
      </c>
      <c r="J140" s="129">
        <f t="shared" si="38"/>
        <v>5.61</v>
      </c>
      <c r="K140" s="129">
        <f t="shared" si="38"/>
        <v>5.61</v>
      </c>
      <c r="L140" s="129">
        <f t="shared" si="38"/>
        <v>5.61</v>
      </c>
      <c r="M140" s="129">
        <f t="shared" si="38"/>
        <v>5.61</v>
      </c>
      <c r="N140" s="129">
        <f t="shared" si="38"/>
        <v>5.61</v>
      </c>
      <c r="O140" s="129">
        <f t="shared" si="38"/>
        <v>5.61</v>
      </c>
      <c r="P140" s="129">
        <f t="shared" si="38"/>
        <v>5.61</v>
      </c>
      <c r="Q140" s="129">
        <f t="shared" si="38"/>
        <v>5.61</v>
      </c>
      <c r="R140" s="129">
        <f t="shared" si="38"/>
        <v>5.61</v>
      </c>
      <c r="S140" s="129">
        <f t="shared" si="38"/>
        <v>5.61</v>
      </c>
      <c r="T140" s="129">
        <f t="shared" si="39"/>
        <v>5.61</v>
      </c>
      <c r="U140" s="129">
        <f t="shared" si="39"/>
        <v>5.61</v>
      </c>
      <c r="V140" s="129">
        <f t="shared" si="39"/>
        <v>5.61</v>
      </c>
      <c r="W140" s="129">
        <f t="shared" si="39"/>
        <v>5.61</v>
      </c>
      <c r="X140" s="129">
        <f t="shared" si="39"/>
        <v>5.61</v>
      </c>
      <c r="Y140" s="129">
        <f t="shared" si="39"/>
        <v>5.61</v>
      </c>
      <c r="Z140" s="129">
        <f t="shared" si="39"/>
        <v>5.61</v>
      </c>
      <c r="AA140" s="129">
        <f t="shared" si="39"/>
        <v>5.61</v>
      </c>
      <c r="AB140" s="129">
        <f t="shared" si="39"/>
        <v>5.61</v>
      </c>
      <c r="AC140" s="129">
        <f t="shared" si="39"/>
        <v>5.61</v>
      </c>
      <c r="AD140" s="129">
        <f t="shared" si="39"/>
        <v>5.61</v>
      </c>
      <c r="AE140" s="129">
        <f t="shared" si="39"/>
        <v>5.61</v>
      </c>
      <c r="AF140" s="129">
        <f t="shared" si="39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7"/>
        <v>1.25</v>
      </c>
      <c r="C141" s="130">
        <v>1.25</v>
      </c>
      <c r="D141" s="129">
        <f t="shared" si="38"/>
        <v>1.25</v>
      </c>
      <c r="E141" s="129">
        <f t="shared" si="38"/>
        <v>1.25</v>
      </c>
      <c r="F141" s="129">
        <f t="shared" si="38"/>
        <v>1.25</v>
      </c>
      <c r="G141" s="129">
        <f t="shared" si="38"/>
        <v>1.25</v>
      </c>
      <c r="H141" s="129">
        <f t="shared" si="38"/>
        <v>1.25</v>
      </c>
      <c r="I141" s="129">
        <f t="shared" si="38"/>
        <v>1.25</v>
      </c>
      <c r="J141" s="129">
        <f t="shared" si="38"/>
        <v>1.25</v>
      </c>
      <c r="K141" s="129">
        <f t="shared" si="38"/>
        <v>1.25</v>
      </c>
      <c r="L141" s="129">
        <f t="shared" si="38"/>
        <v>1.25</v>
      </c>
      <c r="M141" s="129">
        <f t="shared" si="38"/>
        <v>1.25</v>
      </c>
      <c r="N141" s="129">
        <f t="shared" si="38"/>
        <v>1.25</v>
      </c>
      <c r="O141" s="129">
        <f t="shared" si="38"/>
        <v>1.25</v>
      </c>
      <c r="P141" s="129">
        <f t="shared" si="38"/>
        <v>1.25</v>
      </c>
      <c r="Q141" s="129">
        <f t="shared" si="38"/>
        <v>1.25</v>
      </c>
      <c r="R141" s="129">
        <f t="shared" si="38"/>
        <v>1.25</v>
      </c>
      <c r="S141" s="129">
        <f t="shared" si="38"/>
        <v>1.25</v>
      </c>
      <c r="T141" s="129">
        <f t="shared" si="39"/>
        <v>1.25</v>
      </c>
      <c r="U141" s="129">
        <f t="shared" si="39"/>
        <v>1.25</v>
      </c>
      <c r="V141" s="129">
        <f t="shared" si="39"/>
        <v>1.25</v>
      </c>
      <c r="W141" s="129">
        <f t="shared" si="39"/>
        <v>1.25</v>
      </c>
      <c r="X141" s="129">
        <f t="shared" si="39"/>
        <v>1.25</v>
      </c>
      <c r="Y141" s="129">
        <f t="shared" si="39"/>
        <v>1.25</v>
      </c>
      <c r="Z141" s="129">
        <f t="shared" si="39"/>
        <v>1.25</v>
      </c>
      <c r="AA141" s="129">
        <f t="shared" si="39"/>
        <v>1.25</v>
      </c>
      <c r="AB141" s="129">
        <f t="shared" si="39"/>
        <v>1.25</v>
      </c>
      <c r="AC141" s="129">
        <f t="shared" si="39"/>
        <v>1.25</v>
      </c>
      <c r="AD141" s="129">
        <f t="shared" si="39"/>
        <v>1.25</v>
      </c>
      <c r="AE141" s="129">
        <f t="shared" si="39"/>
        <v>1.25</v>
      </c>
      <c r="AF141" s="129">
        <f t="shared" si="39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7"/>
        <v>1.25</v>
      </c>
      <c r="C142" s="130">
        <v>1.25</v>
      </c>
      <c r="D142" s="129">
        <f t="shared" si="38"/>
        <v>1.25</v>
      </c>
      <c r="E142" s="129">
        <f t="shared" si="38"/>
        <v>1.25</v>
      </c>
      <c r="F142" s="129">
        <f t="shared" si="38"/>
        <v>1.25</v>
      </c>
      <c r="G142" s="129">
        <f t="shared" si="38"/>
        <v>1.25</v>
      </c>
      <c r="H142" s="129">
        <f t="shared" si="38"/>
        <v>1.25</v>
      </c>
      <c r="I142" s="129">
        <f t="shared" si="38"/>
        <v>1.25</v>
      </c>
      <c r="J142" s="129">
        <f t="shared" si="38"/>
        <v>1.25</v>
      </c>
      <c r="K142" s="129">
        <f t="shared" si="38"/>
        <v>1.25</v>
      </c>
      <c r="L142" s="129">
        <f t="shared" si="38"/>
        <v>1.25</v>
      </c>
      <c r="M142" s="129">
        <f t="shared" si="38"/>
        <v>1.25</v>
      </c>
      <c r="N142" s="129">
        <f t="shared" si="38"/>
        <v>1.25</v>
      </c>
      <c r="O142" s="129">
        <f t="shared" si="38"/>
        <v>1.25</v>
      </c>
      <c r="P142" s="129">
        <f t="shared" si="38"/>
        <v>1.25</v>
      </c>
      <c r="Q142" s="129">
        <f t="shared" si="38"/>
        <v>1.25</v>
      </c>
      <c r="R142" s="129">
        <f t="shared" si="38"/>
        <v>1.25</v>
      </c>
      <c r="S142" s="129">
        <f t="shared" si="38"/>
        <v>1.25</v>
      </c>
      <c r="T142" s="129">
        <f t="shared" si="39"/>
        <v>1.25</v>
      </c>
      <c r="U142" s="129">
        <f t="shared" si="39"/>
        <v>1.25</v>
      </c>
      <c r="V142" s="129">
        <f t="shared" si="39"/>
        <v>1.25</v>
      </c>
      <c r="W142" s="129">
        <f t="shared" si="39"/>
        <v>1.25</v>
      </c>
      <c r="X142" s="129">
        <f t="shared" si="39"/>
        <v>1.25</v>
      </c>
      <c r="Y142" s="129">
        <f t="shared" si="39"/>
        <v>1.25</v>
      </c>
      <c r="Z142" s="129">
        <f t="shared" si="39"/>
        <v>1.25</v>
      </c>
      <c r="AA142" s="129">
        <f t="shared" si="39"/>
        <v>1.25</v>
      </c>
      <c r="AB142" s="129">
        <f t="shared" si="39"/>
        <v>1.25</v>
      </c>
      <c r="AC142" s="129">
        <f t="shared" si="39"/>
        <v>1.25</v>
      </c>
      <c r="AD142" s="129">
        <f t="shared" si="39"/>
        <v>1.25</v>
      </c>
      <c r="AE142" s="129">
        <f t="shared" si="39"/>
        <v>1.25</v>
      </c>
      <c r="AF142" s="129">
        <f t="shared" si="39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7"/>
        <v>1.46</v>
      </c>
      <c r="C143" s="130">
        <v>1.46</v>
      </c>
      <c r="D143" s="129">
        <f t="shared" si="38"/>
        <v>1.46</v>
      </c>
      <c r="E143" s="129">
        <f t="shared" si="38"/>
        <v>1.46</v>
      </c>
      <c r="F143" s="129">
        <f t="shared" si="38"/>
        <v>1.46</v>
      </c>
      <c r="G143" s="129">
        <f t="shared" si="38"/>
        <v>1.46</v>
      </c>
      <c r="H143" s="129">
        <f t="shared" si="38"/>
        <v>1.46</v>
      </c>
      <c r="I143" s="129">
        <f t="shared" si="38"/>
        <v>1.46</v>
      </c>
      <c r="J143" s="129">
        <f t="shared" si="38"/>
        <v>1.46</v>
      </c>
      <c r="K143" s="129">
        <f t="shared" si="38"/>
        <v>1.46</v>
      </c>
      <c r="L143" s="129">
        <f t="shared" si="38"/>
        <v>1.46</v>
      </c>
      <c r="M143" s="129">
        <f t="shared" si="38"/>
        <v>1.46</v>
      </c>
      <c r="N143" s="129">
        <f t="shared" si="38"/>
        <v>1.46</v>
      </c>
      <c r="O143" s="129">
        <f t="shared" si="38"/>
        <v>1.46</v>
      </c>
      <c r="P143" s="129">
        <f t="shared" si="38"/>
        <v>1.46</v>
      </c>
      <c r="Q143" s="129">
        <f t="shared" si="38"/>
        <v>1.46</v>
      </c>
      <c r="R143" s="129">
        <f t="shared" si="38"/>
        <v>1.46</v>
      </c>
      <c r="S143" s="129">
        <f t="shared" si="38"/>
        <v>1.46</v>
      </c>
      <c r="T143" s="129">
        <f t="shared" si="39"/>
        <v>1.46</v>
      </c>
      <c r="U143" s="129">
        <f t="shared" si="39"/>
        <v>1.46</v>
      </c>
      <c r="V143" s="129">
        <f t="shared" si="39"/>
        <v>1.46</v>
      </c>
      <c r="W143" s="129">
        <f t="shared" si="39"/>
        <v>1.46</v>
      </c>
      <c r="X143" s="129">
        <f t="shared" si="39"/>
        <v>1.46</v>
      </c>
      <c r="Y143" s="129">
        <f t="shared" si="39"/>
        <v>1.46</v>
      </c>
      <c r="Z143" s="129">
        <f t="shared" si="39"/>
        <v>1.46</v>
      </c>
      <c r="AA143" s="129">
        <f t="shared" si="39"/>
        <v>1.46</v>
      </c>
      <c r="AB143" s="129">
        <f t="shared" si="39"/>
        <v>1.46</v>
      </c>
      <c r="AC143" s="129">
        <f t="shared" si="39"/>
        <v>1.46</v>
      </c>
      <c r="AD143" s="129">
        <f t="shared" si="39"/>
        <v>1.46</v>
      </c>
      <c r="AE143" s="129">
        <f t="shared" si="39"/>
        <v>1.46</v>
      </c>
      <c r="AF143" s="129">
        <f t="shared" si="39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7"/>
        <v>3</v>
      </c>
      <c r="C144" s="130">
        <v>3</v>
      </c>
      <c r="D144" s="129">
        <f t="shared" si="38"/>
        <v>3</v>
      </c>
      <c r="E144" s="129">
        <f t="shared" si="38"/>
        <v>3</v>
      </c>
      <c r="F144" s="129">
        <f t="shared" si="38"/>
        <v>3</v>
      </c>
      <c r="G144" s="129">
        <f t="shared" si="38"/>
        <v>3</v>
      </c>
      <c r="H144" s="129">
        <f t="shared" si="38"/>
        <v>3</v>
      </c>
      <c r="I144" s="129">
        <f t="shared" si="38"/>
        <v>3</v>
      </c>
      <c r="J144" s="129">
        <f t="shared" si="38"/>
        <v>3</v>
      </c>
      <c r="K144" s="129">
        <f t="shared" si="38"/>
        <v>3</v>
      </c>
      <c r="L144" s="129">
        <f t="shared" si="38"/>
        <v>3</v>
      </c>
      <c r="M144" s="129">
        <f t="shared" si="38"/>
        <v>3</v>
      </c>
      <c r="N144" s="129">
        <f t="shared" si="38"/>
        <v>3</v>
      </c>
      <c r="O144" s="129">
        <f t="shared" si="38"/>
        <v>3</v>
      </c>
      <c r="P144" s="129">
        <f t="shared" si="38"/>
        <v>3</v>
      </c>
      <c r="Q144" s="129">
        <f t="shared" si="38"/>
        <v>3</v>
      </c>
      <c r="R144" s="129">
        <f t="shared" si="38"/>
        <v>3</v>
      </c>
      <c r="S144" s="129">
        <f t="shared" si="38"/>
        <v>3</v>
      </c>
      <c r="T144" s="129">
        <f t="shared" si="39"/>
        <v>3</v>
      </c>
      <c r="U144" s="129">
        <f t="shared" si="39"/>
        <v>3</v>
      </c>
      <c r="V144" s="129">
        <f t="shared" si="39"/>
        <v>3</v>
      </c>
      <c r="W144" s="129">
        <f t="shared" si="39"/>
        <v>3</v>
      </c>
      <c r="X144" s="129">
        <f t="shared" si="39"/>
        <v>3</v>
      </c>
      <c r="Y144" s="129">
        <f t="shared" si="39"/>
        <v>3</v>
      </c>
      <c r="Z144" s="129">
        <f t="shared" si="39"/>
        <v>3</v>
      </c>
      <c r="AA144" s="129">
        <f t="shared" si="39"/>
        <v>3</v>
      </c>
      <c r="AB144" s="129">
        <f t="shared" si="39"/>
        <v>3</v>
      </c>
      <c r="AC144" s="129">
        <f t="shared" si="39"/>
        <v>3</v>
      </c>
      <c r="AD144" s="129">
        <f t="shared" si="39"/>
        <v>3</v>
      </c>
      <c r="AE144" s="129">
        <f t="shared" si="39"/>
        <v>3</v>
      </c>
      <c r="AF144" s="129">
        <f t="shared" si="39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7"/>
        <v>3.3</v>
      </c>
      <c r="C145" s="130">
        <v>3.3</v>
      </c>
      <c r="D145" s="129">
        <f t="shared" si="38"/>
        <v>3.3</v>
      </c>
      <c r="E145" s="129">
        <f t="shared" si="38"/>
        <v>3.3</v>
      </c>
      <c r="F145" s="129">
        <f t="shared" si="38"/>
        <v>3.3</v>
      </c>
      <c r="G145" s="129">
        <f t="shared" si="38"/>
        <v>3.3</v>
      </c>
      <c r="H145" s="129">
        <f t="shared" si="38"/>
        <v>3.3</v>
      </c>
      <c r="I145" s="129">
        <f t="shared" si="38"/>
        <v>3.3</v>
      </c>
      <c r="J145" s="129">
        <f t="shared" si="38"/>
        <v>3.3</v>
      </c>
      <c r="K145" s="129">
        <f t="shared" si="38"/>
        <v>3.3</v>
      </c>
      <c r="L145" s="129">
        <f t="shared" si="38"/>
        <v>3.3</v>
      </c>
      <c r="M145" s="129">
        <f t="shared" si="38"/>
        <v>3.3</v>
      </c>
      <c r="N145" s="129">
        <f t="shared" si="38"/>
        <v>3.3</v>
      </c>
      <c r="O145" s="129">
        <f t="shared" si="38"/>
        <v>3.3</v>
      </c>
      <c r="P145" s="129">
        <f t="shared" si="38"/>
        <v>3.3</v>
      </c>
      <c r="Q145" s="129">
        <f t="shared" si="38"/>
        <v>3.3</v>
      </c>
      <c r="R145" s="129">
        <f t="shared" si="38"/>
        <v>3.3</v>
      </c>
      <c r="S145" s="129">
        <f t="shared" si="38"/>
        <v>3.3</v>
      </c>
      <c r="T145" s="129">
        <f t="shared" si="39"/>
        <v>3.3</v>
      </c>
      <c r="U145" s="129">
        <f t="shared" si="39"/>
        <v>3.3</v>
      </c>
      <c r="V145" s="129">
        <f t="shared" si="39"/>
        <v>3.3</v>
      </c>
      <c r="W145" s="129">
        <f t="shared" si="39"/>
        <v>3.3</v>
      </c>
      <c r="X145" s="129">
        <f t="shared" si="39"/>
        <v>3.3</v>
      </c>
      <c r="Y145" s="129">
        <f t="shared" si="39"/>
        <v>3.3</v>
      </c>
      <c r="Z145" s="129">
        <f t="shared" si="39"/>
        <v>3.3</v>
      </c>
      <c r="AA145" s="129">
        <f t="shared" si="39"/>
        <v>3.3</v>
      </c>
      <c r="AB145" s="129">
        <f t="shared" si="39"/>
        <v>3.3</v>
      </c>
      <c r="AC145" s="129">
        <f t="shared" si="39"/>
        <v>3.3</v>
      </c>
      <c r="AD145" s="129">
        <f t="shared" si="39"/>
        <v>3.3</v>
      </c>
      <c r="AE145" s="129">
        <f t="shared" si="39"/>
        <v>3.3</v>
      </c>
      <c r="AF145" s="129">
        <f t="shared" si="39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0">C147</f>
        <v>1.76</v>
      </c>
      <c r="E147" s="129">
        <f t="shared" si="40"/>
        <v>1.76</v>
      </c>
      <c r="F147" s="129">
        <f t="shared" si="40"/>
        <v>1.76</v>
      </c>
      <c r="G147" s="129">
        <f t="shared" si="40"/>
        <v>1.76</v>
      </c>
      <c r="H147" s="129">
        <f t="shared" si="40"/>
        <v>1.76</v>
      </c>
      <c r="I147" s="129">
        <f t="shared" si="40"/>
        <v>1.76</v>
      </c>
      <c r="J147" s="129">
        <f t="shared" si="40"/>
        <v>1.76</v>
      </c>
      <c r="K147" s="129">
        <f t="shared" si="40"/>
        <v>1.76</v>
      </c>
      <c r="L147" s="129">
        <f t="shared" si="40"/>
        <v>1.76</v>
      </c>
      <c r="M147" s="129">
        <f t="shared" si="40"/>
        <v>1.76</v>
      </c>
      <c r="N147" s="129">
        <f t="shared" si="40"/>
        <v>1.76</v>
      </c>
      <c r="O147" s="129">
        <f t="shared" si="40"/>
        <v>1.76</v>
      </c>
      <c r="P147" s="129">
        <f t="shared" si="40"/>
        <v>1.76</v>
      </c>
      <c r="Q147" s="129">
        <f t="shared" si="40"/>
        <v>1.76</v>
      </c>
      <c r="R147" s="129">
        <f t="shared" si="40"/>
        <v>1.76</v>
      </c>
      <c r="S147" s="129">
        <f t="shared" si="40"/>
        <v>1.76</v>
      </c>
      <c r="T147" s="129">
        <f t="shared" ref="T147:AF148" si="41">S147</f>
        <v>1.76</v>
      </c>
      <c r="U147" s="129">
        <f t="shared" si="41"/>
        <v>1.76</v>
      </c>
      <c r="V147" s="129">
        <f t="shared" si="41"/>
        <v>1.76</v>
      </c>
      <c r="W147" s="129">
        <f t="shared" si="41"/>
        <v>1.76</v>
      </c>
      <c r="X147" s="129">
        <f t="shared" si="41"/>
        <v>1.76</v>
      </c>
      <c r="Y147" s="129">
        <f t="shared" si="41"/>
        <v>1.76</v>
      </c>
      <c r="Z147" s="129">
        <f t="shared" si="41"/>
        <v>1.76</v>
      </c>
      <c r="AA147" s="129">
        <f t="shared" si="41"/>
        <v>1.76</v>
      </c>
      <c r="AB147" s="129">
        <f t="shared" si="41"/>
        <v>1.76</v>
      </c>
      <c r="AC147" s="129">
        <f t="shared" si="41"/>
        <v>1.76</v>
      </c>
      <c r="AD147" s="129">
        <f t="shared" si="41"/>
        <v>1.76</v>
      </c>
      <c r="AE147" s="129">
        <f t="shared" si="41"/>
        <v>1.76</v>
      </c>
      <c r="AF147" s="129">
        <f t="shared" si="41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0"/>
        <v>0</v>
      </c>
      <c r="E148" s="129">
        <f t="shared" si="40"/>
        <v>0</v>
      </c>
      <c r="F148" s="129">
        <f t="shared" si="40"/>
        <v>0</v>
      </c>
      <c r="G148" s="129">
        <f t="shared" si="40"/>
        <v>0</v>
      </c>
      <c r="H148" s="129">
        <f t="shared" si="40"/>
        <v>0</v>
      </c>
      <c r="I148" s="129">
        <f t="shared" si="40"/>
        <v>0</v>
      </c>
      <c r="J148" s="129">
        <f t="shared" si="40"/>
        <v>0</v>
      </c>
      <c r="K148" s="129">
        <f t="shared" si="40"/>
        <v>0</v>
      </c>
      <c r="L148" s="129">
        <f t="shared" si="40"/>
        <v>0</v>
      </c>
      <c r="M148" s="129">
        <f t="shared" si="40"/>
        <v>0</v>
      </c>
      <c r="N148" s="129">
        <f t="shared" si="40"/>
        <v>0</v>
      </c>
      <c r="O148" s="129">
        <f t="shared" si="40"/>
        <v>0</v>
      </c>
      <c r="P148" s="129">
        <f t="shared" si="40"/>
        <v>0</v>
      </c>
      <c r="Q148" s="129">
        <f t="shared" si="40"/>
        <v>0</v>
      </c>
      <c r="R148" s="129">
        <f t="shared" si="40"/>
        <v>0</v>
      </c>
      <c r="S148" s="129">
        <f t="shared" si="40"/>
        <v>0</v>
      </c>
      <c r="T148" s="129">
        <f t="shared" si="41"/>
        <v>0</v>
      </c>
      <c r="U148" s="129">
        <f t="shared" si="41"/>
        <v>0</v>
      </c>
      <c r="V148" s="129">
        <f t="shared" si="41"/>
        <v>0</v>
      </c>
      <c r="W148" s="129">
        <f t="shared" si="41"/>
        <v>0</v>
      </c>
      <c r="X148" s="129">
        <f t="shared" si="41"/>
        <v>0</v>
      </c>
      <c r="Y148" s="129">
        <f t="shared" si="41"/>
        <v>0</v>
      </c>
      <c r="Z148" s="129">
        <f t="shared" si="41"/>
        <v>0</v>
      </c>
      <c r="AA148" s="129">
        <f t="shared" si="41"/>
        <v>0</v>
      </c>
      <c r="AB148" s="129">
        <f t="shared" si="41"/>
        <v>0</v>
      </c>
      <c r="AC148" s="129">
        <f t="shared" si="41"/>
        <v>0</v>
      </c>
      <c r="AD148" s="129">
        <f t="shared" si="41"/>
        <v>0</v>
      </c>
      <c r="AE148" s="129">
        <f t="shared" si="41"/>
        <v>0</v>
      </c>
      <c r="AF148" s="129">
        <f t="shared" si="41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2">C150</f>
        <v>0.1</v>
      </c>
      <c r="E150" s="129">
        <f t="shared" si="42"/>
        <v>0.1</v>
      </c>
      <c r="F150" s="129">
        <f t="shared" si="42"/>
        <v>0.1</v>
      </c>
      <c r="G150" s="129">
        <f t="shared" si="42"/>
        <v>0.1</v>
      </c>
      <c r="H150" s="129">
        <f t="shared" si="42"/>
        <v>0.1</v>
      </c>
      <c r="I150" s="129">
        <f t="shared" si="42"/>
        <v>0.1</v>
      </c>
      <c r="J150" s="129">
        <f t="shared" si="42"/>
        <v>0.1</v>
      </c>
      <c r="K150" s="129">
        <f t="shared" si="42"/>
        <v>0.1</v>
      </c>
      <c r="L150" s="129">
        <f t="shared" si="42"/>
        <v>0.1</v>
      </c>
      <c r="M150" s="129">
        <f t="shared" si="42"/>
        <v>0.1</v>
      </c>
      <c r="N150" s="129">
        <f t="shared" si="42"/>
        <v>0.1</v>
      </c>
      <c r="O150" s="129">
        <f t="shared" si="42"/>
        <v>0.1</v>
      </c>
      <c r="P150" s="129">
        <f t="shared" si="42"/>
        <v>0.1</v>
      </c>
      <c r="Q150" s="129">
        <f t="shared" si="42"/>
        <v>0.1</v>
      </c>
      <c r="R150" s="129">
        <f t="shared" si="42"/>
        <v>0.1</v>
      </c>
      <c r="S150" s="129">
        <f t="shared" si="42"/>
        <v>0.1</v>
      </c>
      <c r="T150" s="129">
        <f t="shared" ref="T150:AF153" si="43">S150</f>
        <v>0.1</v>
      </c>
      <c r="U150" s="129">
        <f t="shared" si="43"/>
        <v>0.1</v>
      </c>
      <c r="V150" s="129">
        <f t="shared" si="43"/>
        <v>0.1</v>
      </c>
      <c r="W150" s="129">
        <f t="shared" si="43"/>
        <v>0.1</v>
      </c>
      <c r="X150" s="129">
        <f t="shared" si="43"/>
        <v>0.1</v>
      </c>
      <c r="Y150" s="129">
        <f t="shared" si="43"/>
        <v>0.1</v>
      </c>
      <c r="Z150" s="129">
        <f t="shared" si="43"/>
        <v>0.1</v>
      </c>
      <c r="AA150" s="129">
        <f t="shared" si="43"/>
        <v>0.1</v>
      </c>
      <c r="AB150" s="129">
        <f t="shared" si="43"/>
        <v>0.1</v>
      </c>
      <c r="AC150" s="129">
        <f t="shared" si="43"/>
        <v>0.1</v>
      </c>
      <c r="AD150" s="129">
        <f t="shared" si="43"/>
        <v>0.1</v>
      </c>
      <c r="AE150" s="129">
        <f t="shared" si="43"/>
        <v>0.1</v>
      </c>
      <c r="AF150" s="129">
        <f t="shared" si="43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2"/>
        <v>2.0499999999999998</v>
      </c>
      <c r="E151" s="129">
        <f t="shared" si="42"/>
        <v>2.0499999999999998</v>
      </c>
      <c r="F151" s="129">
        <f t="shared" si="42"/>
        <v>2.0499999999999998</v>
      </c>
      <c r="G151" s="129">
        <f t="shared" si="42"/>
        <v>2.0499999999999998</v>
      </c>
      <c r="H151" s="129">
        <f t="shared" si="42"/>
        <v>2.0499999999999998</v>
      </c>
      <c r="I151" s="129">
        <f t="shared" si="42"/>
        <v>2.0499999999999998</v>
      </c>
      <c r="J151" s="129">
        <f t="shared" si="42"/>
        <v>2.0499999999999998</v>
      </c>
      <c r="K151" s="129">
        <f t="shared" si="42"/>
        <v>2.0499999999999998</v>
      </c>
      <c r="L151" s="129">
        <f t="shared" si="42"/>
        <v>2.0499999999999998</v>
      </c>
      <c r="M151" s="129">
        <f t="shared" si="42"/>
        <v>2.0499999999999998</v>
      </c>
      <c r="N151" s="129">
        <f t="shared" si="42"/>
        <v>2.0499999999999998</v>
      </c>
      <c r="O151" s="129">
        <f t="shared" si="42"/>
        <v>2.0499999999999998</v>
      </c>
      <c r="P151" s="129">
        <f t="shared" si="42"/>
        <v>2.0499999999999998</v>
      </c>
      <c r="Q151" s="129">
        <f t="shared" si="42"/>
        <v>2.0499999999999998</v>
      </c>
      <c r="R151" s="129">
        <f t="shared" si="42"/>
        <v>2.0499999999999998</v>
      </c>
      <c r="S151" s="129">
        <f t="shared" si="42"/>
        <v>2.0499999999999998</v>
      </c>
      <c r="T151" s="129">
        <f t="shared" si="43"/>
        <v>2.0499999999999998</v>
      </c>
      <c r="U151" s="129">
        <f t="shared" si="43"/>
        <v>2.0499999999999998</v>
      </c>
      <c r="V151" s="129">
        <f t="shared" si="43"/>
        <v>2.0499999999999998</v>
      </c>
      <c r="W151" s="129">
        <f t="shared" si="43"/>
        <v>2.0499999999999998</v>
      </c>
      <c r="X151" s="129">
        <f t="shared" si="43"/>
        <v>2.0499999999999998</v>
      </c>
      <c r="Y151" s="129">
        <f t="shared" si="43"/>
        <v>2.0499999999999998</v>
      </c>
      <c r="Z151" s="129">
        <f t="shared" si="43"/>
        <v>2.0499999999999998</v>
      </c>
      <c r="AA151" s="129">
        <f t="shared" si="43"/>
        <v>2.0499999999999998</v>
      </c>
      <c r="AB151" s="129">
        <f t="shared" si="43"/>
        <v>2.0499999999999998</v>
      </c>
      <c r="AC151" s="129">
        <f t="shared" si="43"/>
        <v>2.0499999999999998</v>
      </c>
      <c r="AD151" s="129">
        <f t="shared" si="43"/>
        <v>2.0499999999999998</v>
      </c>
      <c r="AE151" s="129">
        <f t="shared" si="43"/>
        <v>2.0499999999999998</v>
      </c>
      <c r="AF151" s="129">
        <f t="shared" si="43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2"/>
        <v>2.7</v>
      </c>
      <c r="E152" s="129">
        <f t="shared" si="42"/>
        <v>2.7</v>
      </c>
      <c r="F152" s="129">
        <f t="shared" si="42"/>
        <v>2.7</v>
      </c>
      <c r="G152" s="129">
        <f t="shared" si="42"/>
        <v>2.7</v>
      </c>
      <c r="H152" s="129">
        <f t="shared" si="42"/>
        <v>2.7</v>
      </c>
      <c r="I152" s="129">
        <f t="shared" si="42"/>
        <v>2.7</v>
      </c>
      <c r="J152" s="129">
        <f t="shared" si="42"/>
        <v>2.7</v>
      </c>
      <c r="K152" s="129">
        <f t="shared" si="42"/>
        <v>2.7</v>
      </c>
      <c r="L152" s="129">
        <f t="shared" si="42"/>
        <v>2.7</v>
      </c>
      <c r="M152" s="129">
        <f t="shared" si="42"/>
        <v>2.7</v>
      </c>
      <c r="N152" s="129">
        <f t="shared" si="42"/>
        <v>2.7</v>
      </c>
      <c r="O152" s="129">
        <f t="shared" si="42"/>
        <v>2.7</v>
      </c>
      <c r="P152" s="129">
        <f t="shared" si="42"/>
        <v>2.7</v>
      </c>
      <c r="Q152" s="129">
        <f t="shared" si="42"/>
        <v>2.7</v>
      </c>
      <c r="R152" s="129">
        <f t="shared" si="42"/>
        <v>2.7</v>
      </c>
      <c r="S152" s="129">
        <f t="shared" si="42"/>
        <v>2.7</v>
      </c>
      <c r="T152" s="129">
        <f t="shared" si="43"/>
        <v>2.7</v>
      </c>
      <c r="U152" s="129">
        <f t="shared" si="43"/>
        <v>2.7</v>
      </c>
      <c r="V152" s="129">
        <f t="shared" si="43"/>
        <v>2.7</v>
      </c>
      <c r="W152" s="129">
        <f t="shared" si="43"/>
        <v>2.7</v>
      </c>
      <c r="X152" s="129">
        <f t="shared" si="43"/>
        <v>2.7</v>
      </c>
      <c r="Y152" s="129">
        <f t="shared" si="43"/>
        <v>2.7</v>
      </c>
      <c r="Z152" s="129">
        <f t="shared" si="43"/>
        <v>2.7</v>
      </c>
      <c r="AA152" s="129">
        <f t="shared" si="43"/>
        <v>2.7</v>
      </c>
      <c r="AB152" s="129">
        <f t="shared" si="43"/>
        <v>2.7</v>
      </c>
      <c r="AC152" s="129">
        <f t="shared" si="43"/>
        <v>2.7</v>
      </c>
      <c r="AD152" s="129">
        <f t="shared" si="43"/>
        <v>2.7</v>
      </c>
      <c r="AE152" s="129">
        <f t="shared" si="43"/>
        <v>2.7</v>
      </c>
      <c r="AF152" s="129">
        <f t="shared" si="43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2"/>
        <v>2.15</v>
      </c>
      <c r="E153" s="129">
        <f t="shared" si="42"/>
        <v>2.15</v>
      </c>
      <c r="F153" s="129">
        <f t="shared" si="42"/>
        <v>2.15</v>
      </c>
      <c r="G153" s="129">
        <f t="shared" si="42"/>
        <v>2.15</v>
      </c>
      <c r="H153" s="129">
        <f t="shared" si="42"/>
        <v>2.15</v>
      </c>
      <c r="I153" s="129">
        <f t="shared" si="42"/>
        <v>2.15</v>
      </c>
      <c r="J153" s="129">
        <f t="shared" si="42"/>
        <v>2.15</v>
      </c>
      <c r="K153" s="129">
        <f t="shared" si="42"/>
        <v>2.15</v>
      </c>
      <c r="L153" s="129">
        <f t="shared" si="42"/>
        <v>2.15</v>
      </c>
      <c r="M153" s="129">
        <f t="shared" si="42"/>
        <v>2.15</v>
      </c>
      <c r="N153" s="129">
        <f t="shared" si="42"/>
        <v>2.15</v>
      </c>
      <c r="O153" s="129">
        <f t="shared" si="42"/>
        <v>2.15</v>
      </c>
      <c r="P153" s="129">
        <f t="shared" si="42"/>
        <v>2.15</v>
      </c>
      <c r="Q153" s="129">
        <f t="shared" si="42"/>
        <v>2.15</v>
      </c>
      <c r="R153" s="129">
        <f t="shared" si="42"/>
        <v>2.15</v>
      </c>
      <c r="S153" s="129">
        <f t="shared" si="42"/>
        <v>2.15</v>
      </c>
      <c r="T153" s="129">
        <f t="shared" si="43"/>
        <v>2.15</v>
      </c>
      <c r="U153" s="129">
        <f t="shared" si="43"/>
        <v>2.15</v>
      </c>
      <c r="V153" s="129">
        <f t="shared" si="43"/>
        <v>2.15</v>
      </c>
      <c r="W153" s="129">
        <f t="shared" si="43"/>
        <v>2.15</v>
      </c>
      <c r="X153" s="129">
        <f t="shared" si="43"/>
        <v>2.15</v>
      </c>
      <c r="Y153" s="129">
        <f t="shared" si="43"/>
        <v>2.15</v>
      </c>
      <c r="Z153" s="129">
        <f t="shared" si="43"/>
        <v>2.15</v>
      </c>
      <c r="AA153" s="129">
        <f t="shared" si="43"/>
        <v>2.15</v>
      </c>
      <c r="AB153" s="129">
        <f t="shared" si="43"/>
        <v>2.15</v>
      </c>
      <c r="AC153" s="129">
        <f t="shared" si="43"/>
        <v>2.15</v>
      </c>
      <c r="AD153" s="129">
        <f t="shared" si="43"/>
        <v>2.15</v>
      </c>
      <c r="AE153" s="129">
        <f t="shared" si="43"/>
        <v>2.15</v>
      </c>
      <c r="AF153" s="129">
        <f t="shared" si="43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4">AF155</f>
        <v>0.9</v>
      </c>
      <c r="C155" s="130">
        <v>0.9</v>
      </c>
      <c r="D155" s="129">
        <f t="shared" ref="D155:S167" si="45">C155</f>
        <v>0.9</v>
      </c>
      <c r="E155" s="129">
        <f t="shared" si="45"/>
        <v>0.9</v>
      </c>
      <c r="F155" s="129">
        <f t="shared" si="45"/>
        <v>0.9</v>
      </c>
      <c r="G155" s="129">
        <f t="shared" si="45"/>
        <v>0.9</v>
      </c>
      <c r="H155" s="129">
        <f t="shared" si="45"/>
        <v>0.9</v>
      </c>
      <c r="I155" s="129">
        <f t="shared" si="45"/>
        <v>0.9</v>
      </c>
      <c r="J155" s="129">
        <f t="shared" si="45"/>
        <v>0.9</v>
      </c>
      <c r="K155" s="129">
        <f t="shared" si="45"/>
        <v>0.9</v>
      </c>
      <c r="L155" s="129">
        <f t="shared" si="45"/>
        <v>0.9</v>
      </c>
      <c r="M155" s="129">
        <f t="shared" si="45"/>
        <v>0.9</v>
      </c>
      <c r="N155" s="129">
        <f t="shared" si="45"/>
        <v>0.9</v>
      </c>
      <c r="O155" s="129">
        <f t="shared" si="45"/>
        <v>0.9</v>
      </c>
      <c r="P155" s="129">
        <f t="shared" si="45"/>
        <v>0.9</v>
      </c>
      <c r="Q155" s="129">
        <f t="shared" si="45"/>
        <v>0.9</v>
      </c>
      <c r="R155" s="129">
        <f t="shared" si="45"/>
        <v>0.9</v>
      </c>
      <c r="S155" s="129">
        <f t="shared" si="45"/>
        <v>0.9</v>
      </c>
      <c r="T155" s="129">
        <f t="shared" ref="S155:AF167" si="46">S155</f>
        <v>0.9</v>
      </c>
      <c r="U155" s="129">
        <f t="shared" si="46"/>
        <v>0.9</v>
      </c>
      <c r="V155" s="129">
        <f t="shared" si="46"/>
        <v>0.9</v>
      </c>
      <c r="W155" s="129">
        <f t="shared" si="46"/>
        <v>0.9</v>
      </c>
      <c r="X155" s="129">
        <f t="shared" si="46"/>
        <v>0.9</v>
      </c>
      <c r="Y155" s="129">
        <f t="shared" si="46"/>
        <v>0.9</v>
      </c>
      <c r="Z155" s="129">
        <f t="shared" si="46"/>
        <v>0.9</v>
      </c>
      <c r="AA155" s="129">
        <f t="shared" si="46"/>
        <v>0.9</v>
      </c>
      <c r="AB155" s="129">
        <f t="shared" si="46"/>
        <v>0.9</v>
      </c>
      <c r="AC155" s="129">
        <f t="shared" si="46"/>
        <v>0.9</v>
      </c>
      <c r="AD155" s="129">
        <f t="shared" si="46"/>
        <v>0.9</v>
      </c>
      <c r="AE155" s="129">
        <f t="shared" si="46"/>
        <v>0.9</v>
      </c>
      <c r="AF155" s="129">
        <f t="shared" si="46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4"/>
        <v>1.08</v>
      </c>
      <c r="C156" s="130">
        <v>1.08</v>
      </c>
      <c r="D156" s="129">
        <f t="shared" si="45"/>
        <v>1.08</v>
      </c>
      <c r="E156" s="129">
        <f t="shared" si="45"/>
        <v>1.08</v>
      </c>
      <c r="F156" s="129">
        <f t="shared" si="45"/>
        <v>1.08</v>
      </c>
      <c r="G156" s="129">
        <f t="shared" si="45"/>
        <v>1.08</v>
      </c>
      <c r="H156" s="129">
        <f t="shared" si="45"/>
        <v>1.08</v>
      </c>
      <c r="I156" s="129">
        <f t="shared" si="45"/>
        <v>1.08</v>
      </c>
      <c r="J156" s="129">
        <f t="shared" si="45"/>
        <v>1.08</v>
      </c>
      <c r="K156" s="129">
        <f t="shared" si="45"/>
        <v>1.08</v>
      </c>
      <c r="L156" s="129">
        <f t="shared" si="45"/>
        <v>1.08</v>
      </c>
      <c r="M156" s="129">
        <f t="shared" si="45"/>
        <v>1.08</v>
      </c>
      <c r="N156" s="129">
        <f t="shared" si="45"/>
        <v>1.08</v>
      </c>
      <c r="O156" s="129">
        <f t="shared" si="45"/>
        <v>1.08</v>
      </c>
      <c r="P156" s="129">
        <f t="shared" si="45"/>
        <v>1.08</v>
      </c>
      <c r="Q156" s="129">
        <f t="shared" si="45"/>
        <v>1.08</v>
      </c>
      <c r="R156" s="129">
        <f t="shared" si="45"/>
        <v>1.08</v>
      </c>
      <c r="S156" s="129">
        <f t="shared" si="45"/>
        <v>1.08</v>
      </c>
      <c r="T156" s="129">
        <f t="shared" si="46"/>
        <v>1.08</v>
      </c>
      <c r="U156" s="129">
        <f t="shared" si="46"/>
        <v>1.08</v>
      </c>
      <c r="V156" s="129">
        <f t="shared" si="46"/>
        <v>1.08</v>
      </c>
      <c r="W156" s="129">
        <f t="shared" si="46"/>
        <v>1.08</v>
      </c>
      <c r="X156" s="129">
        <f t="shared" si="46"/>
        <v>1.08</v>
      </c>
      <c r="Y156" s="129">
        <f t="shared" si="46"/>
        <v>1.08</v>
      </c>
      <c r="Z156" s="129">
        <f t="shared" si="46"/>
        <v>1.08</v>
      </c>
      <c r="AA156" s="129">
        <f t="shared" si="46"/>
        <v>1.08</v>
      </c>
      <c r="AB156" s="129">
        <f t="shared" si="46"/>
        <v>1.08</v>
      </c>
      <c r="AC156" s="129">
        <f t="shared" si="46"/>
        <v>1.08</v>
      </c>
      <c r="AD156" s="129">
        <f t="shared" si="46"/>
        <v>1.08</v>
      </c>
      <c r="AE156" s="129">
        <f t="shared" si="46"/>
        <v>1.08</v>
      </c>
      <c r="AF156" s="129">
        <f t="shared" si="46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4"/>
        <v>2.37</v>
      </c>
      <c r="C157" s="130">
        <v>2.37</v>
      </c>
      <c r="D157" s="129">
        <f t="shared" si="45"/>
        <v>2.37</v>
      </c>
      <c r="E157" s="129">
        <f t="shared" si="45"/>
        <v>2.37</v>
      </c>
      <c r="F157" s="129">
        <f t="shared" si="45"/>
        <v>2.37</v>
      </c>
      <c r="G157" s="129">
        <f t="shared" si="45"/>
        <v>2.37</v>
      </c>
      <c r="H157" s="129">
        <f t="shared" si="45"/>
        <v>2.37</v>
      </c>
      <c r="I157" s="129">
        <f t="shared" si="45"/>
        <v>2.37</v>
      </c>
      <c r="J157" s="129">
        <f t="shared" si="45"/>
        <v>2.37</v>
      </c>
      <c r="K157" s="129">
        <f t="shared" si="45"/>
        <v>2.37</v>
      </c>
      <c r="L157" s="129">
        <f t="shared" si="45"/>
        <v>2.37</v>
      </c>
      <c r="M157" s="129">
        <f t="shared" si="45"/>
        <v>2.37</v>
      </c>
      <c r="N157" s="129">
        <f t="shared" si="45"/>
        <v>2.37</v>
      </c>
      <c r="O157" s="129">
        <f t="shared" si="45"/>
        <v>2.37</v>
      </c>
      <c r="P157" s="129">
        <f t="shared" si="45"/>
        <v>2.37</v>
      </c>
      <c r="Q157" s="129">
        <f t="shared" si="45"/>
        <v>2.37</v>
      </c>
      <c r="R157" s="129">
        <f t="shared" si="45"/>
        <v>2.37</v>
      </c>
      <c r="S157" s="129">
        <f t="shared" si="45"/>
        <v>2.37</v>
      </c>
      <c r="T157" s="129">
        <f t="shared" si="46"/>
        <v>2.37</v>
      </c>
      <c r="U157" s="129">
        <f t="shared" si="46"/>
        <v>2.37</v>
      </c>
      <c r="V157" s="129">
        <f t="shared" si="46"/>
        <v>2.37</v>
      </c>
      <c r="W157" s="129">
        <f t="shared" si="46"/>
        <v>2.37</v>
      </c>
      <c r="X157" s="129">
        <f t="shared" si="46"/>
        <v>2.37</v>
      </c>
      <c r="Y157" s="129">
        <f t="shared" si="46"/>
        <v>2.37</v>
      </c>
      <c r="Z157" s="129">
        <f t="shared" si="46"/>
        <v>2.37</v>
      </c>
      <c r="AA157" s="129">
        <f t="shared" si="46"/>
        <v>2.37</v>
      </c>
      <c r="AB157" s="129">
        <f t="shared" si="46"/>
        <v>2.37</v>
      </c>
      <c r="AC157" s="129">
        <f t="shared" si="46"/>
        <v>2.37</v>
      </c>
      <c r="AD157" s="129">
        <f t="shared" si="46"/>
        <v>2.37</v>
      </c>
      <c r="AE157" s="129">
        <f t="shared" si="46"/>
        <v>2.37</v>
      </c>
      <c r="AF157" s="129">
        <f t="shared" si="46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4"/>
        <v>1.81</v>
      </c>
      <c r="C158" s="130">
        <v>1.81</v>
      </c>
      <c r="D158" s="129">
        <f t="shared" si="45"/>
        <v>1.81</v>
      </c>
      <c r="E158" s="129">
        <f t="shared" si="45"/>
        <v>1.81</v>
      </c>
      <c r="F158" s="129">
        <f t="shared" si="45"/>
        <v>1.81</v>
      </c>
      <c r="G158" s="129">
        <f t="shared" si="45"/>
        <v>1.81</v>
      </c>
      <c r="H158" s="129">
        <f t="shared" si="45"/>
        <v>1.81</v>
      </c>
      <c r="I158" s="129">
        <f t="shared" si="45"/>
        <v>1.81</v>
      </c>
      <c r="J158" s="129">
        <f t="shared" si="45"/>
        <v>1.81</v>
      </c>
      <c r="K158" s="129">
        <f t="shared" si="45"/>
        <v>1.81</v>
      </c>
      <c r="L158" s="129">
        <f t="shared" si="45"/>
        <v>1.81</v>
      </c>
      <c r="M158" s="129">
        <f t="shared" si="45"/>
        <v>1.81</v>
      </c>
      <c r="N158" s="129">
        <f t="shared" si="45"/>
        <v>1.81</v>
      </c>
      <c r="O158" s="129">
        <f t="shared" si="45"/>
        <v>1.81</v>
      </c>
      <c r="P158" s="129">
        <f t="shared" si="45"/>
        <v>1.81</v>
      </c>
      <c r="Q158" s="129">
        <f t="shared" si="45"/>
        <v>1.81</v>
      </c>
      <c r="R158" s="129">
        <f t="shared" si="45"/>
        <v>1.81</v>
      </c>
      <c r="S158" s="129">
        <f t="shared" si="45"/>
        <v>1.81</v>
      </c>
      <c r="T158" s="129">
        <f t="shared" si="46"/>
        <v>1.81</v>
      </c>
      <c r="U158" s="129">
        <f t="shared" si="46"/>
        <v>1.81</v>
      </c>
      <c r="V158" s="129">
        <f t="shared" si="46"/>
        <v>1.81</v>
      </c>
      <c r="W158" s="129">
        <f t="shared" si="46"/>
        <v>1.81</v>
      </c>
      <c r="X158" s="129">
        <f t="shared" si="46"/>
        <v>1.81</v>
      </c>
      <c r="Y158" s="129">
        <f t="shared" si="46"/>
        <v>1.81</v>
      </c>
      <c r="Z158" s="129">
        <f t="shared" si="46"/>
        <v>1.81</v>
      </c>
      <c r="AA158" s="129">
        <f t="shared" si="46"/>
        <v>1.81</v>
      </c>
      <c r="AB158" s="129">
        <f t="shared" si="46"/>
        <v>1.81</v>
      </c>
      <c r="AC158" s="129">
        <f t="shared" si="46"/>
        <v>1.81</v>
      </c>
      <c r="AD158" s="129">
        <f t="shared" si="46"/>
        <v>1.81</v>
      </c>
      <c r="AE158" s="129">
        <f t="shared" si="46"/>
        <v>1.81</v>
      </c>
      <c r="AF158" s="129">
        <f t="shared" si="46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4"/>
        <v>1.0900000000000001</v>
      </c>
      <c r="C159" s="130">
        <v>1.0900000000000001</v>
      </c>
      <c r="D159" s="129">
        <f t="shared" si="45"/>
        <v>1.0900000000000001</v>
      </c>
      <c r="E159" s="129">
        <f t="shared" si="45"/>
        <v>1.0900000000000001</v>
      </c>
      <c r="F159" s="129">
        <f t="shared" si="45"/>
        <v>1.0900000000000001</v>
      </c>
      <c r="G159" s="129">
        <f t="shared" si="45"/>
        <v>1.0900000000000001</v>
      </c>
      <c r="H159" s="129">
        <f t="shared" si="45"/>
        <v>1.0900000000000001</v>
      </c>
      <c r="I159" s="129">
        <f t="shared" si="45"/>
        <v>1.0900000000000001</v>
      </c>
      <c r="J159" s="129">
        <f t="shared" si="45"/>
        <v>1.0900000000000001</v>
      </c>
      <c r="K159" s="129">
        <f t="shared" si="45"/>
        <v>1.0900000000000001</v>
      </c>
      <c r="L159" s="129">
        <f t="shared" si="45"/>
        <v>1.0900000000000001</v>
      </c>
      <c r="M159" s="129">
        <f t="shared" si="45"/>
        <v>1.0900000000000001</v>
      </c>
      <c r="N159" s="129">
        <f t="shared" si="45"/>
        <v>1.0900000000000001</v>
      </c>
      <c r="O159" s="129">
        <f t="shared" si="45"/>
        <v>1.0900000000000001</v>
      </c>
      <c r="P159" s="129">
        <f t="shared" si="45"/>
        <v>1.0900000000000001</v>
      </c>
      <c r="Q159" s="129">
        <f t="shared" si="45"/>
        <v>1.0900000000000001</v>
      </c>
      <c r="R159" s="129">
        <f t="shared" si="45"/>
        <v>1.0900000000000001</v>
      </c>
      <c r="S159" s="129">
        <f t="shared" si="45"/>
        <v>1.0900000000000001</v>
      </c>
      <c r="T159" s="129">
        <f t="shared" si="46"/>
        <v>1.0900000000000001</v>
      </c>
      <c r="U159" s="129">
        <f t="shared" si="46"/>
        <v>1.0900000000000001</v>
      </c>
      <c r="V159" s="129">
        <f t="shared" si="46"/>
        <v>1.0900000000000001</v>
      </c>
      <c r="W159" s="129">
        <f t="shared" si="46"/>
        <v>1.0900000000000001</v>
      </c>
      <c r="X159" s="129">
        <f t="shared" si="46"/>
        <v>1.0900000000000001</v>
      </c>
      <c r="Y159" s="129">
        <f t="shared" si="46"/>
        <v>1.0900000000000001</v>
      </c>
      <c r="Z159" s="129">
        <f t="shared" si="46"/>
        <v>1.0900000000000001</v>
      </c>
      <c r="AA159" s="129">
        <f t="shared" si="46"/>
        <v>1.0900000000000001</v>
      </c>
      <c r="AB159" s="129">
        <f t="shared" si="46"/>
        <v>1.0900000000000001</v>
      </c>
      <c r="AC159" s="129">
        <f t="shared" si="46"/>
        <v>1.0900000000000001</v>
      </c>
      <c r="AD159" s="129">
        <f t="shared" si="46"/>
        <v>1.0900000000000001</v>
      </c>
      <c r="AE159" s="129">
        <f t="shared" si="46"/>
        <v>1.0900000000000001</v>
      </c>
      <c r="AF159" s="129">
        <f t="shared" si="46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4"/>
        <v>1.58</v>
      </c>
      <c r="C160" s="130">
        <v>1.58</v>
      </c>
      <c r="D160" s="129">
        <f t="shared" si="45"/>
        <v>1.58</v>
      </c>
      <c r="E160" s="129">
        <f t="shared" si="45"/>
        <v>1.58</v>
      </c>
      <c r="F160" s="129">
        <f t="shared" si="45"/>
        <v>1.58</v>
      </c>
      <c r="G160" s="129">
        <f t="shared" si="45"/>
        <v>1.58</v>
      </c>
      <c r="H160" s="129">
        <f t="shared" si="45"/>
        <v>1.58</v>
      </c>
      <c r="I160" s="129">
        <f t="shared" si="45"/>
        <v>1.58</v>
      </c>
      <c r="J160" s="129">
        <f t="shared" si="45"/>
        <v>1.58</v>
      </c>
      <c r="K160" s="129">
        <f t="shared" si="45"/>
        <v>1.58</v>
      </c>
      <c r="L160" s="129">
        <f t="shared" si="45"/>
        <v>1.58</v>
      </c>
      <c r="M160" s="129">
        <f t="shared" si="45"/>
        <v>1.58</v>
      </c>
      <c r="N160" s="129">
        <f t="shared" si="45"/>
        <v>1.58</v>
      </c>
      <c r="O160" s="129">
        <f t="shared" si="45"/>
        <v>1.58</v>
      </c>
      <c r="P160" s="129">
        <f t="shared" si="45"/>
        <v>1.58</v>
      </c>
      <c r="Q160" s="129">
        <f t="shared" si="45"/>
        <v>1.58</v>
      </c>
      <c r="R160" s="129">
        <f t="shared" si="45"/>
        <v>1.58</v>
      </c>
      <c r="S160" s="129">
        <f t="shared" si="45"/>
        <v>1.58</v>
      </c>
      <c r="T160" s="129">
        <f t="shared" si="46"/>
        <v>1.58</v>
      </c>
      <c r="U160" s="129">
        <f t="shared" si="46"/>
        <v>1.58</v>
      </c>
      <c r="V160" s="129">
        <f t="shared" si="46"/>
        <v>1.58</v>
      </c>
      <c r="W160" s="129">
        <f t="shared" si="46"/>
        <v>1.58</v>
      </c>
      <c r="X160" s="129">
        <f t="shared" si="46"/>
        <v>1.58</v>
      </c>
      <c r="Y160" s="129">
        <f t="shared" si="46"/>
        <v>1.58</v>
      </c>
      <c r="Z160" s="129">
        <f t="shared" si="46"/>
        <v>1.58</v>
      </c>
      <c r="AA160" s="129">
        <f t="shared" si="46"/>
        <v>1.58</v>
      </c>
      <c r="AB160" s="129">
        <f t="shared" si="46"/>
        <v>1.58</v>
      </c>
      <c r="AC160" s="129">
        <f t="shared" si="46"/>
        <v>1.58</v>
      </c>
      <c r="AD160" s="129">
        <f t="shared" si="46"/>
        <v>1.58</v>
      </c>
      <c r="AE160" s="129">
        <f t="shared" si="46"/>
        <v>1.58</v>
      </c>
      <c r="AF160" s="129">
        <f t="shared" si="46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4"/>
        <v>2</v>
      </c>
      <c r="C161" s="130">
        <v>2</v>
      </c>
      <c r="D161" s="129">
        <f t="shared" si="45"/>
        <v>2</v>
      </c>
      <c r="E161" s="129">
        <f t="shared" si="45"/>
        <v>2</v>
      </c>
      <c r="F161" s="129">
        <f t="shared" si="45"/>
        <v>2</v>
      </c>
      <c r="G161" s="129">
        <f t="shared" si="45"/>
        <v>2</v>
      </c>
      <c r="H161" s="129">
        <f t="shared" si="45"/>
        <v>2</v>
      </c>
      <c r="I161" s="129">
        <f t="shared" si="45"/>
        <v>2</v>
      </c>
      <c r="J161" s="129">
        <f t="shared" si="45"/>
        <v>2</v>
      </c>
      <c r="K161" s="129">
        <f t="shared" si="45"/>
        <v>2</v>
      </c>
      <c r="L161" s="129">
        <f t="shared" si="45"/>
        <v>2</v>
      </c>
      <c r="M161" s="129">
        <f t="shared" si="45"/>
        <v>2</v>
      </c>
      <c r="N161" s="129">
        <f t="shared" si="45"/>
        <v>2</v>
      </c>
      <c r="O161" s="129">
        <f t="shared" si="45"/>
        <v>2</v>
      </c>
      <c r="P161" s="129">
        <f t="shared" si="45"/>
        <v>2</v>
      </c>
      <c r="Q161" s="129">
        <f t="shared" si="45"/>
        <v>2</v>
      </c>
      <c r="R161" s="129">
        <f t="shared" si="45"/>
        <v>2</v>
      </c>
      <c r="S161" s="129">
        <f t="shared" si="45"/>
        <v>2</v>
      </c>
      <c r="T161" s="129">
        <f t="shared" si="46"/>
        <v>2</v>
      </c>
      <c r="U161" s="129">
        <f t="shared" si="46"/>
        <v>2</v>
      </c>
      <c r="V161" s="129">
        <f t="shared" si="46"/>
        <v>2</v>
      </c>
      <c r="W161" s="129">
        <f t="shared" si="46"/>
        <v>2</v>
      </c>
      <c r="X161" s="129">
        <f t="shared" si="46"/>
        <v>2</v>
      </c>
      <c r="Y161" s="129">
        <f t="shared" si="46"/>
        <v>2</v>
      </c>
      <c r="Z161" s="129">
        <f t="shared" si="46"/>
        <v>2</v>
      </c>
      <c r="AA161" s="129">
        <f t="shared" si="46"/>
        <v>2</v>
      </c>
      <c r="AB161" s="129">
        <f t="shared" si="46"/>
        <v>2</v>
      </c>
      <c r="AC161" s="129">
        <f t="shared" si="46"/>
        <v>2</v>
      </c>
      <c r="AD161" s="129">
        <f t="shared" si="46"/>
        <v>2</v>
      </c>
      <c r="AE161" s="129">
        <f t="shared" si="46"/>
        <v>2</v>
      </c>
      <c r="AF161" s="129">
        <f t="shared" si="46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4"/>
        <v>0.47</v>
      </c>
      <c r="C162" s="130">
        <v>0.47</v>
      </c>
      <c r="D162" s="129">
        <f t="shared" si="45"/>
        <v>0.47</v>
      </c>
      <c r="E162" s="129">
        <f t="shared" si="45"/>
        <v>0.47</v>
      </c>
      <c r="F162" s="129">
        <f t="shared" si="45"/>
        <v>0.47</v>
      </c>
      <c r="G162" s="129">
        <f t="shared" si="45"/>
        <v>0.47</v>
      </c>
      <c r="H162" s="129">
        <f t="shared" si="45"/>
        <v>0.47</v>
      </c>
      <c r="I162" s="129">
        <f t="shared" si="45"/>
        <v>0.47</v>
      </c>
      <c r="J162" s="129">
        <f t="shared" si="45"/>
        <v>0.47</v>
      </c>
      <c r="K162" s="129">
        <f t="shared" si="45"/>
        <v>0.47</v>
      </c>
      <c r="L162" s="129">
        <f t="shared" si="45"/>
        <v>0.47</v>
      </c>
      <c r="M162" s="129">
        <f t="shared" si="45"/>
        <v>0.47</v>
      </c>
      <c r="N162" s="129">
        <f t="shared" si="45"/>
        <v>0.47</v>
      </c>
      <c r="O162" s="129">
        <f t="shared" si="45"/>
        <v>0.47</v>
      </c>
      <c r="P162" s="129">
        <f t="shared" si="45"/>
        <v>0.47</v>
      </c>
      <c r="Q162" s="129">
        <f t="shared" si="45"/>
        <v>0.47</v>
      </c>
      <c r="R162" s="129">
        <f t="shared" si="45"/>
        <v>0.47</v>
      </c>
      <c r="S162" s="129">
        <f t="shared" si="45"/>
        <v>0.47</v>
      </c>
      <c r="T162" s="129">
        <f t="shared" si="46"/>
        <v>0.47</v>
      </c>
      <c r="U162" s="129">
        <f t="shared" si="46"/>
        <v>0.47</v>
      </c>
      <c r="V162" s="129">
        <f t="shared" si="46"/>
        <v>0.47</v>
      </c>
      <c r="W162" s="129">
        <f t="shared" si="46"/>
        <v>0.47</v>
      </c>
      <c r="X162" s="129">
        <f t="shared" si="46"/>
        <v>0.47</v>
      </c>
      <c r="Y162" s="129">
        <f t="shared" si="46"/>
        <v>0.47</v>
      </c>
      <c r="Z162" s="129">
        <f t="shared" si="46"/>
        <v>0.47</v>
      </c>
      <c r="AA162" s="129">
        <f t="shared" si="46"/>
        <v>0.47</v>
      </c>
      <c r="AB162" s="129">
        <f t="shared" si="46"/>
        <v>0.47</v>
      </c>
      <c r="AC162" s="129">
        <f t="shared" si="46"/>
        <v>0.47</v>
      </c>
      <c r="AD162" s="129">
        <f t="shared" si="46"/>
        <v>0.47</v>
      </c>
      <c r="AE162" s="129">
        <f t="shared" si="46"/>
        <v>0.47</v>
      </c>
      <c r="AF162" s="129">
        <f t="shared" si="46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4"/>
        <v>0</v>
      </c>
      <c r="C163" s="130">
        <v>0</v>
      </c>
      <c r="D163" s="129">
        <f t="shared" si="45"/>
        <v>0</v>
      </c>
      <c r="E163" s="129">
        <f t="shared" si="45"/>
        <v>0</v>
      </c>
      <c r="F163" s="129">
        <f t="shared" si="45"/>
        <v>0</v>
      </c>
      <c r="G163" s="129">
        <f t="shared" si="45"/>
        <v>0</v>
      </c>
      <c r="H163" s="129">
        <f t="shared" si="45"/>
        <v>0</v>
      </c>
      <c r="I163" s="129">
        <f t="shared" si="45"/>
        <v>0</v>
      </c>
      <c r="J163" s="129">
        <f t="shared" si="45"/>
        <v>0</v>
      </c>
      <c r="K163" s="129">
        <f t="shared" si="45"/>
        <v>0</v>
      </c>
      <c r="L163" s="129">
        <f t="shared" si="45"/>
        <v>0</v>
      </c>
      <c r="M163" s="129">
        <f t="shared" si="45"/>
        <v>0</v>
      </c>
      <c r="N163" s="129">
        <f t="shared" si="45"/>
        <v>0</v>
      </c>
      <c r="O163" s="129">
        <f t="shared" si="45"/>
        <v>0</v>
      </c>
      <c r="P163" s="129">
        <f t="shared" si="45"/>
        <v>0</v>
      </c>
      <c r="Q163" s="129">
        <f t="shared" si="45"/>
        <v>0</v>
      </c>
      <c r="R163" s="129">
        <f t="shared" si="45"/>
        <v>0</v>
      </c>
      <c r="S163" s="129">
        <f t="shared" si="45"/>
        <v>0</v>
      </c>
      <c r="T163" s="129">
        <f t="shared" si="46"/>
        <v>0</v>
      </c>
      <c r="U163" s="129">
        <f t="shared" si="46"/>
        <v>0</v>
      </c>
      <c r="V163" s="129">
        <f t="shared" si="46"/>
        <v>0</v>
      </c>
      <c r="W163" s="129">
        <f t="shared" si="46"/>
        <v>0</v>
      </c>
      <c r="X163" s="129">
        <f t="shared" si="46"/>
        <v>0</v>
      </c>
      <c r="Y163" s="129">
        <f t="shared" si="46"/>
        <v>0</v>
      </c>
      <c r="Z163" s="129">
        <f t="shared" si="46"/>
        <v>0</v>
      </c>
      <c r="AA163" s="129">
        <f t="shared" si="46"/>
        <v>0</v>
      </c>
      <c r="AB163" s="129">
        <f t="shared" si="46"/>
        <v>0</v>
      </c>
      <c r="AC163" s="129">
        <f t="shared" si="46"/>
        <v>0</v>
      </c>
      <c r="AD163" s="129">
        <f t="shared" si="46"/>
        <v>0</v>
      </c>
      <c r="AE163" s="129">
        <f t="shared" si="46"/>
        <v>0</v>
      </c>
      <c r="AF163" s="129">
        <f t="shared" si="46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4"/>
        <v>0</v>
      </c>
      <c r="C164" s="130">
        <v>0</v>
      </c>
      <c r="D164" s="129">
        <f t="shared" si="45"/>
        <v>0</v>
      </c>
      <c r="E164" s="129">
        <f t="shared" si="45"/>
        <v>0</v>
      </c>
      <c r="F164" s="129">
        <f t="shared" si="45"/>
        <v>0</v>
      </c>
      <c r="G164" s="129">
        <f t="shared" si="45"/>
        <v>0</v>
      </c>
      <c r="H164" s="129">
        <f t="shared" si="45"/>
        <v>0</v>
      </c>
      <c r="I164" s="129">
        <f t="shared" si="45"/>
        <v>0</v>
      </c>
      <c r="J164" s="129">
        <f t="shared" si="45"/>
        <v>0</v>
      </c>
      <c r="K164" s="129">
        <f t="shared" si="45"/>
        <v>0</v>
      </c>
      <c r="L164" s="129">
        <f t="shared" si="45"/>
        <v>0</v>
      </c>
      <c r="M164" s="129">
        <f t="shared" si="45"/>
        <v>0</v>
      </c>
      <c r="N164" s="129">
        <f t="shared" si="45"/>
        <v>0</v>
      </c>
      <c r="O164" s="129">
        <f t="shared" si="45"/>
        <v>0</v>
      </c>
      <c r="P164" s="129">
        <f t="shared" si="45"/>
        <v>0</v>
      </c>
      <c r="Q164" s="129">
        <f t="shared" si="45"/>
        <v>0</v>
      </c>
      <c r="R164" s="129">
        <f t="shared" si="45"/>
        <v>0</v>
      </c>
      <c r="S164" s="129">
        <f t="shared" si="46"/>
        <v>0</v>
      </c>
      <c r="T164" s="129">
        <f t="shared" si="46"/>
        <v>0</v>
      </c>
      <c r="U164" s="129">
        <f t="shared" si="46"/>
        <v>0</v>
      </c>
      <c r="V164" s="129">
        <f t="shared" si="46"/>
        <v>0</v>
      </c>
      <c r="W164" s="129">
        <f t="shared" si="46"/>
        <v>0</v>
      </c>
      <c r="X164" s="129">
        <f t="shared" si="46"/>
        <v>0</v>
      </c>
      <c r="Y164" s="129">
        <f t="shared" si="46"/>
        <v>0</v>
      </c>
      <c r="Z164" s="129">
        <f t="shared" si="46"/>
        <v>0</v>
      </c>
      <c r="AA164" s="129">
        <f t="shared" si="46"/>
        <v>0</v>
      </c>
      <c r="AB164" s="129">
        <f t="shared" si="46"/>
        <v>0</v>
      </c>
      <c r="AC164" s="129">
        <f t="shared" si="46"/>
        <v>0</v>
      </c>
      <c r="AD164" s="129">
        <f t="shared" si="46"/>
        <v>0</v>
      </c>
      <c r="AE164" s="129">
        <f t="shared" si="46"/>
        <v>0</v>
      </c>
      <c r="AF164" s="129">
        <f t="shared" si="46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4"/>
        <v>0.8</v>
      </c>
      <c r="C165" s="130">
        <v>0.8</v>
      </c>
      <c r="D165" s="129">
        <f t="shared" si="45"/>
        <v>0.8</v>
      </c>
      <c r="E165" s="129">
        <f t="shared" si="45"/>
        <v>0.8</v>
      </c>
      <c r="F165" s="129">
        <f t="shared" si="45"/>
        <v>0.8</v>
      </c>
      <c r="G165" s="129">
        <f t="shared" si="45"/>
        <v>0.8</v>
      </c>
      <c r="H165" s="129">
        <f t="shared" si="45"/>
        <v>0.8</v>
      </c>
      <c r="I165" s="129">
        <f t="shared" si="45"/>
        <v>0.8</v>
      </c>
      <c r="J165" s="129">
        <f t="shared" si="45"/>
        <v>0.8</v>
      </c>
      <c r="K165" s="129">
        <f t="shared" si="45"/>
        <v>0.8</v>
      </c>
      <c r="L165" s="129">
        <f t="shared" si="45"/>
        <v>0.8</v>
      </c>
      <c r="M165" s="129">
        <f t="shared" si="45"/>
        <v>0.8</v>
      </c>
      <c r="N165" s="129">
        <f t="shared" si="45"/>
        <v>0.8</v>
      </c>
      <c r="O165" s="129">
        <f t="shared" si="45"/>
        <v>0.8</v>
      </c>
      <c r="P165" s="129">
        <f t="shared" si="45"/>
        <v>0.8</v>
      </c>
      <c r="Q165" s="129">
        <f t="shared" si="45"/>
        <v>0.8</v>
      </c>
      <c r="R165" s="129">
        <f t="shared" si="45"/>
        <v>0.8</v>
      </c>
      <c r="S165" s="129">
        <f t="shared" si="46"/>
        <v>0.8</v>
      </c>
      <c r="T165" s="129">
        <f t="shared" si="46"/>
        <v>0.8</v>
      </c>
      <c r="U165" s="129">
        <f t="shared" si="46"/>
        <v>0.8</v>
      </c>
      <c r="V165" s="129">
        <f t="shared" si="46"/>
        <v>0.8</v>
      </c>
      <c r="W165" s="129">
        <f t="shared" si="46"/>
        <v>0.8</v>
      </c>
      <c r="X165" s="129">
        <f t="shared" si="46"/>
        <v>0.8</v>
      </c>
      <c r="Y165" s="129">
        <f t="shared" si="46"/>
        <v>0.8</v>
      </c>
      <c r="Z165" s="129">
        <f t="shared" si="46"/>
        <v>0.8</v>
      </c>
      <c r="AA165" s="129">
        <f t="shared" si="46"/>
        <v>0.8</v>
      </c>
      <c r="AB165" s="129">
        <f t="shared" si="46"/>
        <v>0.8</v>
      </c>
      <c r="AC165" s="129">
        <f t="shared" si="46"/>
        <v>0.8</v>
      </c>
      <c r="AD165" s="129">
        <f t="shared" si="46"/>
        <v>0.8</v>
      </c>
      <c r="AE165" s="129">
        <f t="shared" si="46"/>
        <v>0.8</v>
      </c>
      <c r="AF165" s="129">
        <f t="shared" si="46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4"/>
        <v>1.5</v>
      </c>
      <c r="C166" s="130">
        <v>1.5</v>
      </c>
      <c r="D166" s="129">
        <f t="shared" si="45"/>
        <v>1.5</v>
      </c>
      <c r="E166" s="129">
        <f t="shared" si="45"/>
        <v>1.5</v>
      </c>
      <c r="F166" s="129">
        <f t="shared" si="45"/>
        <v>1.5</v>
      </c>
      <c r="G166" s="129">
        <f t="shared" si="45"/>
        <v>1.5</v>
      </c>
      <c r="H166" s="129">
        <f t="shared" si="45"/>
        <v>1.5</v>
      </c>
      <c r="I166" s="129">
        <f t="shared" si="45"/>
        <v>1.5</v>
      </c>
      <c r="J166" s="129">
        <f t="shared" si="45"/>
        <v>1.5</v>
      </c>
      <c r="K166" s="129">
        <f t="shared" si="45"/>
        <v>1.5</v>
      </c>
      <c r="L166" s="129">
        <f t="shared" si="45"/>
        <v>1.5</v>
      </c>
      <c r="M166" s="129">
        <f t="shared" si="45"/>
        <v>1.5</v>
      </c>
      <c r="N166" s="129">
        <f t="shared" si="45"/>
        <v>1.5</v>
      </c>
      <c r="O166" s="129">
        <f t="shared" si="45"/>
        <v>1.5</v>
      </c>
      <c r="P166" s="129">
        <f t="shared" si="45"/>
        <v>1.5</v>
      </c>
      <c r="Q166" s="129">
        <f t="shared" si="45"/>
        <v>1.5</v>
      </c>
      <c r="R166" s="129">
        <f t="shared" si="45"/>
        <v>1.5</v>
      </c>
      <c r="S166" s="129">
        <f t="shared" si="46"/>
        <v>1.5</v>
      </c>
      <c r="T166" s="129">
        <f t="shared" si="46"/>
        <v>1.5</v>
      </c>
      <c r="U166" s="129">
        <f t="shared" si="46"/>
        <v>1.5</v>
      </c>
      <c r="V166" s="129">
        <f t="shared" si="46"/>
        <v>1.5</v>
      </c>
      <c r="W166" s="129">
        <f t="shared" si="46"/>
        <v>1.5</v>
      </c>
      <c r="X166" s="129">
        <f t="shared" si="46"/>
        <v>1.5</v>
      </c>
      <c r="Y166" s="129">
        <f t="shared" si="46"/>
        <v>1.5</v>
      </c>
      <c r="Z166" s="129">
        <f t="shared" si="46"/>
        <v>1.5</v>
      </c>
      <c r="AA166" s="129">
        <f t="shared" si="46"/>
        <v>1.5</v>
      </c>
      <c r="AB166" s="129">
        <f t="shared" si="46"/>
        <v>1.5</v>
      </c>
      <c r="AC166" s="129">
        <f t="shared" si="46"/>
        <v>1.5</v>
      </c>
      <c r="AD166" s="129">
        <f t="shared" si="46"/>
        <v>1.5</v>
      </c>
      <c r="AE166" s="129">
        <f t="shared" si="46"/>
        <v>1.5</v>
      </c>
      <c r="AF166" s="129">
        <f t="shared" si="46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4"/>
        <v>1</v>
      </c>
      <c r="C167" s="130">
        <v>1</v>
      </c>
      <c r="D167" s="129">
        <f t="shared" si="45"/>
        <v>1</v>
      </c>
      <c r="E167" s="129">
        <f t="shared" si="45"/>
        <v>1</v>
      </c>
      <c r="F167" s="129">
        <f t="shared" si="45"/>
        <v>1</v>
      </c>
      <c r="G167" s="129">
        <f t="shared" si="45"/>
        <v>1</v>
      </c>
      <c r="H167" s="129">
        <f t="shared" si="45"/>
        <v>1</v>
      </c>
      <c r="I167" s="129">
        <f t="shared" si="45"/>
        <v>1</v>
      </c>
      <c r="J167" s="129">
        <f t="shared" si="45"/>
        <v>1</v>
      </c>
      <c r="K167" s="129">
        <f t="shared" si="45"/>
        <v>1</v>
      </c>
      <c r="L167" s="129">
        <f t="shared" si="45"/>
        <v>1</v>
      </c>
      <c r="M167" s="129">
        <f t="shared" si="45"/>
        <v>1</v>
      </c>
      <c r="N167" s="129">
        <f t="shared" si="45"/>
        <v>1</v>
      </c>
      <c r="O167" s="129">
        <f t="shared" si="45"/>
        <v>1</v>
      </c>
      <c r="P167" s="129">
        <f t="shared" si="45"/>
        <v>1</v>
      </c>
      <c r="Q167" s="129">
        <f t="shared" si="45"/>
        <v>1</v>
      </c>
      <c r="R167" s="129">
        <f t="shared" si="45"/>
        <v>1</v>
      </c>
      <c r="S167" s="129">
        <f t="shared" si="46"/>
        <v>1</v>
      </c>
      <c r="T167" s="129">
        <f t="shared" si="46"/>
        <v>1</v>
      </c>
      <c r="U167" s="129">
        <f t="shared" si="46"/>
        <v>1</v>
      </c>
      <c r="V167" s="129">
        <f t="shared" si="46"/>
        <v>1</v>
      </c>
      <c r="W167" s="129">
        <f t="shared" si="46"/>
        <v>1</v>
      </c>
      <c r="X167" s="129">
        <f t="shared" si="46"/>
        <v>1</v>
      </c>
      <c r="Y167" s="129">
        <f t="shared" si="46"/>
        <v>1</v>
      </c>
      <c r="Z167" s="129">
        <f t="shared" si="46"/>
        <v>1</v>
      </c>
      <c r="AA167" s="129">
        <f t="shared" si="46"/>
        <v>1</v>
      </c>
      <c r="AB167" s="129">
        <f t="shared" si="46"/>
        <v>1</v>
      </c>
      <c r="AC167" s="129">
        <f t="shared" si="46"/>
        <v>1</v>
      </c>
      <c r="AD167" s="129">
        <f t="shared" si="46"/>
        <v>1</v>
      </c>
      <c r="AE167" s="129">
        <f t="shared" si="46"/>
        <v>1</v>
      </c>
      <c r="AF167" s="129">
        <f t="shared" si="46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7">AF169</f>
        <v>1</v>
      </c>
      <c r="C169" s="130">
        <v>1</v>
      </c>
      <c r="D169" s="129">
        <f t="shared" ref="D169:S176" si="48">C169</f>
        <v>1</v>
      </c>
      <c r="E169" s="129">
        <f t="shared" si="48"/>
        <v>1</v>
      </c>
      <c r="F169" s="129">
        <f t="shared" si="48"/>
        <v>1</v>
      </c>
      <c r="G169" s="129">
        <f t="shared" si="48"/>
        <v>1</v>
      </c>
      <c r="H169" s="129">
        <f t="shared" si="48"/>
        <v>1</v>
      </c>
      <c r="I169" s="129">
        <f t="shared" si="48"/>
        <v>1</v>
      </c>
      <c r="J169" s="129">
        <f t="shared" si="48"/>
        <v>1</v>
      </c>
      <c r="K169" s="129">
        <f t="shared" si="48"/>
        <v>1</v>
      </c>
      <c r="L169" s="129">
        <f t="shared" si="48"/>
        <v>1</v>
      </c>
      <c r="M169" s="129">
        <f t="shared" si="48"/>
        <v>1</v>
      </c>
      <c r="N169" s="129">
        <f t="shared" si="48"/>
        <v>1</v>
      </c>
      <c r="O169" s="129">
        <f t="shared" si="48"/>
        <v>1</v>
      </c>
      <c r="P169" s="129">
        <f t="shared" si="48"/>
        <v>1</v>
      </c>
      <c r="Q169" s="129">
        <f t="shared" si="48"/>
        <v>1</v>
      </c>
      <c r="R169" s="129">
        <f t="shared" si="48"/>
        <v>1</v>
      </c>
      <c r="S169" s="129">
        <f t="shared" si="48"/>
        <v>1</v>
      </c>
      <c r="T169" s="129">
        <f t="shared" ref="S169:AF176" si="49">S169</f>
        <v>1</v>
      </c>
      <c r="U169" s="129">
        <f t="shared" si="49"/>
        <v>1</v>
      </c>
      <c r="V169" s="129">
        <f t="shared" si="49"/>
        <v>1</v>
      </c>
      <c r="W169" s="129">
        <f t="shared" si="49"/>
        <v>1</v>
      </c>
      <c r="X169" s="129">
        <f t="shared" si="49"/>
        <v>1</v>
      </c>
      <c r="Y169" s="129">
        <f t="shared" si="49"/>
        <v>1</v>
      </c>
      <c r="Z169" s="129">
        <f t="shared" si="49"/>
        <v>1</v>
      </c>
      <c r="AA169" s="129">
        <f t="shared" si="49"/>
        <v>1</v>
      </c>
      <c r="AB169" s="129">
        <f t="shared" si="49"/>
        <v>1</v>
      </c>
      <c r="AC169" s="129">
        <f t="shared" si="49"/>
        <v>1</v>
      </c>
      <c r="AD169" s="129">
        <f t="shared" si="49"/>
        <v>1</v>
      </c>
      <c r="AE169" s="129">
        <f t="shared" si="49"/>
        <v>1</v>
      </c>
      <c r="AF169" s="129">
        <f t="shared" si="49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7"/>
        <v>0.42</v>
      </c>
      <c r="C170" s="130">
        <v>0.42</v>
      </c>
      <c r="D170" s="129">
        <f t="shared" si="48"/>
        <v>0.42</v>
      </c>
      <c r="E170" s="129">
        <f t="shared" si="48"/>
        <v>0.42</v>
      </c>
      <c r="F170" s="129">
        <f t="shared" si="48"/>
        <v>0.42</v>
      </c>
      <c r="G170" s="129">
        <f t="shared" si="48"/>
        <v>0.42</v>
      </c>
      <c r="H170" s="129">
        <f t="shared" si="48"/>
        <v>0.42</v>
      </c>
      <c r="I170" s="129">
        <f t="shared" si="48"/>
        <v>0.42</v>
      </c>
      <c r="J170" s="129">
        <f t="shared" si="48"/>
        <v>0.42</v>
      </c>
      <c r="K170" s="129">
        <f t="shared" si="48"/>
        <v>0.42</v>
      </c>
      <c r="L170" s="129">
        <f t="shared" si="48"/>
        <v>0.42</v>
      </c>
      <c r="M170" s="129">
        <f t="shared" si="48"/>
        <v>0.42</v>
      </c>
      <c r="N170" s="129">
        <f t="shared" si="48"/>
        <v>0.42</v>
      </c>
      <c r="O170" s="129">
        <f t="shared" si="48"/>
        <v>0.42</v>
      </c>
      <c r="P170" s="129">
        <f t="shared" si="48"/>
        <v>0.42</v>
      </c>
      <c r="Q170" s="129">
        <f t="shared" si="48"/>
        <v>0.42</v>
      </c>
      <c r="R170" s="129">
        <f t="shared" si="48"/>
        <v>0.42</v>
      </c>
      <c r="S170" s="129">
        <f t="shared" si="49"/>
        <v>0.42</v>
      </c>
      <c r="T170" s="129">
        <f t="shared" si="49"/>
        <v>0.42</v>
      </c>
      <c r="U170" s="129">
        <f t="shared" si="49"/>
        <v>0.42</v>
      </c>
      <c r="V170" s="129">
        <f t="shared" si="49"/>
        <v>0.42</v>
      </c>
      <c r="W170" s="129">
        <f t="shared" si="49"/>
        <v>0.42</v>
      </c>
      <c r="X170" s="129">
        <f t="shared" si="49"/>
        <v>0.42</v>
      </c>
      <c r="Y170" s="129">
        <f t="shared" si="49"/>
        <v>0.42</v>
      </c>
      <c r="Z170" s="129">
        <f t="shared" si="49"/>
        <v>0.42</v>
      </c>
      <c r="AA170" s="129">
        <f t="shared" si="49"/>
        <v>0.42</v>
      </c>
      <c r="AB170" s="129">
        <f t="shared" si="49"/>
        <v>0.42</v>
      </c>
      <c r="AC170" s="129">
        <f t="shared" si="49"/>
        <v>0.42</v>
      </c>
      <c r="AD170" s="129">
        <f t="shared" si="49"/>
        <v>0.42</v>
      </c>
      <c r="AE170" s="129">
        <f t="shared" si="49"/>
        <v>0.42</v>
      </c>
      <c r="AF170" s="129">
        <f t="shared" si="49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7"/>
        <v>0.46</v>
      </c>
      <c r="C171" s="130">
        <v>0.46</v>
      </c>
      <c r="D171" s="129">
        <f t="shared" si="48"/>
        <v>0.46</v>
      </c>
      <c r="E171" s="129">
        <f t="shared" si="48"/>
        <v>0.46</v>
      </c>
      <c r="F171" s="129">
        <f t="shared" si="48"/>
        <v>0.46</v>
      </c>
      <c r="G171" s="129">
        <f t="shared" si="48"/>
        <v>0.46</v>
      </c>
      <c r="H171" s="129">
        <f t="shared" si="48"/>
        <v>0.46</v>
      </c>
      <c r="I171" s="129">
        <f t="shared" si="48"/>
        <v>0.46</v>
      </c>
      <c r="J171" s="129">
        <f t="shared" si="48"/>
        <v>0.46</v>
      </c>
      <c r="K171" s="129">
        <f t="shared" si="48"/>
        <v>0.46</v>
      </c>
      <c r="L171" s="129">
        <f t="shared" si="48"/>
        <v>0.46</v>
      </c>
      <c r="M171" s="129">
        <f t="shared" si="48"/>
        <v>0.46</v>
      </c>
      <c r="N171" s="129">
        <f t="shared" si="48"/>
        <v>0.46</v>
      </c>
      <c r="O171" s="129">
        <f t="shared" si="48"/>
        <v>0.46</v>
      </c>
      <c r="P171" s="129">
        <f t="shared" si="48"/>
        <v>0.46</v>
      </c>
      <c r="Q171" s="129">
        <f t="shared" si="48"/>
        <v>0.46</v>
      </c>
      <c r="R171" s="129">
        <f t="shared" si="48"/>
        <v>0.46</v>
      </c>
      <c r="S171" s="129">
        <f t="shared" si="49"/>
        <v>0.46</v>
      </c>
      <c r="T171" s="129">
        <f t="shared" si="49"/>
        <v>0.46</v>
      </c>
      <c r="U171" s="129">
        <f t="shared" si="49"/>
        <v>0.46</v>
      </c>
      <c r="V171" s="129">
        <f t="shared" si="49"/>
        <v>0.46</v>
      </c>
      <c r="W171" s="129">
        <f t="shared" si="49"/>
        <v>0.46</v>
      </c>
      <c r="X171" s="129">
        <f t="shared" si="49"/>
        <v>0.46</v>
      </c>
      <c r="Y171" s="129">
        <f t="shared" si="49"/>
        <v>0.46</v>
      </c>
      <c r="Z171" s="129">
        <f t="shared" si="49"/>
        <v>0.46</v>
      </c>
      <c r="AA171" s="129">
        <f t="shared" si="49"/>
        <v>0.46</v>
      </c>
      <c r="AB171" s="129">
        <f t="shared" si="49"/>
        <v>0.46</v>
      </c>
      <c r="AC171" s="129">
        <f t="shared" si="49"/>
        <v>0.46</v>
      </c>
      <c r="AD171" s="129">
        <f t="shared" si="49"/>
        <v>0.46</v>
      </c>
      <c r="AE171" s="129">
        <f t="shared" si="49"/>
        <v>0.46</v>
      </c>
      <c r="AF171" s="129">
        <f t="shared" si="49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7"/>
        <v>0.85</v>
      </c>
      <c r="C172" s="130">
        <v>0.85</v>
      </c>
      <c r="D172" s="129">
        <f t="shared" si="48"/>
        <v>0.85</v>
      </c>
      <c r="E172" s="129">
        <f t="shared" si="48"/>
        <v>0.85</v>
      </c>
      <c r="F172" s="129">
        <f t="shared" si="48"/>
        <v>0.85</v>
      </c>
      <c r="G172" s="129">
        <f t="shared" si="48"/>
        <v>0.85</v>
      </c>
      <c r="H172" s="129">
        <f t="shared" si="48"/>
        <v>0.85</v>
      </c>
      <c r="I172" s="129">
        <f t="shared" si="48"/>
        <v>0.85</v>
      </c>
      <c r="J172" s="129">
        <f t="shared" si="48"/>
        <v>0.85</v>
      </c>
      <c r="K172" s="129">
        <f t="shared" si="48"/>
        <v>0.85</v>
      </c>
      <c r="L172" s="129">
        <f t="shared" si="48"/>
        <v>0.85</v>
      </c>
      <c r="M172" s="129">
        <f t="shared" si="48"/>
        <v>0.85</v>
      </c>
      <c r="N172" s="129">
        <f t="shared" si="48"/>
        <v>0.85</v>
      </c>
      <c r="O172" s="129">
        <f t="shared" si="48"/>
        <v>0.85</v>
      </c>
      <c r="P172" s="129">
        <f t="shared" si="48"/>
        <v>0.85</v>
      </c>
      <c r="Q172" s="129">
        <f t="shared" si="48"/>
        <v>0.85</v>
      </c>
      <c r="R172" s="129">
        <f t="shared" si="48"/>
        <v>0.85</v>
      </c>
      <c r="S172" s="129">
        <f t="shared" si="49"/>
        <v>0.85</v>
      </c>
      <c r="T172" s="129">
        <f t="shared" si="49"/>
        <v>0.85</v>
      </c>
      <c r="U172" s="129">
        <f t="shared" si="49"/>
        <v>0.85</v>
      </c>
      <c r="V172" s="129">
        <f t="shared" si="49"/>
        <v>0.85</v>
      </c>
      <c r="W172" s="129">
        <f t="shared" si="49"/>
        <v>0.85</v>
      </c>
      <c r="X172" s="129">
        <f t="shared" si="49"/>
        <v>0.85</v>
      </c>
      <c r="Y172" s="129">
        <f t="shared" si="49"/>
        <v>0.85</v>
      </c>
      <c r="Z172" s="129">
        <f t="shared" si="49"/>
        <v>0.85</v>
      </c>
      <c r="AA172" s="129">
        <f t="shared" si="49"/>
        <v>0.85</v>
      </c>
      <c r="AB172" s="129">
        <f t="shared" si="49"/>
        <v>0.85</v>
      </c>
      <c r="AC172" s="129">
        <f t="shared" si="49"/>
        <v>0.85</v>
      </c>
      <c r="AD172" s="129">
        <f t="shared" si="49"/>
        <v>0.85</v>
      </c>
      <c r="AE172" s="129">
        <f t="shared" si="49"/>
        <v>0.85</v>
      </c>
      <c r="AF172" s="129">
        <f t="shared" si="49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7"/>
        <v>0.9</v>
      </c>
      <c r="C173" s="130">
        <v>0.9</v>
      </c>
      <c r="D173" s="129">
        <f t="shared" si="48"/>
        <v>0.9</v>
      </c>
      <c r="E173" s="129">
        <f t="shared" si="48"/>
        <v>0.9</v>
      </c>
      <c r="F173" s="129">
        <f t="shared" si="48"/>
        <v>0.9</v>
      </c>
      <c r="G173" s="129">
        <f t="shared" si="48"/>
        <v>0.9</v>
      </c>
      <c r="H173" s="129">
        <f t="shared" si="48"/>
        <v>0.9</v>
      </c>
      <c r="I173" s="129">
        <f t="shared" si="48"/>
        <v>0.9</v>
      </c>
      <c r="J173" s="129">
        <f t="shared" si="48"/>
        <v>0.9</v>
      </c>
      <c r="K173" s="129">
        <f t="shared" si="48"/>
        <v>0.9</v>
      </c>
      <c r="L173" s="129">
        <f t="shared" si="48"/>
        <v>0.9</v>
      </c>
      <c r="M173" s="129">
        <f t="shared" si="48"/>
        <v>0.9</v>
      </c>
      <c r="N173" s="129">
        <f t="shared" si="48"/>
        <v>0.9</v>
      </c>
      <c r="O173" s="129">
        <f t="shared" si="48"/>
        <v>0.9</v>
      </c>
      <c r="P173" s="129">
        <f t="shared" si="48"/>
        <v>0.9</v>
      </c>
      <c r="Q173" s="129">
        <f t="shared" si="48"/>
        <v>0.9</v>
      </c>
      <c r="R173" s="129">
        <f t="shared" si="48"/>
        <v>0.9</v>
      </c>
      <c r="S173" s="129">
        <f t="shared" si="49"/>
        <v>0.9</v>
      </c>
      <c r="T173" s="129">
        <f t="shared" si="49"/>
        <v>0.9</v>
      </c>
      <c r="U173" s="129">
        <f t="shared" si="49"/>
        <v>0.9</v>
      </c>
      <c r="V173" s="129">
        <f t="shared" si="49"/>
        <v>0.9</v>
      </c>
      <c r="W173" s="129">
        <f t="shared" si="49"/>
        <v>0.9</v>
      </c>
      <c r="X173" s="129">
        <f t="shared" si="49"/>
        <v>0.9</v>
      </c>
      <c r="Y173" s="129">
        <f t="shared" si="49"/>
        <v>0.9</v>
      </c>
      <c r="Z173" s="129">
        <f t="shared" si="49"/>
        <v>0.9</v>
      </c>
      <c r="AA173" s="129">
        <f t="shared" si="49"/>
        <v>0.9</v>
      </c>
      <c r="AB173" s="129">
        <f t="shared" si="49"/>
        <v>0.9</v>
      </c>
      <c r="AC173" s="129">
        <f t="shared" si="49"/>
        <v>0.9</v>
      </c>
      <c r="AD173" s="129">
        <f t="shared" si="49"/>
        <v>0.9</v>
      </c>
      <c r="AE173" s="129">
        <f t="shared" si="49"/>
        <v>0.9</v>
      </c>
      <c r="AF173" s="129">
        <f t="shared" si="49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7"/>
        <v>0.44</v>
      </c>
      <c r="C174" s="130">
        <v>0.44</v>
      </c>
      <c r="D174" s="129">
        <f t="shared" si="48"/>
        <v>0.44</v>
      </c>
      <c r="E174" s="129">
        <f t="shared" si="48"/>
        <v>0.44</v>
      </c>
      <c r="F174" s="129">
        <f t="shared" si="48"/>
        <v>0.44</v>
      </c>
      <c r="G174" s="129">
        <f t="shared" si="48"/>
        <v>0.44</v>
      </c>
      <c r="H174" s="129">
        <f t="shared" si="48"/>
        <v>0.44</v>
      </c>
      <c r="I174" s="129">
        <f t="shared" si="48"/>
        <v>0.44</v>
      </c>
      <c r="J174" s="129">
        <f t="shared" si="48"/>
        <v>0.44</v>
      </c>
      <c r="K174" s="129">
        <f t="shared" si="48"/>
        <v>0.44</v>
      </c>
      <c r="L174" s="129">
        <f t="shared" si="48"/>
        <v>0.44</v>
      </c>
      <c r="M174" s="129">
        <f t="shared" si="48"/>
        <v>0.44</v>
      </c>
      <c r="N174" s="129">
        <f t="shared" si="48"/>
        <v>0.44</v>
      </c>
      <c r="O174" s="129">
        <f t="shared" si="48"/>
        <v>0.44</v>
      </c>
      <c r="P174" s="129">
        <f t="shared" si="48"/>
        <v>0.44</v>
      </c>
      <c r="Q174" s="129">
        <f t="shared" si="48"/>
        <v>0.44</v>
      </c>
      <c r="R174" s="129">
        <f t="shared" si="48"/>
        <v>0.44</v>
      </c>
      <c r="S174" s="129">
        <f t="shared" si="49"/>
        <v>0.44</v>
      </c>
      <c r="T174" s="129">
        <f t="shared" si="49"/>
        <v>0.44</v>
      </c>
      <c r="U174" s="129">
        <f t="shared" si="49"/>
        <v>0.44</v>
      </c>
      <c r="V174" s="129">
        <f t="shared" si="49"/>
        <v>0.44</v>
      </c>
      <c r="W174" s="129">
        <f t="shared" si="49"/>
        <v>0.44</v>
      </c>
      <c r="X174" s="129">
        <f t="shared" si="49"/>
        <v>0.44</v>
      </c>
      <c r="Y174" s="129">
        <f t="shared" si="49"/>
        <v>0.44</v>
      </c>
      <c r="Z174" s="129">
        <f t="shared" si="49"/>
        <v>0.44</v>
      </c>
      <c r="AA174" s="129">
        <f t="shared" si="49"/>
        <v>0.44</v>
      </c>
      <c r="AB174" s="129">
        <f t="shared" si="49"/>
        <v>0.44</v>
      </c>
      <c r="AC174" s="129">
        <f t="shared" si="49"/>
        <v>0.44</v>
      </c>
      <c r="AD174" s="129">
        <f t="shared" si="49"/>
        <v>0.44</v>
      </c>
      <c r="AE174" s="129">
        <f t="shared" si="49"/>
        <v>0.44</v>
      </c>
      <c r="AF174" s="129">
        <f t="shared" si="49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7"/>
        <v>2.1</v>
      </c>
      <c r="C175" s="130">
        <v>2.1</v>
      </c>
      <c r="D175" s="129">
        <f t="shared" si="48"/>
        <v>2.1</v>
      </c>
      <c r="E175" s="129">
        <f t="shared" si="48"/>
        <v>2.1</v>
      </c>
      <c r="F175" s="129">
        <f t="shared" si="48"/>
        <v>2.1</v>
      </c>
      <c r="G175" s="129">
        <f t="shared" si="48"/>
        <v>2.1</v>
      </c>
      <c r="H175" s="129">
        <f t="shared" si="48"/>
        <v>2.1</v>
      </c>
      <c r="I175" s="129">
        <f t="shared" si="48"/>
        <v>2.1</v>
      </c>
      <c r="J175" s="129">
        <f t="shared" si="48"/>
        <v>2.1</v>
      </c>
      <c r="K175" s="129">
        <f t="shared" si="48"/>
        <v>2.1</v>
      </c>
      <c r="L175" s="129">
        <f t="shared" si="48"/>
        <v>2.1</v>
      </c>
      <c r="M175" s="129">
        <f t="shared" si="48"/>
        <v>2.1</v>
      </c>
      <c r="N175" s="129">
        <f t="shared" si="48"/>
        <v>2.1</v>
      </c>
      <c r="O175" s="129">
        <f t="shared" si="48"/>
        <v>2.1</v>
      </c>
      <c r="P175" s="129">
        <f t="shared" si="48"/>
        <v>2.1</v>
      </c>
      <c r="Q175" s="129">
        <f t="shared" si="48"/>
        <v>2.1</v>
      </c>
      <c r="R175" s="129">
        <f t="shared" si="48"/>
        <v>2.1</v>
      </c>
      <c r="S175" s="129">
        <f t="shared" si="49"/>
        <v>2.1</v>
      </c>
      <c r="T175" s="129">
        <f t="shared" si="49"/>
        <v>2.1</v>
      </c>
      <c r="U175" s="129">
        <f t="shared" si="49"/>
        <v>2.1</v>
      </c>
      <c r="V175" s="129">
        <f t="shared" si="49"/>
        <v>2.1</v>
      </c>
      <c r="W175" s="129">
        <f t="shared" si="49"/>
        <v>2.1</v>
      </c>
      <c r="X175" s="129">
        <f t="shared" si="49"/>
        <v>2.1</v>
      </c>
      <c r="Y175" s="129">
        <f t="shared" si="49"/>
        <v>2.1</v>
      </c>
      <c r="Z175" s="129">
        <f t="shared" si="49"/>
        <v>2.1</v>
      </c>
      <c r="AA175" s="129">
        <f t="shared" si="49"/>
        <v>2.1</v>
      </c>
      <c r="AB175" s="129">
        <f t="shared" si="49"/>
        <v>2.1</v>
      </c>
      <c r="AC175" s="129">
        <f t="shared" si="49"/>
        <v>2.1</v>
      </c>
      <c r="AD175" s="129">
        <f t="shared" si="49"/>
        <v>2.1</v>
      </c>
      <c r="AE175" s="129">
        <f t="shared" si="49"/>
        <v>2.1</v>
      </c>
      <c r="AF175" s="129">
        <f t="shared" si="49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7"/>
        <v>0.9</v>
      </c>
      <c r="C176" s="130">
        <v>0.9</v>
      </c>
      <c r="D176" s="129">
        <f t="shared" si="48"/>
        <v>0.9</v>
      </c>
      <c r="E176" s="129">
        <f t="shared" si="48"/>
        <v>0.9</v>
      </c>
      <c r="F176" s="129">
        <f t="shared" si="48"/>
        <v>0.9</v>
      </c>
      <c r="G176" s="129">
        <f t="shared" si="48"/>
        <v>0.9</v>
      </c>
      <c r="H176" s="129">
        <f t="shared" si="48"/>
        <v>0.9</v>
      </c>
      <c r="I176" s="129">
        <f t="shared" si="48"/>
        <v>0.9</v>
      </c>
      <c r="J176" s="129">
        <f t="shared" si="48"/>
        <v>0.9</v>
      </c>
      <c r="K176" s="129">
        <f t="shared" si="48"/>
        <v>0.9</v>
      </c>
      <c r="L176" s="129">
        <f t="shared" si="48"/>
        <v>0.9</v>
      </c>
      <c r="M176" s="129">
        <f t="shared" si="48"/>
        <v>0.9</v>
      </c>
      <c r="N176" s="129">
        <f t="shared" si="48"/>
        <v>0.9</v>
      </c>
      <c r="O176" s="129">
        <f t="shared" si="48"/>
        <v>0.9</v>
      </c>
      <c r="P176" s="129">
        <f t="shared" si="48"/>
        <v>0.9</v>
      </c>
      <c r="Q176" s="129">
        <f t="shared" si="48"/>
        <v>0.9</v>
      </c>
      <c r="R176" s="129">
        <f t="shared" si="48"/>
        <v>0.9</v>
      </c>
      <c r="S176" s="129">
        <f t="shared" si="49"/>
        <v>0.9</v>
      </c>
      <c r="T176" s="129">
        <f t="shared" si="49"/>
        <v>0.9</v>
      </c>
      <c r="U176" s="129">
        <f t="shared" si="49"/>
        <v>0.9</v>
      </c>
      <c r="V176" s="129">
        <f t="shared" si="49"/>
        <v>0.9</v>
      </c>
      <c r="W176" s="129">
        <f t="shared" si="49"/>
        <v>0.9</v>
      </c>
      <c r="X176" s="129">
        <f t="shared" si="49"/>
        <v>0.9</v>
      </c>
      <c r="Y176" s="129">
        <f t="shared" si="49"/>
        <v>0.9</v>
      </c>
      <c r="Z176" s="129">
        <f t="shared" si="49"/>
        <v>0.9</v>
      </c>
      <c r="AA176" s="129">
        <f t="shared" si="49"/>
        <v>0.9</v>
      </c>
      <c r="AB176" s="129">
        <f t="shared" si="49"/>
        <v>0.9</v>
      </c>
      <c r="AC176" s="129">
        <f t="shared" si="49"/>
        <v>0.9</v>
      </c>
      <c r="AD176" s="129">
        <f t="shared" si="49"/>
        <v>0.9</v>
      </c>
      <c r="AE176" s="129">
        <f t="shared" si="49"/>
        <v>0.9</v>
      </c>
      <c r="AF176" s="129">
        <f t="shared" si="49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0">AF178</f>
        <v>0.57999999999999996</v>
      </c>
      <c r="C178" s="130">
        <v>0.57999999999999996</v>
      </c>
      <c r="D178" s="129">
        <f t="shared" ref="D178:S190" si="51">C178</f>
        <v>0.57999999999999996</v>
      </c>
      <c r="E178" s="129">
        <f t="shared" si="51"/>
        <v>0.57999999999999996</v>
      </c>
      <c r="F178" s="129">
        <f t="shared" si="51"/>
        <v>0.57999999999999996</v>
      </c>
      <c r="G178" s="129">
        <f t="shared" si="51"/>
        <v>0.57999999999999996</v>
      </c>
      <c r="H178" s="129">
        <f t="shared" si="51"/>
        <v>0.57999999999999996</v>
      </c>
      <c r="I178" s="129">
        <f t="shared" si="51"/>
        <v>0.57999999999999996</v>
      </c>
      <c r="J178" s="129">
        <f t="shared" si="51"/>
        <v>0.57999999999999996</v>
      </c>
      <c r="K178" s="129">
        <f t="shared" si="51"/>
        <v>0.57999999999999996</v>
      </c>
      <c r="L178" s="129">
        <f t="shared" si="51"/>
        <v>0.57999999999999996</v>
      </c>
      <c r="M178" s="129">
        <f t="shared" si="51"/>
        <v>0.57999999999999996</v>
      </c>
      <c r="N178" s="129">
        <f t="shared" si="51"/>
        <v>0.57999999999999996</v>
      </c>
      <c r="O178" s="129">
        <f t="shared" si="51"/>
        <v>0.57999999999999996</v>
      </c>
      <c r="P178" s="129">
        <f t="shared" si="51"/>
        <v>0.57999999999999996</v>
      </c>
      <c r="Q178" s="129">
        <f t="shared" si="51"/>
        <v>0.57999999999999996</v>
      </c>
      <c r="R178" s="129">
        <f t="shared" si="51"/>
        <v>0.57999999999999996</v>
      </c>
      <c r="S178" s="129">
        <f t="shared" si="51"/>
        <v>0.57999999999999996</v>
      </c>
      <c r="T178" s="129">
        <f t="shared" ref="S178:AF190" si="52">S178</f>
        <v>0.57999999999999996</v>
      </c>
      <c r="U178" s="129">
        <f t="shared" si="52"/>
        <v>0.57999999999999996</v>
      </c>
      <c r="V178" s="129">
        <f t="shared" si="52"/>
        <v>0.57999999999999996</v>
      </c>
      <c r="W178" s="129">
        <f t="shared" si="52"/>
        <v>0.57999999999999996</v>
      </c>
      <c r="X178" s="129">
        <f t="shared" si="52"/>
        <v>0.57999999999999996</v>
      </c>
      <c r="Y178" s="129">
        <f t="shared" si="52"/>
        <v>0.57999999999999996</v>
      </c>
      <c r="Z178" s="129">
        <f t="shared" si="52"/>
        <v>0.57999999999999996</v>
      </c>
      <c r="AA178" s="129">
        <f t="shared" si="52"/>
        <v>0.57999999999999996</v>
      </c>
      <c r="AB178" s="129">
        <f t="shared" si="52"/>
        <v>0.57999999999999996</v>
      </c>
      <c r="AC178" s="129">
        <f t="shared" si="52"/>
        <v>0.57999999999999996</v>
      </c>
      <c r="AD178" s="129">
        <f t="shared" si="52"/>
        <v>0.57999999999999996</v>
      </c>
      <c r="AE178" s="129">
        <f t="shared" si="52"/>
        <v>0.57999999999999996</v>
      </c>
      <c r="AF178" s="129">
        <f t="shared" si="52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0"/>
        <v>0.8</v>
      </c>
      <c r="C179" s="130">
        <v>0.8</v>
      </c>
      <c r="D179" s="129">
        <f t="shared" si="51"/>
        <v>0.8</v>
      </c>
      <c r="E179" s="129">
        <f t="shared" si="51"/>
        <v>0.8</v>
      </c>
      <c r="F179" s="129">
        <f t="shared" si="51"/>
        <v>0.8</v>
      </c>
      <c r="G179" s="129">
        <f t="shared" si="51"/>
        <v>0.8</v>
      </c>
      <c r="H179" s="129">
        <f t="shared" si="51"/>
        <v>0.8</v>
      </c>
      <c r="I179" s="129">
        <f t="shared" si="51"/>
        <v>0.8</v>
      </c>
      <c r="J179" s="129">
        <f t="shared" si="51"/>
        <v>0.8</v>
      </c>
      <c r="K179" s="129">
        <f t="shared" si="51"/>
        <v>0.8</v>
      </c>
      <c r="L179" s="129">
        <f t="shared" si="51"/>
        <v>0.8</v>
      </c>
      <c r="M179" s="129">
        <f t="shared" si="51"/>
        <v>0.8</v>
      </c>
      <c r="N179" s="129">
        <f t="shared" si="51"/>
        <v>0.8</v>
      </c>
      <c r="O179" s="129">
        <f t="shared" si="51"/>
        <v>0.8</v>
      </c>
      <c r="P179" s="129">
        <f t="shared" si="51"/>
        <v>0.8</v>
      </c>
      <c r="Q179" s="129">
        <f t="shared" si="51"/>
        <v>0.8</v>
      </c>
      <c r="R179" s="129">
        <f t="shared" si="51"/>
        <v>0.8</v>
      </c>
      <c r="S179" s="129">
        <f t="shared" si="51"/>
        <v>0.8</v>
      </c>
      <c r="T179" s="129">
        <f t="shared" si="52"/>
        <v>0.8</v>
      </c>
      <c r="U179" s="129">
        <f t="shared" si="52"/>
        <v>0.8</v>
      </c>
      <c r="V179" s="129">
        <f t="shared" si="52"/>
        <v>0.8</v>
      </c>
      <c r="W179" s="129">
        <f t="shared" si="52"/>
        <v>0.8</v>
      </c>
      <c r="X179" s="129">
        <f t="shared" si="52"/>
        <v>0.8</v>
      </c>
      <c r="Y179" s="129">
        <f t="shared" si="52"/>
        <v>0.8</v>
      </c>
      <c r="Z179" s="129">
        <f t="shared" si="52"/>
        <v>0.8</v>
      </c>
      <c r="AA179" s="129">
        <f t="shared" si="52"/>
        <v>0.8</v>
      </c>
      <c r="AB179" s="129">
        <f t="shared" si="52"/>
        <v>0.8</v>
      </c>
      <c r="AC179" s="129">
        <f t="shared" si="52"/>
        <v>0.8</v>
      </c>
      <c r="AD179" s="129">
        <f t="shared" si="52"/>
        <v>0.8</v>
      </c>
      <c r="AE179" s="129">
        <f t="shared" si="52"/>
        <v>0.8</v>
      </c>
      <c r="AF179" s="129">
        <f t="shared" si="52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0"/>
        <v>0</v>
      </c>
      <c r="C180" s="130">
        <v>0</v>
      </c>
      <c r="D180" s="129">
        <f t="shared" si="51"/>
        <v>0</v>
      </c>
      <c r="E180" s="129">
        <f t="shared" si="51"/>
        <v>0</v>
      </c>
      <c r="F180" s="129">
        <f t="shared" si="51"/>
        <v>0</v>
      </c>
      <c r="G180" s="129">
        <f t="shared" si="51"/>
        <v>0</v>
      </c>
      <c r="H180" s="129">
        <f t="shared" si="51"/>
        <v>0</v>
      </c>
      <c r="I180" s="129">
        <f t="shared" si="51"/>
        <v>0</v>
      </c>
      <c r="J180" s="129">
        <f t="shared" si="51"/>
        <v>0</v>
      </c>
      <c r="K180" s="129">
        <f t="shared" si="51"/>
        <v>0</v>
      </c>
      <c r="L180" s="129">
        <f t="shared" si="51"/>
        <v>0</v>
      </c>
      <c r="M180" s="129">
        <f t="shared" si="51"/>
        <v>0</v>
      </c>
      <c r="N180" s="129">
        <f t="shared" si="51"/>
        <v>0</v>
      </c>
      <c r="O180" s="129">
        <f t="shared" si="51"/>
        <v>0</v>
      </c>
      <c r="P180" s="129">
        <f t="shared" si="51"/>
        <v>0</v>
      </c>
      <c r="Q180" s="129">
        <f t="shared" si="51"/>
        <v>0</v>
      </c>
      <c r="R180" s="129">
        <f t="shared" si="51"/>
        <v>0</v>
      </c>
      <c r="S180" s="129">
        <f t="shared" si="51"/>
        <v>0</v>
      </c>
      <c r="T180" s="129">
        <f t="shared" si="52"/>
        <v>0</v>
      </c>
      <c r="U180" s="129">
        <f t="shared" si="52"/>
        <v>0</v>
      </c>
      <c r="V180" s="129">
        <f t="shared" si="52"/>
        <v>0</v>
      </c>
      <c r="W180" s="129">
        <f t="shared" si="52"/>
        <v>0</v>
      </c>
      <c r="X180" s="129">
        <f t="shared" si="52"/>
        <v>0</v>
      </c>
      <c r="Y180" s="129">
        <f t="shared" si="52"/>
        <v>0</v>
      </c>
      <c r="Z180" s="129">
        <f t="shared" si="52"/>
        <v>0</v>
      </c>
      <c r="AA180" s="129">
        <f t="shared" si="52"/>
        <v>0</v>
      </c>
      <c r="AB180" s="129">
        <f t="shared" si="52"/>
        <v>0</v>
      </c>
      <c r="AC180" s="129">
        <f t="shared" si="52"/>
        <v>0</v>
      </c>
      <c r="AD180" s="129">
        <f t="shared" si="52"/>
        <v>0</v>
      </c>
      <c r="AE180" s="129">
        <f t="shared" si="52"/>
        <v>0</v>
      </c>
      <c r="AF180" s="129">
        <f t="shared" si="52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0"/>
        <v>0.6</v>
      </c>
      <c r="C181" s="130">
        <v>0.6</v>
      </c>
      <c r="D181" s="129">
        <f t="shared" si="51"/>
        <v>0.6</v>
      </c>
      <c r="E181" s="129">
        <f t="shared" si="51"/>
        <v>0.6</v>
      </c>
      <c r="F181" s="129">
        <f t="shared" si="51"/>
        <v>0.6</v>
      </c>
      <c r="G181" s="129">
        <f t="shared" si="51"/>
        <v>0.6</v>
      </c>
      <c r="H181" s="129">
        <f t="shared" si="51"/>
        <v>0.6</v>
      </c>
      <c r="I181" s="129">
        <f t="shared" si="51"/>
        <v>0.6</v>
      </c>
      <c r="J181" s="129">
        <f t="shared" si="51"/>
        <v>0.6</v>
      </c>
      <c r="K181" s="129">
        <f t="shared" si="51"/>
        <v>0.6</v>
      </c>
      <c r="L181" s="129">
        <f t="shared" si="51"/>
        <v>0.6</v>
      </c>
      <c r="M181" s="129">
        <f t="shared" si="51"/>
        <v>0.6</v>
      </c>
      <c r="N181" s="129">
        <f t="shared" si="51"/>
        <v>0.6</v>
      </c>
      <c r="O181" s="129">
        <f t="shared" si="51"/>
        <v>0.6</v>
      </c>
      <c r="P181" s="129">
        <f t="shared" si="51"/>
        <v>0.6</v>
      </c>
      <c r="Q181" s="129">
        <f t="shared" si="51"/>
        <v>0.6</v>
      </c>
      <c r="R181" s="129">
        <f t="shared" si="51"/>
        <v>0.6</v>
      </c>
      <c r="S181" s="129">
        <f t="shared" si="51"/>
        <v>0.6</v>
      </c>
      <c r="T181" s="129">
        <f t="shared" si="52"/>
        <v>0.6</v>
      </c>
      <c r="U181" s="129">
        <f t="shared" si="52"/>
        <v>0.6</v>
      </c>
      <c r="V181" s="129">
        <f t="shared" si="52"/>
        <v>0.6</v>
      </c>
      <c r="W181" s="129">
        <f t="shared" si="52"/>
        <v>0.6</v>
      </c>
      <c r="X181" s="129">
        <f t="shared" si="52"/>
        <v>0.6</v>
      </c>
      <c r="Y181" s="129">
        <f t="shared" si="52"/>
        <v>0.6</v>
      </c>
      <c r="Z181" s="129">
        <f t="shared" si="52"/>
        <v>0.6</v>
      </c>
      <c r="AA181" s="129">
        <f t="shared" si="52"/>
        <v>0.6</v>
      </c>
      <c r="AB181" s="129">
        <f t="shared" si="52"/>
        <v>0.6</v>
      </c>
      <c r="AC181" s="129">
        <f t="shared" si="52"/>
        <v>0.6</v>
      </c>
      <c r="AD181" s="129">
        <f t="shared" si="52"/>
        <v>0.6</v>
      </c>
      <c r="AE181" s="129">
        <f t="shared" si="52"/>
        <v>0.6</v>
      </c>
      <c r="AF181" s="129">
        <f t="shared" si="52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0"/>
        <v>0.6</v>
      </c>
      <c r="C182" s="130">
        <v>0.6</v>
      </c>
      <c r="D182" s="129">
        <f t="shared" si="51"/>
        <v>0.6</v>
      </c>
      <c r="E182" s="129">
        <f t="shared" si="51"/>
        <v>0.6</v>
      </c>
      <c r="F182" s="129">
        <f t="shared" si="51"/>
        <v>0.6</v>
      </c>
      <c r="G182" s="129">
        <f t="shared" si="51"/>
        <v>0.6</v>
      </c>
      <c r="H182" s="129">
        <f t="shared" si="51"/>
        <v>0.6</v>
      </c>
      <c r="I182" s="129">
        <f t="shared" si="51"/>
        <v>0.6</v>
      </c>
      <c r="J182" s="129">
        <f t="shared" si="51"/>
        <v>0.6</v>
      </c>
      <c r="K182" s="129">
        <f t="shared" si="51"/>
        <v>0.6</v>
      </c>
      <c r="L182" s="129">
        <f t="shared" si="51"/>
        <v>0.6</v>
      </c>
      <c r="M182" s="129">
        <f t="shared" si="51"/>
        <v>0.6</v>
      </c>
      <c r="N182" s="129">
        <f t="shared" si="51"/>
        <v>0.6</v>
      </c>
      <c r="O182" s="129">
        <f t="shared" si="51"/>
        <v>0.6</v>
      </c>
      <c r="P182" s="129">
        <f t="shared" si="51"/>
        <v>0.6</v>
      </c>
      <c r="Q182" s="129">
        <f t="shared" si="51"/>
        <v>0.6</v>
      </c>
      <c r="R182" s="129">
        <f t="shared" si="51"/>
        <v>0.6</v>
      </c>
      <c r="S182" s="129">
        <f t="shared" si="51"/>
        <v>0.6</v>
      </c>
      <c r="T182" s="129">
        <f t="shared" si="52"/>
        <v>0.6</v>
      </c>
      <c r="U182" s="129">
        <f t="shared" si="52"/>
        <v>0.6</v>
      </c>
      <c r="V182" s="129">
        <f t="shared" si="52"/>
        <v>0.6</v>
      </c>
      <c r="W182" s="129">
        <f t="shared" si="52"/>
        <v>0.6</v>
      </c>
      <c r="X182" s="129">
        <f t="shared" si="52"/>
        <v>0.6</v>
      </c>
      <c r="Y182" s="129">
        <f t="shared" si="52"/>
        <v>0.6</v>
      </c>
      <c r="Z182" s="129">
        <f t="shared" si="52"/>
        <v>0.6</v>
      </c>
      <c r="AA182" s="129">
        <f t="shared" si="52"/>
        <v>0.6</v>
      </c>
      <c r="AB182" s="129">
        <f t="shared" si="52"/>
        <v>0.6</v>
      </c>
      <c r="AC182" s="129">
        <f t="shared" si="52"/>
        <v>0.6</v>
      </c>
      <c r="AD182" s="129">
        <f t="shared" si="52"/>
        <v>0.6</v>
      </c>
      <c r="AE182" s="129">
        <f t="shared" si="52"/>
        <v>0.6</v>
      </c>
      <c r="AF182" s="129">
        <f t="shared" si="52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0"/>
        <v>0.35</v>
      </c>
      <c r="C183" s="130">
        <v>0.35</v>
      </c>
      <c r="D183" s="129">
        <f t="shared" si="51"/>
        <v>0.35</v>
      </c>
      <c r="E183" s="129">
        <f t="shared" si="51"/>
        <v>0.35</v>
      </c>
      <c r="F183" s="129">
        <f t="shared" si="51"/>
        <v>0.35</v>
      </c>
      <c r="G183" s="129">
        <f t="shared" si="51"/>
        <v>0.35</v>
      </c>
      <c r="H183" s="129">
        <f t="shared" si="51"/>
        <v>0.35</v>
      </c>
      <c r="I183" s="129">
        <f t="shared" si="51"/>
        <v>0.35</v>
      </c>
      <c r="J183" s="129">
        <f t="shared" si="51"/>
        <v>0.35</v>
      </c>
      <c r="K183" s="129">
        <f t="shared" si="51"/>
        <v>0.35</v>
      </c>
      <c r="L183" s="129">
        <f t="shared" si="51"/>
        <v>0.35</v>
      </c>
      <c r="M183" s="129">
        <f t="shared" si="51"/>
        <v>0.35</v>
      </c>
      <c r="N183" s="129">
        <f t="shared" si="51"/>
        <v>0.35</v>
      </c>
      <c r="O183" s="129">
        <f t="shared" si="51"/>
        <v>0.35</v>
      </c>
      <c r="P183" s="129">
        <f t="shared" si="51"/>
        <v>0.35</v>
      </c>
      <c r="Q183" s="129">
        <f t="shared" si="51"/>
        <v>0.35</v>
      </c>
      <c r="R183" s="129">
        <f t="shared" si="51"/>
        <v>0.35</v>
      </c>
      <c r="S183" s="129">
        <f t="shared" si="51"/>
        <v>0.35</v>
      </c>
      <c r="T183" s="129">
        <f t="shared" si="52"/>
        <v>0.35</v>
      </c>
      <c r="U183" s="129">
        <f t="shared" si="52"/>
        <v>0.35</v>
      </c>
      <c r="V183" s="129">
        <f t="shared" si="52"/>
        <v>0.35</v>
      </c>
      <c r="W183" s="129">
        <f t="shared" si="52"/>
        <v>0.35</v>
      </c>
      <c r="X183" s="129">
        <f t="shared" si="52"/>
        <v>0.35</v>
      </c>
      <c r="Y183" s="129">
        <f t="shared" si="52"/>
        <v>0.35</v>
      </c>
      <c r="Z183" s="129">
        <f t="shared" si="52"/>
        <v>0.35</v>
      </c>
      <c r="AA183" s="129">
        <f t="shared" si="52"/>
        <v>0.35</v>
      </c>
      <c r="AB183" s="129">
        <f t="shared" si="52"/>
        <v>0.35</v>
      </c>
      <c r="AC183" s="129">
        <f t="shared" si="52"/>
        <v>0.35</v>
      </c>
      <c r="AD183" s="129">
        <f t="shared" si="52"/>
        <v>0.35</v>
      </c>
      <c r="AE183" s="129">
        <f t="shared" si="52"/>
        <v>0.35</v>
      </c>
      <c r="AF183" s="129">
        <f t="shared" si="52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0"/>
        <v>0.28999999999999998</v>
      </c>
      <c r="C184" s="130">
        <v>0.28999999999999998</v>
      </c>
      <c r="D184" s="129">
        <f t="shared" si="51"/>
        <v>0.28999999999999998</v>
      </c>
      <c r="E184" s="129">
        <f t="shared" si="51"/>
        <v>0.28999999999999998</v>
      </c>
      <c r="F184" s="129">
        <f t="shared" si="51"/>
        <v>0.28999999999999998</v>
      </c>
      <c r="G184" s="129">
        <f t="shared" si="51"/>
        <v>0.28999999999999998</v>
      </c>
      <c r="H184" s="129">
        <f t="shared" si="51"/>
        <v>0.28999999999999998</v>
      </c>
      <c r="I184" s="129">
        <f t="shared" si="51"/>
        <v>0.28999999999999998</v>
      </c>
      <c r="J184" s="129">
        <f t="shared" si="51"/>
        <v>0.28999999999999998</v>
      </c>
      <c r="K184" s="129">
        <f t="shared" si="51"/>
        <v>0.28999999999999998</v>
      </c>
      <c r="L184" s="129">
        <f t="shared" si="51"/>
        <v>0.28999999999999998</v>
      </c>
      <c r="M184" s="129">
        <f t="shared" si="51"/>
        <v>0.28999999999999998</v>
      </c>
      <c r="N184" s="129">
        <f t="shared" si="51"/>
        <v>0.28999999999999998</v>
      </c>
      <c r="O184" s="129">
        <f t="shared" si="51"/>
        <v>0.28999999999999998</v>
      </c>
      <c r="P184" s="129">
        <f t="shared" si="51"/>
        <v>0.28999999999999998</v>
      </c>
      <c r="Q184" s="129">
        <f t="shared" si="51"/>
        <v>0.28999999999999998</v>
      </c>
      <c r="R184" s="129">
        <f t="shared" si="51"/>
        <v>0.28999999999999998</v>
      </c>
      <c r="S184" s="129">
        <f t="shared" si="51"/>
        <v>0.28999999999999998</v>
      </c>
      <c r="T184" s="129">
        <f t="shared" si="52"/>
        <v>0.28999999999999998</v>
      </c>
      <c r="U184" s="129">
        <f t="shared" si="52"/>
        <v>0.28999999999999998</v>
      </c>
      <c r="V184" s="129">
        <f t="shared" si="52"/>
        <v>0.28999999999999998</v>
      </c>
      <c r="W184" s="129">
        <f t="shared" si="52"/>
        <v>0.28999999999999998</v>
      </c>
      <c r="X184" s="129">
        <f t="shared" si="52"/>
        <v>0.28999999999999998</v>
      </c>
      <c r="Y184" s="129">
        <f t="shared" si="52"/>
        <v>0.28999999999999998</v>
      </c>
      <c r="Z184" s="129">
        <f t="shared" si="52"/>
        <v>0.28999999999999998</v>
      </c>
      <c r="AA184" s="129">
        <f t="shared" si="52"/>
        <v>0.28999999999999998</v>
      </c>
      <c r="AB184" s="129">
        <f t="shared" si="52"/>
        <v>0.28999999999999998</v>
      </c>
      <c r="AC184" s="129">
        <f t="shared" si="52"/>
        <v>0.28999999999999998</v>
      </c>
      <c r="AD184" s="129">
        <f t="shared" si="52"/>
        <v>0.28999999999999998</v>
      </c>
      <c r="AE184" s="129">
        <f t="shared" si="52"/>
        <v>0.28999999999999998</v>
      </c>
      <c r="AF184" s="129">
        <f t="shared" si="52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0"/>
        <v>0.06</v>
      </c>
      <c r="C185" s="130">
        <v>0.06</v>
      </c>
      <c r="D185" s="129">
        <f t="shared" si="51"/>
        <v>0.06</v>
      </c>
      <c r="E185" s="129">
        <f t="shared" si="51"/>
        <v>0.06</v>
      </c>
      <c r="F185" s="129">
        <f t="shared" si="51"/>
        <v>0.06</v>
      </c>
      <c r="G185" s="129">
        <f t="shared" si="51"/>
        <v>0.06</v>
      </c>
      <c r="H185" s="129">
        <f t="shared" si="51"/>
        <v>0.06</v>
      </c>
      <c r="I185" s="129">
        <f t="shared" si="51"/>
        <v>0.06</v>
      </c>
      <c r="J185" s="129">
        <f t="shared" si="51"/>
        <v>0.06</v>
      </c>
      <c r="K185" s="129">
        <f t="shared" si="51"/>
        <v>0.06</v>
      </c>
      <c r="L185" s="129">
        <f t="shared" si="51"/>
        <v>0.06</v>
      </c>
      <c r="M185" s="129">
        <f t="shared" si="51"/>
        <v>0.06</v>
      </c>
      <c r="N185" s="129">
        <f t="shared" si="51"/>
        <v>0.06</v>
      </c>
      <c r="O185" s="129">
        <f t="shared" si="51"/>
        <v>0.06</v>
      </c>
      <c r="P185" s="129">
        <f t="shared" si="51"/>
        <v>0.06</v>
      </c>
      <c r="Q185" s="129">
        <f t="shared" si="51"/>
        <v>0.06</v>
      </c>
      <c r="R185" s="129">
        <f t="shared" si="51"/>
        <v>0.06</v>
      </c>
      <c r="S185" s="129">
        <f t="shared" si="51"/>
        <v>0.06</v>
      </c>
      <c r="T185" s="129">
        <f t="shared" si="52"/>
        <v>0.06</v>
      </c>
      <c r="U185" s="129">
        <f t="shared" si="52"/>
        <v>0.06</v>
      </c>
      <c r="V185" s="129">
        <f t="shared" si="52"/>
        <v>0.06</v>
      </c>
      <c r="W185" s="129">
        <f t="shared" si="52"/>
        <v>0.06</v>
      </c>
      <c r="X185" s="129">
        <f t="shared" si="52"/>
        <v>0.06</v>
      </c>
      <c r="Y185" s="129">
        <f t="shared" si="52"/>
        <v>0.06</v>
      </c>
      <c r="Z185" s="129">
        <f t="shared" si="52"/>
        <v>0.06</v>
      </c>
      <c r="AA185" s="129">
        <f t="shared" si="52"/>
        <v>0.06</v>
      </c>
      <c r="AB185" s="129">
        <f t="shared" si="52"/>
        <v>0.06</v>
      </c>
      <c r="AC185" s="129">
        <f t="shared" si="52"/>
        <v>0.06</v>
      </c>
      <c r="AD185" s="129">
        <f t="shared" si="52"/>
        <v>0.06</v>
      </c>
      <c r="AE185" s="129">
        <f t="shared" si="52"/>
        <v>0.06</v>
      </c>
      <c r="AF185" s="129">
        <f t="shared" si="52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0"/>
        <v>0.11</v>
      </c>
      <c r="C186" s="130">
        <v>0.11</v>
      </c>
      <c r="D186" s="129">
        <f t="shared" si="51"/>
        <v>0.11</v>
      </c>
      <c r="E186" s="129">
        <f t="shared" si="51"/>
        <v>0.11</v>
      </c>
      <c r="F186" s="129">
        <f t="shared" si="51"/>
        <v>0.11</v>
      </c>
      <c r="G186" s="129">
        <f t="shared" si="51"/>
        <v>0.11</v>
      </c>
      <c r="H186" s="129">
        <f t="shared" si="51"/>
        <v>0.11</v>
      </c>
      <c r="I186" s="129">
        <f t="shared" si="51"/>
        <v>0.11</v>
      </c>
      <c r="J186" s="129">
        <f t="shared" si="51"/>
        <v>0.11</v>
      </c>
      <c r="K186" s="129">
        <f t="shared" si="51"/>
        <v>0.11</v>
      </c>
      <c r="L186" s="129">
        <f t="shared" si="51"/>
        <v>0.11</v>
      </c>
      <c r="M186" s="129">
        <f t="shared" si="51"/>
        <v>0.11</v>
      </c>
      <c r="N186" s="129">
        <f t="shared" si="51"/>
        <v>0.11</v>
      </c>
      <c r="O186" s="129">
        <f t="shared" si="51"/>
        <v>0.11</v>
      </c>
      <c r="P186" s="129">
        <f t="shared" si="51"/>
        <v>0.11</v>
      </c>
      <c r="Q186" s="129">
        <f t="shared" si="51"/>
        <v>0.11</v>
      </c>
      <c r="R186" s="129">
        <f t="shared" si="51"/>
        <v>0.11</v>
      </c>
      <c r="S186" s="129">
        <f t="shared" si="51"/>
        <v>0.11</v>
      </c>
      <c r="T186" s="129">
        <f t="shared" si="52"/>
        <v>0.11</v>
      </c>
      <c r="U186" s="129">
        <f t="shared" si="52"/>
        <v>0.11</v>
      </c>
      <c r="V186" s="129">
        <f t="shared" si="52"/>
        <v>0.11</v>
      </c>
      <c r="W186" s="129">
        <f t="shared" si="52"/>
        <v>0.11</v>
      </c>
      <c r="X186" s="129">
        <f t="shared" si="52"/>
        <v>0.11</v>
      </c>
      <c r="Y186" s="129">
        <f t="shared" si="52"/>
        <v>0.11</v>
      </c>
      <c r="Z186" s="129">
        <f t="shared" si="52"/>
        <v>0.11</v>
      </c>
      <c r="AA186" s="129">
        <f t="shared" si="52"/>
        <v>0.11</v>
      </c>
      <c r="AB186" s="129">
        <f t="shared" si="52"/>
        <v>0.11</v>
      </c>
      <c r="AC186" s="129">
        <f t="shared" si="52"/>
        <v>0.11</v>
      </c>
      <c r="AD186" s="129">
        <f t="shared" si="52"/>
        <v>0.11</v>
      </c>
      <c r="AE186" s="129">
        <f t="shared" si="52"/>
        <v>0.11</v>
      </c>
      <c r="AF186" s="129">
        <f t="shared" si="52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0"/>
        <v>0.1</v>
      </c>
      <c r="C187" s="130">
        <v>0.1</v>
      </c>
      <c r="D187" s="129">
        <f t="shared" si="51"/>
        <v>0.1</v>
      </c>
      <c r="E187" s="129">
        <f t="shared" si="51"/>
        <v>0.1</v>
      </c>
      <c r="F187" s="129">
        <f t="shared" si="51"/>
        <v>0.1</v>
      </c>
      <c r="G187" s="129">
        <f t="shared" si="51"/>
        <v>0.1</v>
      </c>
      <c r="H187" s="129">
        <f t="shared" si="51"/>
        <v>0.1</v>
      </c>
      <c r="I187" s="129">
        <f t="shared" si="51"/>
        <v>0.1</v>
      </c>
      <c r="J187" s="129">
        <f t="shared" si="51"/>
        <v>0.1</v>
      </c>
      <c r="K187" s="129">
        <f t="shared" si="51"/>
        <v>0.1</v>
      </c>
      <c r="L187" s="129">
        <f t="shared" si="51"/>
        <v>0.1</v>
      </c>
      <c r="M187" s="129">
        <f t="shared" si="51"/>
        <v>0.1</v>
      </c>
      <c r="N187" s="129">
        <f t="shared" si="51"/>
        <v>0.1</v>
      </c>
      <c r="O187" s="129">
        <f t="shared" si="51"/>
        <v>0.1</v>
      </c>
      <c r="P187" s="129">
        <f t="shared" si="51"/>
        <v>0.1</v>
      </c>
      <c r="Q187" s="129">
        <f t="shared" si="51"/>
        <v>0.1</v>
      </c>
      <c r="R187" s="129">
        <f t="shared" si="51"/>
        <v>0.1</v>
      </c>
      <c r="S187" s="129">
        <f t="shared" si="52"/>
        <v>0.1</v>
      </c>
      <c r="T187" s="129">
        <f t="shared" si="52"/>
        <v>0.1</v>
      </c>
      <c r="U187" s="129">
        <f t="shared" si="52"/>
        <v>0.1</v>
      </c>
      <c r="V187" s="129">
        <f t="shared" si="52"/>
        <v>0.1</v>
      </c>
      <c r="W187" s="129">
        <f t="shared" si="52"/>
        <v>0.1</v>
      </c>
      <c r="X187" s="129">
        <f t="shared" si="52"/>
        <v>0.1</v>
      </c>
      <c r="Y187" s="129">
        <f t="shared" si="52"/>
        <v>0.1</v>
      </c>
      <c r="Z187" s="129">
        <f t="shared" si="52"/>
        <v>0.1</v>
      </c>
      <c r="AA187" s="129">
        <f t="shared" si="52"/>
        <v>0.1</v>
      </c>
      <c r="AB187" s="129">
        <f t="shared" si="52"/>
        <v>0.1</v>
      </c>
      <c r="AC187" s="129">
        <f t="shared" si="52"/>
        <v>0.1</v>
      </c>
      <c r="AD187" s="129">
        <f t="shared" si="52"/>
        <v>0.1</v>
      </c>
      <c r="AE187" s="129">
        <f t="shared" si="52"/>
        <v>0.1</v>
      </c>
      <c r="AF187" s="129">
        <f t="shared" si="52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0"/>
        <v>0.09</v>
      </c>
      <c r="C188" s="130">
        <v>0.09</v>
      </c>
      <c r="D188" s="129">
        <f t="shared" si="51"/>
        <v>0.09</v>
      </c>
      <c r="E188" s="129">
        <f t="shared" si="51"/>
        <v>0.09</v>
      </c>
      <c r="F188" s="129">
        <f t="shared" si="51"/>
        <v>0.09</v>
      </c>
      <c r="G188" s="129">
        <f t="shared" si="51"/>
        <v>0.09</v>
      </c>
      <c r="H188" s="129">
        <f t="shared" si="51"/>
        <v>0.09</v>
      </c>
      <c r="I188" s="129">
        <f t="shared" si="51"/>
        <v>0.09</v>
      </c>
      <c r="J188" s="129">
        <f t="shared" si="51"/>
        <v>0.09</v>
      </c>
      <c r="K188" s="129">
        <f t="shared" si="51"/>
        <v>0.09</v>
      </c>
      <c r="L188" s="129">
        <f t="shared" si="51"/>
        <v>0.09</v>
      </c>
      <c r="M188" s="129">
        <f t="shared" si="51"/>
        <v>0.09</v>
      </c>
      <c r="N188" s="129">
        <f t="shared" si="51"/>
        <v>0.09</v>
      </c>
      <c r="O188" s="129">
        <f t="shared" si="51"/>
        <v>0.09</v>
      </c>
      <c r="P188" s="129">
        <f t="shared" si="51"/>
        <v>0.09</v>
      </c>
      <c r="Q188" s="129">
        <f t="shared" si="51"/>
        <v>0.09</v>
      </c>
      <c r="R188" s="129">
        <f t="shared" si="51"/>
        <v>0.09</v>
      </c>
      <c r="S188" s="129">
        <f t="shared" si="52"/>
        <v>0.09</v>
      </c>
      <c r="T188" s="129">
        <f t="shared" si="52"/>
        <v>0.09</v>
      </c>
      <c r="U188" s="129">
        <f t="shared" si="52"/>
        <v>0.09</v>
      </c>
      <c r="V188" s="129">
        <f t="shared" si="52"/>
        <v>0.09</v>
      </c>
      <c r="W188" s="129">
        <f t="shared" si="52"/>
        <v>0.09</v>
      </c>
      <c r="X188" s="129">
        <f t="shared" si="52"/>
        <v>0.09</v>
      </c>
      <c r="Y188" s="129">
        <f t="shared" si="52"/>
        <v>0.09</v>
      </c>
      <c r="Z188" s="129">
        <f t="shared" si="52"/>
        <v>0.09</v>
      </c>
      <c r="AA188" s="129">
        <f t="shared" si="52"/>
        <v>0.09</v>
      </c>
      <c r="AB188" s="129">
        <f t="shared" si="52"/>
        <v>0.09</v>
      </c>
      <c r="AC188" s="129">
        <f t="shared" si="52"/>
        <v>0.09</v>
      </c>
      <c r="AD188" s="129">
        <f t="shared" si="52"/>
        <v>0.09</v>
      </c>
      <c r="AE188" s="129">
        <f t="shared" si="52"/>
        <v>0.09</v>
      </c>
      <c r="AF188" s="129">
        <f t="shared" si="52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0"/>
        <v>0.04</v>
      </c>
      <c r="C189" s="53">
        <v>0.04</v>
      </c>
      <c r="D189" s="129">
        <f t="shared" si="51"/>
        <v>0.04</v>
      </c>
      <c r="E189" s="129">
        <f t="shared" si="51"/>
        <v>0.04</v>
      </c>
      <c r="F189" s="129">
        <f t="shared" si="51"/>
        <v>0.04</v>
      </c>
      <c r="G189" s="129">
        <f t="shared" si="51"/>
        <v>0.04</v>
      </c>
      <c r="H189" s="129">
        <f t="shared" si="51"/>
        <v>0.04</v>
      </c>
      <c r="I189" s="129">
        <f t="shared" si="51"/>
        <v>0.04</v>
      </c>
      <c r="J189" s="129">
        <f t="shared" si="51"/>
        <v>0.04</v>
      </c>
      <c r="K189" s="129">
        <f t="shared" si="51"/>
        <v>0.04</v>
      </c>
      <c r="L189" s="129">
        <f t="shared" si="51"/>
        <v>0.04</v>
      </c>
      <c r="M189" s="129">
        <f t="shared" si="51"/>
        <v>0.04</v>
      </c>
      <c r="N189" s="129">
        <f t="shared" si="51"/>
        <v>0.04</v>
      </c>
      <c r="O189" s="129">
        <f t="shared" si="51"/>
        <v>0.04</v>
      </c>
      <c r="P189" s="129">
        <f t="shared" si="51"/>
        <v>0.04</v>
      </c>
      <c r="Q189" s="129">
        <f t="shared" si="51"/>
        <v>0.04</v>
      </c>
      <c r="R189" s="129">
        <f t="shared" si="51"/>
        <v>0.04</v>
      </c>
      <c r="S189" s="129">
        <f t="shared" si="52"/>
        <v>0.04</v>
      </c>
      <c r="T189" s="129">
        <f t="shared" si="52"/>
        <v>0.04</v>
      </c>
      <c r="U189" s="129">
        <f t="shared" si="52"/>
        <v>0.04</v>
      </c>
      <c r="V189" s="129">
        <f t="shared" si="52"/>
        <v>0.04</v>
      </c>
      <c r="W189" s="129">
        <f t="shared" si="52"/>
        <v>0.04</v>
      </c>
      <c r="X189" s="129">
        <f t="shared" si="52"/>
        <v>0.04</v>
      </c>
      <c r="Y189" s="129">
        <f t="shared" si="52"/>
        <v>0.04</v>
      </c>
      <c r="Z189" s="129">
        <f t="shared" si="52"/>
        <v>0.04</v>
      </c>
      <c r="AA189" s="129">
        <f t="shared" si="52"/>
        <v>0.04</v>
      </c>
      <c r="AB189" s="129">
        <f t="shared" si="52"/>
        <v>0.04</v>
      </c>
      <c r="AC189" s="129">
        <f t="shared" si="52"/>
        <v>0.04</v>
      </c>
      <c r="AD189" s="129">
        <f t="shared" si="52"/>
        <v>0.04</v>
      </c>
      <c r="AE189" s="129">
        <f t="shared" si="52"/>
        <v>0.04</v>
      </c>
      <c r="AF189" s="129">
        <f t="shared" si="52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0"/>
        <v>2.3E-2</v>
      </c>
      <c r="C190" s="53">
        <v>2.3E-2</v>
      </c>
      <c r="D190" s="129">
        <f>C190</f>
        <v>2.3E-2</v>
      </c>
      <c r="E190" s="129">
        <f t="shared" si="51"/>
        <v>2.3E-2</v>
      </c>
      <c r="F190" s="129">
        <f t="shared" si="51"/>
        <v>2.3E-2</v>
      </c>
      <c r="G190" s="129">
        <f t="shared" si="51"/>
        <v>2.3E-2</v>
      </c>
      <c r="H190" s="129">
        <f t="shared" si="51"/>
        <v>2.3E-2</v>
      </c>
      <c r="I190" s="129">
        <f t="shared" si="51"/>
        <v>2.3E-2</v>
      </c>
      <c r="J190" s="129">
        <f t="shared" si="51"/>
        <v>2.3E-2</v>
      </c>
      <c r="K190" s="129">
        <f t="shared" si="51"/>
        <v>2.3E-2</v>
      </c>
      <c r="L190" s="129">
        <f t="shared" si="51"/>
        <v>2.3E-2</v>
      </c>
      <c r="M190" s="129">
        <f t="shared" si="51"/>
        <v>2.3E-2</v>
      </c>
      <c r="N190" s="129">
        <f t="shared" si="51"/>
        <v>2.3E-2</v>
      </c>
      <c r="O190" s="129">
        <f t="shared" si="51"/>
        <v>2.3E-2</v>
      </c>
      <c r="P190" s="129">
        <f t="shared" si="51"/>
        <v>2.3E-2</v>
      </c>
      <c r="Q190" s="129">
        <f t="shared" si="51"/>
        <v>2.3E-2</v>
      </c>
      <c r="R190" s="129">
        <f t="shared" si="51"/>
        <v>2.3E-2</v>
      </c>
      <c r="S190" s="129">
        <f t="shared" si="52"/>
        <v>2.3E-2</v>
      </c>
      <c r="T190" s="129">
        <f t="shared" si="52"/>
        <v>2.3E-2</v>
      </c>
      <c r="U190" s="129">
        <f t="shared" si="52"/>
        <v>2.3E-2</v>
      </c>
      <c r="V190" s="129">
        <f t="shared" si="52"/>
        <v>2.3E-2</v>
      </c>
      <c r="W190" s="129">
        <f t="shared" si="52"/>
        <v>2.3E-2</v>
      </c>
      <c r="X190" s="129">
        <f t="shared" si="52"/>
        <v>2.3E-2</v>
      </c>
      <c r="Y190" s="129">
        <f t="shared" si="52"/>
        <v>2.3E-2</v>
      </c>
      <c r="Z190" s="129">
        <f t="shared" si="52"/>
        <v>2.3E-2</v>
      </c>
      <c r="AA190" s="129">
        <f t="shared" si="52"/>
        <v>2.3E-2</v>
      </c>
      <c r="AB190" s="129">
        <f t="shared" si="52"/>
        <v>2.3E-2</v>
      </c>
      <c r="AC190" s="129">
        <f t="shared" si="52"/>
        <v>2.3E-2</v>
      </c>
      <c r="AD190" s="129">
        <f t="shared" si="52"/>
        <v>2.3E-2</v>
      </c>
      <c r="AE190" s="129">
        <f t="shared" si="52"/>
        <v>2.3E-2</v>
      </c>
      <c r="AF190" s="129">
        <f t="shared" si="52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3">SUM(C101:C190)</f>
        <v>194.70600000000002</v>
      </c>
      <c r="D191" s="134">
        <f t="shared" si="53"/>
        <v>194.70600000000002</v>
      </c>
      <c r="E191" s="134">
        <f t="shared" si="53"/>
        <v>194.70600000000002</v>
      </c>
      <c r="F191" s="134">
        <f t="shared" si="53"/>
        <v>194.70600000000002</v>
      </c>
      <c r="G191" s="134">
        <f t="shared" si="53"/>
        <v>194.70600000000002</v>
      </c>
      <c r="H191" s="134">
        <f t="shared" si="53"/>
        <v>194.70600000000002</v>
      </c>
      <c r="I191" s="134">
        <f t="shared" si="53"/>
        <v>194.70600000000002</v>
      </c>
      <c r="J191" s="134">
        <f t="shared" si="53"/>
        <v>192.10600000000005</v>
      </c>
      <c r="K191" s="134">
        <f t="shared" si="53"/>
        <v>192.10600000000005</v>
      </c>
      <c r="L191" s="134">
        <f t="shared" si="53"/>
        <v>192.10600000000005</v>
      </c>
      <c r="M191" s="134">
        <f t="shared" si="53"/>
        <v>192.10600000000005</v>
      </c>
      <c r="N191" s="134">
        <f t="shared" si="53"/>
        <v>192.10600000000005</v>
      </c>
      <c r="O191" s="134">
        <f t="shared" si="53"/>
        <v>192.10600000000005</v>
      </c>
      <c r="P191" s="134">
        <f t="shared" si="53"/>
        <v>192.10600000000005</v>
      </c>
      <c r="Q191" s="134">
        <f t="shared" si="53"/>
        <v>192.10600000000005</v>
      </c>
      <c r="R191" s="134">
        <f t="shared" si="53"/>
        <v>192.10600000000005</v>
      </c>
      <c r="S191" s="134">
        <f t="shared" si="53"/>
        <v>192.10600000000005</v>
      </c>
      <c r="T191" s="134">
        <f t="shared" si="53"/>
        <v>192.10600000000005</v>
      </c>
      <c r="U191" s="134">
        <f t="shared" si="53"/>
        <v>192.10600000000005</v>
      </c>
      <c r="V191" s="134">
        <f t="shared" si="53"/>
        <v>192.10600000000005</v>
      </c>
      <c r="W191" s="134">
        <f t="shared" si="53"/>
        <v>192.10600000000005</v>
      </c>
      <c r="X191" s="134">
        <f t="shared" si="53"/>
        <v>192.10600000000005</v>
      </c>
      <c r="Y191" s="134">
        <f t="shared" si="53"/>
        <v>192.10600000000005</v>
      </c>
      <c r="Z191" s="134">
        <f t="shared" si="53"/>
        <v>192.10600000000005</v>
      </c>
      <c r="AA191" s="134">
        <f t="shared" si="53"/>
        <v>192.10600000000005</v>
      </c>
      <c r="AB191" s="134">
        <f t="shared" si="53"/>
        <v>192.10600000000005</v>
      </c>
      <c r="AC191" s="134">
        <f t="shared" si="53"/>
        <v>192.10600000000005</v>
      </c>
      <c r="AD191" s="134">
        <f t="shared" si="53"/>
        <v>192.10600000000005</v>
      </c>
      <c r="AE191" s="134">
        <f t="shared" si="53"/>
        <v>192.10600000000005</v>
      </c>
      <c r="AF191" s="134">
        <f t="shared" si="53"/>
        <v>192.10600000000005</v>
      </c>
      <c r="AG191" s="135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4">AF193</f>
        <v>0.3</v>
      </c>
      <c r="C193" s="136">
        <v>0.3</v>
      </c>
      <c r="D193" s="136">
        <f t="shared" ref="D193:S198" si="55">C193</f>
        <v>0.3</v>
      </c>
      <c r="E193" s="136">
        <f t="shared" si="55"/>
        <v>0.3</v>
      </c>
      <c r="F193" s="136">
        <f t="shared" si="55"/>
        <v>0.3</v>
      </c>
      <c r="G193" s="136">
        <f t="shared" si="55"/>
        <v>0.3</v>
      </c>
      <c r="H193" s="136">
        <f t="shared" si="55"/>
        <v>0.3</v>
      </c>
      <c r="I193" s="136">
        <f t="shared" si="55"/>
        <v>0.3</v>
      </c>
      <c r="J193" s="136">
        <f t="shared" si="55"/>
        <v>0.3</v>
      </c>
      <c r="K193" s="136">
        <f t="shared" si="55"/>
        <v>0.3</v>
      </c>
      <c r="L193" s="136">
        <f t="shared" si="55"/>
        <v>0.3</v>
      </c>
      <c r="M193" s="136">
        <f t="shared" si="55"/>
        <v>0.3</v>
      </c>
      <c r="N193" s="136">
        <f t="shared" si="55"/>
        <v>0.3</v>
      </c>
      <c r="O193" s="136">
        <f t="shared" si="55"/>
        <v>0.3</v>
      </c>
      <c r="P193" s="136">
        <f t="shared" si="55"/>
        <v>0.3</v>
      </c>
      <c r="Q193" s="136">
        <f t="shared" si="55"/>
        <v>0.3</v>
      </c>
      <c r="R193" s="136">
        <f t="shared" si="55"/>
        <v>0.3</v>
      </c>
      <c r="S193" s="136">
        <f t="shared" si="55"/>
        <v>0.3</v>
      </c>
      <c r="T193" s="136">
        <f t="shared" ref="T193:AF198" si="56">S193</f>
        <v>0.3</v>
      </c>
      <c r="U193" s="136">
        <f t="shared" si="56"/>
        <v>0.3</v>
      </c>
      <c r="V193" s="136">
        <f t="shared" si="56"/>
        <v>0.3</v>
      </c>
      <c r="W193" s="136">
        <f t="shared" si="56"/>
        <v>0.3</v>
      </c>
      <c r="X193" s="136">
        <f t="shared" si="56"/>
        <v>0.3</v>
      </c>
      <c r="Y193" s="136">
        <f t="shared" si="56"/>
        <v>0.3</v>
      </c>
      <c r="Z193" s="136">
        <f t="shared" si="56"/>
        <v>0.3</v>
      </c>
      <c r="AA193" s="136">
        <f t="shared" si="56"/>
        <v>0.3</v>
      </c>
      <c r="AB193" s="136">
        <f t="shared" si="56"/>
        <v>0.3</v>
      </c>
      <c r="AC193" s="136">
        <f t="shared" si="56"/>
        <v>0.3</v>
      </c>
      <c r="AD193" s="136">
        <f t="shared" si="56"/>
        <v>0.3</v>
      </c>
      <c r="AE193" s="136">
        <f t="shared" si="56"/>
        <v>0.3</v>
      </c>
      <c r="AF193" s="136">
        <f t="shared" si="56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4"/>
        <v>0.4</v>
      </c>
      <c r="C194" s="129">
        <v>0.4</v>
      </c>
      <c r="D194" s="129">
        <f t="shared" si="55"/>
        <v>0.4</v>
      </c>
      <c r="E194" s="129">
        <f t="shared" si="55"/>
        <v>0.4</v>
      </c>
      <c r="F194" s="129">
        <f t="shared" si="55"/>
        <v>0.4</v>
      </c>
      <c r="G194" s="129">
        <f t="shared" si="55"/>
        <v>0.4</v>
      </c>
      <c r="H194" s="129">
        <f t="shared" si="55"/>
        <v>0.4</v>
      </c>
      <c r="I194" s="129">
        <f t="shared" si="55"/>
        <v>0.4</v>
      </c>
      <c r="J194" s="129">
        <f t="shared" si="55"/>
        <v>0.4</v>
      </c>
      <c r="K194" s="129">
        <f t="shared" si="55"/>
        <v>0.4</v>
      </c>
      <c r="L194" s="129">
        <f t="shared" si="55"/>
        <v>0.4</v>
      </c>
      <c r="M194" s="129">
        <f t="shared" si="55"/>
        <v>0.4</v>
      </c>
      <c r="N194" s="129">
        <f t="shared" si="55"/>
        <v>0.4</v>
      </c>
      <c r="O194" s="129">
        <f t="shared" si="55"/>
        <v>0.4</v>
      </c>
      <c r="P194" s="129">
        <f t="shared" si="55"/>
        <v>0.4</v>
      </c>
      <c r="Q194" s="129">
        <f t="shared" si="55"/>
        <v>0.4</v>
      </c>
      <c r="R194" s="129">
        <f t="shared" si="55"/>
        <v>0.4</v>
      </c>
      <c r="S194" s="129">
        <f t="shared" si="55"/>
        <v>0.4</v>
      </c>
      <c r="T194" s="129">
        <f t="shared" si="56"/>
        <v>0.4</v>
      </c>
      <c r="U194" s="129">
        <f t="shared" si="56"/>
        <v>0.4</v>
      </c>
      <c r="V194" s="129">
        <f t="shared" si="56"/>
        <v>0.4</v>
      </c>
      <c r="W194" s="129">
        <f>V194</f>
        <v>0.4</v>
      </c>
      <c r="X194" s="129">
        <f>W194</f>
        <v>0.4</v>
      </c>
      <c r="Y194" s="129">
        <f t="shared" si="56"/>
        <v>0.4</v>
      </c>
      <c r="Z194" s="129">
        <f t="shared" si="56"/>
        <v>0.4</v>
      </c>
      <c r="AA194" s="129">
        <f t="shared" si="56"/>
        <v>0.4</v>
      </c>
      <c r="AB194" s="129">
        <f t="shared" si="56"/>
        <v>0.4</v>
      </c>
      <c r="AC194" s="129">
        <f t="shared" si="56"/>
        <v>0.4</v>
      </c>
      <c r="AD194" s="129">
        <f t="shared" si="56"/>
        <v>0.4</v>
      </c>
      <c r="AE194" s="129">
        <f t="shared" si="56"/>
        <v>0.4</v>
      </c>
      <c r="AF194" s="129">
        <f t="shared" si="56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4"/>
        <v>1.5</v>
      </c>
      <c r="C195" s="129">
        <v>1.5</v>
      </c>
      <c r="D195" s="129">
        <f t="shared" si="55"/>
        <v>1.5</v>
      </c>
      <c r="E195" s="129">
        <f t="shared" si="55"/>
        <v>1.5</v>
      </c>
      <c r="F195" s="129">
        <f t="shared" si="55"/>
        <v>1.5</v>
      </c>
      <c r="G195" s="129">
        <f t="shared" si="55"/>
        <v>1.5</v>
      </c>
      <c r="H195" s="129">
        <f t="shared" si="55"/>
        <v>1.5</v>
      </c>
      <c r="I195" s="129">
        <f t="shared" si="55"/>
        <v>1.5</v>
      </c>
      <c r="J195" s="129">
        <f t="shared" si="55"/>
        <v>1.5</v>
      </c>
      <c r="K195" s="129">
        <f t="shared" si="55"/>
        <v>1.5</v>
      </c>
      <c r="L195" s="129">
        <f t="shared" si="55"/>
        <v>1.5</v>
      </c>
      <c r="M195" s="129">
        <f t="shared" si="55"/>
        <v>1.5</v>
      </c>
      <c r="N195" s="129">
        <f t="shared" si="55"/>
        <v>1.5</v>
      </c>
      <c r="O195" s="129">
        <f t="shared" si="55"/>
        <v>1.5</v>
      </c>
      <c r="P195" s="129">
        <f t="shared" si="55"/>
        <v>1.5</v>
      </c>
      <c r="Q195" s="129">
        <f t="shared" si="55"/>
        <v>1.5</v>
      </c>
      <c r="R195" s="129">
        <f t="shared" si="55"/>
        <v>1.5</v>
      </c>
      <c r="S195" s="129">
        <f t="shared" si="55"/>
        <v>1.5</v>
      </c>
      <c r="T195" s="129">
        <f t="shared" si="56"/>
        <v>1.5</v>
      </c>
      <c r="U195" s="129">
        <f t="shared" si="56"/>
        <v>1.5</v>
      </c>
      <c r="V195" s="129">
        <f t="shared" si="56"/>
        <v>1.5</v>
      </c>
      <c r="W195" s="129">
        <f t="shared" si="56"/>
        <v>1.5</v>
      </c>
      <c r="X195" s="129">
        <f t="shared" si="56"/>
        <v>1.5</v>
      </c>
      <c r="Y195" s="129">
        <f t="shared" si="56"/>
        <v>1.5</v>
      </c>
      <c r="Z195" s="129">
        <f t="shared" si="56"/>
        <v>1.5</v>
      </c>
      <c r="AA195" s="129">
        <f t="shared" si="56"/>
        <v>1.5</v>
      </c>
      <c r="AB195" s="129">
        <f t="shared" si="56"/>
        <v>1.5</v>
      </c>
      <c r="AC195" s="129">
        <f t="shared" si="56"/>
        <v>1.5</v>
      </c>
      <c r="AD195" s="129">
        <f t="shared" si="56"/>
        <v>1.5</v>
      </c>
      <c r="AE195" s="129">
        <f t="shared" si="56"/>
        <v>1.5</v>
      </c>
      <c r="AF195" s="129">
        <f t="shared" si="56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4"/>
        <v>0.3</v>
      </c>
      <c r="C196" s="129">
        <v>0.3</v>
      </c>
      <c r="D196" s="129">
        <f t="shared" si="55"/>
        <v>0.3</v>
      </c>
      <c r="E196" s="129">
        <f t="shared" si="55"/>
        <v>0.3</v>
      </c>
      <c r="F196" s="129">
        <f t="shared" si="55"/>
        <v>0.3</v>
      </c>
      <c r="G196" s="129">
        <f t="shared" si="55"/>
        <v>0.3</v>
      </c>
      <c r="H196" s="129">
        <f t="shared" si="55"/>
        <v>0.3</v>
      </c>
      <c r="I196" s="129">
        <f t="shared" si="55"/>
        <v>0.3</v>
      </c>
      <c r="J196" s="129">
        <f t="shared" si="55"/>
        <v>0.3</v>
      </c>
      <c r="K196" s="129">
        <f t="shared" si="55"/>
        <v>0.3</v>
      </c>
      <c r="L196" s="129">
        <f t="shared" si="55"/>
        <v>0.3</v>
      </c>
      <c r="M196" s="129">
        <f t="shared" si="55"/>
        <v>0.3</v>
      </c>
      <c r="N196" s="129">
        <f t="shared" si="55"/>
        <v>0.3</v>
      </c>
      <c r="O196" s="129">
        <f t="shared" si="55"/>
        <v>0.3</v>
      </c>
      <c r="P196" s="129">
        <f t="shared" si="55"/>
        <v>0.3</v>
      </c>
      <c r="Q196" s="129">
        <f t="shared" si="55"/>
        <v>0.3</v>
      </c>
      <c r="R196" s="129">
        <f t="shared" si="55"/>
        <v>0.3</v>
      </c>
      <c r="S196" s="129">
        <f t="shared" si="55"/>
        <v>0.3</v>
      </c>
      <c r="T196" s="129">
        <f t="shared" si="56"/>
        <v>0.3</v>
      </c>
      <c r="U196" s="129">
        <f t="shared" si="56"/>
        <v>0.3</v>
      </c>
      <c r="V196" s="129">
        <f t="shared" si="56"/>
        <v>0.3</v>
      </c>
      <c r="W196" s="129">
        <f t="shared" si="56"/>
        <v>0.3</v>
      </c>
      <c r="X196" s="129">
        <f t="shared" si="56"/>
        <v>0.3</v>
      </c>
      <c r="Y196" s="129">
        <f t="shared" si="56"/>
        <v>0.3</v>
      </c>
      <c r="Z196" s="129">
        <f t="shared" si="56"/>
        <v>0.3</v>
      </c>
      <c r="AA196" s="129">
        <f t="shared" si="56"/>
        <v>0.3</v>
      </c>
      <c r="AB196" s="129">
        <f t="shared" si="56"/>
        <v>0.3</v>
      </c>
      <c r="AC196" s="129">
        <f t="shared" si="56"/>
        <v>0.3</v>
      </c>
      <c r="AD196" s="129">
        <f t="shared" si="56"/>
        <v>0.3</v>
      </c>
      <c r="AE196" s="129">
        <f t="shared" si="56"/>
        <v>0.3</v>
      </c>
      <c r="AF196" s="129">
        <f t="shared" si="56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4"/>
        <v>0.4</v>
      </c>
      <c r="C197" s="129">
        <v>0.4</v>
      </c>
      <c r="D197" s="129">
        <f t="shared" si="55"/>
        <v>0.4</v>
      </c>
      <c r="E197" s="129">
        <f t="shared" si="55"/>
        <v>0.4</v>
      </c>
      <c r="F197" s="129">
        <f t="shared" si="55"/>
        <v>0.4</v>
      </c>
      <c r="G197" s="129">
        <f t="shared" si="55"/>
        <v>0.4</v>
      </c>
      <c r="H197" s="129">
        <f t="shared" si="55"/>
        <v>0.4</v>
      </c>
      <c r="I197" s="129">
        <f t="shared" si="55"/>
        <v>0.4</v>
      </c>
      <c r="J197" s="129">
        <f t="shared" si="55"/>
        <v>0.4</v>
      </c>
      <c r="K197" s="129">
        <f t="shared" si="55"/>
        <v>0.4</v>
      </c>
      <c r="L197" s="129">
        <f t="shared" si="55"/>
        <v>0.4</v>
      </c>
      <c r="M197" s="129">
        <f t="shared" si="55"/>
        <v>0.4</v>
      </c>
      <c r="N197" s="129">
        <f t="shared" si="55"/>
        <v>0.4</v>
      </c>
      <c r="O197" s="129">
        <f t="shared" si="55"/>
        <v>0.4</v>
      </c>
      <c r="P197" s="129">
        <f t="shared" si="55"/>
        <v>0.4</v>
      </c>
      <c r="Q197" s="129">
        <f t="shared" si="55"/>
        <v>0.4</v>
      </c>
      <c r="R197" s="129">
        <f t="shared" si="55"/>
        <v>0.4</v>
      </c>
      <c r="S197" s="129">
        <f t="shared" si="55"/>
        <v>0.4</v>
      </c>
      <c r="T197" s="129">
        <f t="shared" si="56"/>
        <v>0.4</v>
      </c>
      <c r="U197" s="129">
        <f t="shared" si="56"/>
        <v>0.4</v>
      </c>
      <c r="V197" s="129">
        <f t="shared" si="56"/>
        <v>0.4</v>
      </c>
      <c r="W197" s="129">
        <f t="shared" si="56"/>
        <v>0.4</v>
      </c>
      <c r="X197" s="129">
        <f t="shared" si="56"/>
        <v>0.4</v>
      </c>
      <c r="Y197" s="129">
        <f t="shared" si="56"/>
        <v>0.4</v>
      </c>
      <c r="Z197" s="129">
        <f t="shared" si="56"/>
        <v>0.4</v>
      </c>
      <c r="AA197" s="129">
        <f t="shared" si="56"/>
        <v>0.4</v>
      </c>
      <c r="AB197" s="129">
        <f t="shared" si="56"/>
        <v>0.4</v>
      </c>
      <c r="AC197" s="129">
        <f t="shared" si="56"/>
        <v>0.4</v>
      </c>
      <c r="AD197" s="129">
        <f t="shared" si="56"/>
        <v>0.4</v>
      </c>
      <c r="AE197" s="129">
        <f t="shared" si="56"/>
        <v>0.4</v>
      </c>
      <c r="AF197" s="129">
        <f t="shared" si="56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4"/>
        <v>0.64</v>
      </c>
      <c r="C198" s="139">
        <v>0.64</v>
      </c>
      <c r="D198" s="139">
        <f t="shared" si="55"/>
        <v>0.64</v>
      </c>
      <c r="E198" s="139">
        <f t="shared" si="55"/>
        <v>0.64</v>
      </c>
      <c r="F198" s="139">
        <f t="shared" si="55"/>
        <v>0.64</v>
      </c>
      <c r="G198" s="139">
        <f t="shared" si="55"/>
        <v>0.64</v>
      </c>
      <c r="H198" s="139">
        <f t="shared" si="55"/>
        <v>0.64</v>
      </c>
      <c r="I198" s="139">
        <f t="shared" si="55"/>
        <v>0.64</v>
      </c>
      <c r="J198" s="139">
        <f t="shared" si="55"/>
        <v>0.64</v>
      </c>
      <c r="K198" s="139">
        <f t="shared" si="55"/>
        <v>0.64</v>
      </c>
      <c r="L198" s="139">
        <f t="shared" si="55"/>
        <v>0.64</v>
      </c>
      <c r="M198" s="139">
        <f t="shared" si="55"/>
        <v>0.64</v>
      </c>
      <c r="N198" s="139">
        <f t="shared" si="55"/>
        <v>0.64</v>
      </c>
      <c r="O198" s="139">
        <f t="shared" si="55"/>
        <v>0.64</v>
      </c>
      <c r="P198" s="139">
        <f t="shared" si="55"/>
        <v>0.64</v>
      </c>
      <c r="Q198" s="139">
        <f t="shared" si="55"/>
        <v>0.64</v>
      </c>
      <c r="R198" s="139">
        <f t="shared" si="55"/>
        <v>0.64</v>
      </c>
      <c r="S198" s="139">
        <f t="shared" si="55"/>
        <v>0.64</v>
      </c>
      <c r="T198" s="139">
        <f t="shared" si="56"/>
        <v>0.64</v>
      </c>
      <c r="U198" s="139">
        <f t="shared" si="56"/>
        <v>0.64</v>
      </c>
      <c r="V198" s="139">
        <f t="shared" si="56"/>
        <v>0.64</v>
      </c>
      <c r="W198" s="139">
        <f t="shared" si="56"/>
        <v>0.64</v>
      </c>
      <c r="X198" s="139">
        <f t="shared" si="56"/>
        <v>0.64</v>
      </c>
      <c r="Y198" s="139">
        <f t="shared" si="56"/>
        <v>0.64</v>
      </c>
      <c r="Z198" s="139">
        <f t="shared" si="56"/>
        <v>0.64</v>
      </c>
      <c r="AA198" s="139">
        <f t="shared" si="56"/>
        <v>0.64</v>
      </c>
      <c r="AB198" s="139">
        <f t="shared" si="56"/>
        <v>0.64</v>
      </c>
      <c r="AC198" s="139">
        <f t="shared" si="56"/>
        <v>0.64</v>
      </c>
      <c r="AD198" s="139">
        <f t="shared" si="56"/>
        <v>0.64</v>
      </c>
      <c r="AE198" s="139">
        <f t="shared" si="56"/>
        <v>0.64</v>
      </c>
      <c r="AF198" s="139">
        <f t="shared" si="56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7">SUM(D193:D198)</f>
        <v>3.54</v>
      </c>
      <c r="E199" s="142">
        <f t="shared" si="57"/>
        <v>3.54</v>
      </c>
      <c r="F199" s="142">
        <f t="shared" si="57"/>
        <v>3.54</v>
      </c>
      <c r="G199" s="142">
        <f t="shared" si="57"/>
        <v>3.54</v>
      </c>
      <c r="H199" s="142">
        <f t="shared" si="57"/>
        <v>3.54</v>
      </c>
      <c r="I199" s="142">
        <f t="shared" si="57"/>
        <v>3.54</v>
      </c>
      <c r="J199" s="142">
        <f t="shared" si="57"/>
        <v>3.54</v>
      </c>
      <c r="K199" s="142">
        <f t="shared" si="57"/>
        <v>3.54</v>
      </c>
      <c r="L199" s="142">
        <f t="shared" si="57"/>
        <v>3.54</v>
      </c>
      <c r="M199" s="142">
        <f>SUM(M193:M198)</f>
        <v>3.54</v>
      </c>
      <c r="N199" s="142">
        <f t="shared" ref="N199:S199" si="58">SUM(N193:N198)</f>
        <v>3.54</v>
      </c>
      <c r="O199" s="142">
        <f t="shared" si="58"/>
        <v>3.54</v>
      </c>
      <c r="P199" s="142">
        <f t="shared" si="58"/>
        <v>3.54</v>
      </c>
      <c r="Q199" s="142">
        <f t="shared" si="58"/>
        <v>3.54</v>
      </c>
      <c r="R199" s="142">
        <f t="shared" si="58"/>
        <v>3.54</v>
      </c>
      <c r="S199" s="142">
        <f t="shared" si="58"/>
        <v>3.54</v>
      </c>
      <c r="T199" s="142">
        <f>SUM(T193:T198)</f>
        <v>3.54</v>
      </c>
      <c r="U199" s="142">
        <f t="shared" ref="U199:AG199" si="59">SUM(U193:U198)</f>
        <v>3.54</v>
      </c>
      <c r="V199" s="142">
        <f t="shared" si="59"/>
        <v>3.54</v>
      </c>
      <c r="W199" s="142">
        <f t="shared" si="59"/>
        <v>3.54</v>
      </c>
      <c r="X199" s="142">
        <f t="shared" si="59"/>
        <v>3.54</v>
      </c>
      <c r="Y199" s="142">
        <f t="shared" si="59"/>
        <v>3.54</v>
      </c>
      <c r="Z199" s="142">
        <f t="shared" si="59"/>
        <v>3.54</v>
      </c>
      <c r="AA199" s="142">
        <f t="shared" si="59"/>
        <v>3.54</v>
      </c>
      <c r="AB199" s="142">
        <f t="shared" si="59"/>
        <v>3.54</v>
      </c>
      <c r="AC199" s="142">
        <f t="shared" si="59"/>
        <v>3.54</v>
      </c>
      <c r="AD199" s="142">
        <f t="shared" si="59"/>
        <v>3.54</v>
      </c>
      <c r="AE199" s="142">
        <f t="shared" si="59"/>
        <v>3.54</v>
      </c>
      <c r="AF199" s="142">
        <f t="shared" si="59"/>
        <v>3.54</v>
      </c>
      <c r="AG199" s="143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1488.04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2078/09/26)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0">B75</f>
        <v>926.24</v>
      </c>
      <c r="U213" s="167">
        <f t="shared" si="60"/>
        <v>885.24</v>
      </c>
      <c r="V213" s="167">
        <f t="shared" si="60"/>
        <v>878.24</v>
      </c>
      <c r="W213" s="167">
        <f t="shared" si="60"/>
        <v>871.74</v>
      </c>
      <c r="X213" s="167">
        <f t="shared" si="60"/>
        <v>880.74</v>
      </c>
      <c r="Y213" s="167">
        <f t="shared" si="60"/>
        <v>925.04</v>
      </c>
      <c r="Z213" s="167">
        <f t="shared" si="60"/>
        <v>984.74</v>
      </c>
      <c r="AA213" s="167">
        <f t="shared" si="60"/>
        <v>1085.74</v>
      </c>
      <c r="AB213" s="167">
        <f t="shared" si="60"/>
        <v>1211.74</v>
      </c>
      <c r="AC213" s="167">
        <f t="shared" si="60"/>
        <v>1285.3399999999999</v>
      </c>
      <c r="AD213" s="167">
        <f t="shared" si="60"/>
        <v>1477.54</v>
      </c>
      <c r="AE213" s="167">
        <f t="shared" si="60"/>
        <v>1488.04</v>
      </c>
      <c r="AF213" s="167">
        <f t="shared" si="60"/>
        <v>1425.54</v>
      </c>
      <c r="AG213" s="167">
        <f t="shared" si="60"/>
        <v>1362.8400000000001</v>
      </c>
      <c r="AH213" s="167">
        <f t="shared" si="60"/>
        <v>1326.54</v>
      </c>
      <c r="AI213" s="167">
        <f t="shared" si="60"/>
        <v>1299.4100000000001</v>
      </c>
      <c r="AJ213" s="167">
        <f t="shared" si="60"/>
        <v>1142.8399999999999</v>
      </c>
      <c r="AK213" s="167">
        <f t="shared" si="60"/>
        <v>1198.73</v>
      </c>
      <c r="AL213" s="167">
        <f t="shared" si="60"/>
        <v>1246.04</v>
      </c>
      <c r="AM213" s="167">
        <f t="shared" si="60"/>
        <v>1263.2399999999998</v>
      </c>
      <c r="AN213" s="167">
        <f t="shared" si="60"/>
        <v>1273.24</v>
      </c>
      <c r="AO213" s="167">
        <f t="shared" si="60"/>
        <v>1384.74</v>
      </c>
      <c r="AP213" s="167">
        <f t="shared" si="60"/>
        <v>1517.14</v>
      </c>
      <c r="AQ213" s="167">
        <f t="shared" si="60"/>
        <v>1533.7600000000002</v>
      </c>
      <c r="AR213" s="167">
        <f t="shared" si="60"/>
        <v>1475.1399999999999</v>
      </c>
      <c r="AS213" s="167">
        <f t="shared" si="60"/>
        <v>1460.04</v>
      </c>
      <c r="AT213" s="167">
        <f t="shared" si="60"/>
        <v>1361.2399999999998</v>
      </c>
      <c r="AU213" s="167">
        <f t="shared" si="60"/>
        <v>1305.9399999999998</v>
      </c>
      <c r="AV213" s="167">
        <f t="shared" si="60"/>
        <v>1266.1399999999999</v>
      </c>
      <c r="AW213" s="167">
        <f t="shared" si="60"/>
        <v>1068.1399999999999</v>
      </c>
      <c r="AX213" s="167">
        <f t="shared" si="60"/>
        <v>972.13999999999987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1">C198</f>
        <v>0.64</v>
      </c>
      <c r="C234" s="170">
        <f t="shared" si="61"/>
        <v>0.64</v>
      </c>
      <c r="D234" s="170">
        <f t="shared" si="61"/>
        <v>0.64</v>
      </c>
      <c r="E234" s="170">
        <f t="shared" si="61"/>
        <v>0.64</v>
      </c>
      <c r="F234" s="170">
        <f t="shared" si="61"/>
        <v>0.64</v>
      </c>
      <c r="G234" s="170">
        <f t="shared" si="61"/>
        <v>0.64</v>
      </c>
      <c r="H234" s="170">
        <f t="shared" si="61"/>
        <v>0.64</v>
      </c>
      <c r="I234" s="170">
        <f t="shared" si="61"/>
        <v>0.64</v>
      </c>
      <c r="J234" s="170">
        <f t="shared" si="61"/>
        <v>0.64</v>
      </c>
      <c r="K234" s="170">
        <f t="shared" si="61"/>
        <v>0.64</v>
      </c>
      <c r="L234" s="170">
        <f t="shared" si="61"/>
        <v>0.64</v>
      </c>
      <c r="M234" s="170">
        <f t="shared" si="61"/>
        <v>0.64</v>
      </c>
      <c r="N234" s="170">
        <f t="shared" si="61"/>
        <v>0.64</v>
      </c>
      <c r="O234" s="170">
        <f t="shared" si="61"/>
        <v>0.64</v>
      </c>
      <c r="P234" s="170">
        <f t="shared" si="61"/>
        <v>0.64</v>
      </c>
      <c r="Q234" s="170">
        <f t="shared" si="61"/>
        <v>0.64</v>
      </c>
      <c r="R234" s="170">
        <f t="shared" si="61"/>
        <v>0.64</v>
      </c>
      <c r="S234" s="170">
        <f t="shared" si="61"/>
        <v>0.64</v>
      </c>
      <c r="T234" s="170">
        <f t="shared" si="61"/>
        <v>0.64</v>
      </c>
      <c r="U234" s="170">
        <f t="shared" si="61"/>
        <v>0.64</v>
      </c>
      <c r="V234" s="170">
        <f t="shared" si="61"/>
        <v>0.64</v>
      </c>
      <c r="W234" s="170">
        <f t="shared" si="61"/>
        <v>0.64</v>
      </c>
      <c r="X234" s="170">
        <f t="shared" si="61"/>
        <v>0.64</v>
      </c>
      <c r="Y234" s="170">
        <f t="shared" si="61"/>
        <v>0.64</v>
      </c>
      <c r="Z234" s="170">
        <f t="shared" si="61"/>
        <v>0.64</v>
      </c>
      <c r="AA234" s="170">
        <f t="shared" si="61"/>
        <v>0.64</v>
      </c>
      <c r="AB234" s="170">
        <f t="shared" si="61"/>
        <v>0.64</v>
      </c>
      <c r="AC234" s="170">
        <f t="shared" si="61"/>
        <v>0.64</v>
      </c>
      <c r="AD234" s="170">
        <f t="shared" si="61"/>
        <v>0.64</v>
      </c>
      <c r="AE234" s="170">
        <f t="shared" si="61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2">IF(C202&lt;100,"",C202-520)</f>
        <v/>
      </c>
      <c r="D235" s="115" t="str">
        <f t="shared" si="62"/>
        <v/>
      </c>
      <c r="E235" s="115" t="str">
        <f t="shared" si="62"/>
        <v/>
      </c>
      <c r="F235" s="115" t="str">
        <f t="shared" si="62"/>
        <v/>
      </c>
      <c r="G235" s="115" t="str">
        <f t="shared" si="62"/>
        <v/>
      </c>
      <c r="H235" s="115" t="str">
        <f t="shared" si="62"/>
        <v/>
      </c>
      <c r="I235" s="115" t="str">
        <f t="shared" si="62"/>
        <v/>
      </c>
      <c r="J235" s="115" t="str">
        <f t="shared" si="62"/>
        <v/>
      </c>
      <c r="K235" s="115" t="str">
        <f t="shared" si="62"/>
        <v/>
      </c>
      <c r="L235" s="115" t="str">
        <f t="shared" si="62"/>
        <v/>
      </c>
      <c r="M235" s="115" t="str">
        <f t="shared" si="62"/>
        <v/>
      </c>
      <c r="N235" s="115" t="str">
        <f t="shared" si="62"/>
        <v/>
      </c>
      <c r="O235" s="115" t="str">
        <f t="shared" si="62"/>
        <v/>
      </c>
      <c r="P235" s="115" t="str">
        <f t="shared" si="62"/>
        <v/>
      </c>
      <c r="Q235" s="115" t="str">
        <f t="shared" si="62"/>
        <v/>
      </c>
      <c r="R235" s="115" t="str">
        <f t="shared" si="62"/>
        <v/>
      </c>
      <c r="S235" s="115" t="str">
        <f t="shared" si="62"/>
        <v/>
      </c>
      <c r="T235" s="115" t="str">
        <f t="shared" si="62"/>
        <v/>
      </c>
      <c r="U235" s="115" t="str">
        <f t="shared" si="62"/>
        <v/>
      </c>
      <c r="V235" s="115" t="str">
        <f t="shared" si="62"/>
        <v/>
      </c>
      <c r="W235" s="115" t="str">
        <f t="shared" si="62"/>
        <v/>
      </c>
      <c r="X235" s="115" t="str">
        <f t="shared" si="62"/>
        <v/>
      </c>
      <c r="Y235" s="115" t="str">
        <f t="shared" si="62"/>
        <v/>
      </c>
      <c r="Z235" s="115" t="str">
        <f t="shared" si="62"/>
        <v/>
      </c>
      <c r="AA235" s="115" t="str">
        <f t="shared" si="62"/>
        <v/>
      </c>
      <c r="AB235" s="115" t="str">
        <f t="shared" si="62"/>
        <v/>
      </c>
      <c r="AC235" s="115" t="str">
        <f t="shared" si="62"/>
        <v/>
      </c>
      <c r="AD235" s="115" t="str">
        <f t="shared" si="62"/>
        <v/>
      </c>
      <c r="AE235" s="115" t="str">
        <f t="shared" si="62"/>
        <v/>
      </c>
      <c r="AF235" s="115" t="str">
        <f t="shared" si="62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3">IF(B203&lt;100,"",B203-620)</f>
        <v/>
      </c>
      <c r="C236" s="115" t="str">
        <f t="shared" si="63"/>
        <v/>
      </c>
      <c r="D236" s="115" t="str">
        <f t="shared" si="63"/>
        <v/>
      </c>
      <c r="E236" s="115" t="str">
        <f t="shared" si="63"/>
        <v/>
      </c>
      <c r="F236" s="115" t="str">
        <f t="shared" si="63"/>
        <v/>
      </c>
      <c r="G236" s="115" t="str">
        <f t="shared" si="63"/>
        <v/>
      </c>
      <c r="H236" s="115" t="str">
        <f t="shared" si="63"/>
        <v/>
      </c>
      <c r="I236" s="115" t="str">
        <f t="shared" si="63"/>
        <v/>
      </c>
      <c r="J236" s="115" t="str">
        <f t="shared" si="63"/>
        <v/>
      </c>
      <c r="K236" s="115" t="str">
        <f t="shared" si="63"/>
        <v/>
      </c>
      <c r="L236" s="115" t="str">
        <f t="shared" si="63"/>
        <v/>
      </c>
      <c r="M236" s="115" t="str">
        <f t="shared" si="63"/>
        <v/>
      </c>
      <c r="N236" s="115" t="str">
        <f t="shared" si="63"/>
        <v/>
      </c>
      <c r="O236" s="115" t="str">
        <f t="shared" si="63"/>
        <v/>
      </c>
      <c r="P236" s="115" t="str">
        <f t="shared" si="63"/>
        <v/>
      </c>
      <c r="Q236" s="115" t="str">
        <f t="shared" si="63"/>
        <v/>
      </c>
      <c r="R236" s="115" t="str">
        <f t="shared" si="63"/>
        <v/>
      </c>
      <c r="S236" s="115" t="str">
        <f t="shared" si="63"/>
        <v/>
      </c>
      <c r="T236" s="115" t="str">
        <f t="shared" si="63"/>
        <v/>
      </c>
      <c r="U236" s="115" t="str">
        <f t="shared" si="63"/>
        <v/>
      </c>
      <c r="V236" s="115" t="str">
        <f t="shared" si="63"/>
        <v/>
      </c>
      <c r="W236" s="115" t="str">
        <f t="shared" si="63"/>
        <v/>
      </c>
      <c r="X236" s="115" t="str">
        <f t="shared" si="63"/>
        <v/>
      </c>
      <c r="Y236" s="115" t="str">
        <f t="shared" si="63"/>
        <v/>
      </c>
      <c r="Z236" s="115" t="str">
        <f t="shared" si="63"/>
        <v/>
      </c>
      <c r="AA236" s="115" t="str">
        <f t="shared" si="63"/>
        <v/>
      </c>
      <c r="AB236" s="115" t="str">
        <f t="shared" si="63"/>
        <v/>
      </c>
      <c r="AC236" s="115" t="str">
        <f t="shared" si="63"/>
        <v/>
      </c>
      <c r="AD236" s="115" t="str">
        <f t="shared" si="63"/>
        <v/>
      </c>
      <c r="AE236" s="115" t="str">
        <f t="shared" si="63"/>
        <v/>
      </c>
      <c r="AF236" s="115" t="str">
        <f t="shared" si="63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4">IF(B204&lt;100,"",B204-330)</f>
        <v/>
      </c>
      <c r="C237" s="115" t="str">
        <f t="shared" si="64"/>
        <v/>
      </c>
      <c r="D237" s="115" t="str">
        <f t="shared" si="64"/>
        <v/>
      </c>
      <c r="E237" s="115" t="str">
        <f t="shared" si="64"/>
        <v/>
      </c>
      <c r="F237" s="115" t="str">
        <f t="shared" si="64"/>
        <v/>
      </c>
      <c r="G237" s="115" t="str">
        <f t="shared" si="64"/>
        <v/>
      </c>
      <c r="H237" s="115" t="str">
        <f t="shared" si="64"/>
        <v/>
      </c>
      <c r="I237" s="115" t="str">
        <f t="shared" si="64"/>
        <v/>
      </c>
      <c r="J237" s="115" t="str">
        <f t="shared" si="64"/>
        <v/>
      </c>
      <c r="K237" s="115" t="str">
        <f t="shared" si="64"/>
        <v/>
      </c>
      <c r="L237" s="115" t="str">
        <f t="shared" si="64"/>
        <v/>
      </c>
      <c r="M237" s="115" t="str">
        <f t="shared" si="64"/>
        <v/>
      </c>
      <c r="N237" s="115" t="str">
        <f t="shared" si="64"/>
        <v/>
      </c>
      <c r="O237" s="115" t="str">
        <f t="shared" si="64"/>
        <v/>
      </c>
      <c r="P237" s="115" t="str">
        <f t="shared" si="64"/>
        <v/>
      </c>
      <c r="Q237" s="115" t="str">
        <f t="shared" si="64"/>
        <v/>
      </c>
      <c r="R237" s="115" t="str">
        <f t="shared" si="64"/>
        <v/>
      </c>
      <c r="S237" s="115" t="str">
        <f t="shared" si="64"/>
        <v/>
      </c>
      <c r="T237" s="115" t="str">
        <f t="shared" si="64"/>
        <v/>
      </c>
      <c r="U237" s="115" t="str">
        <f t="shared" si="64"/>
        <v/>
      </c>
      <c r="V237" s="115" t="str">
        <f t="shared" si="64"/>
        <v/>
      </c>
      <c r="W237" s="115" t="str">
        <f t="shared" si="64"/>
        <v/>
      </c>
      <c r="X237" s="115" t="str">
        <f t="shared" si="64"/>
        <v/>
      </c>
      <c r="Y237" s="115" t="str">
        <f t="shared" si="64"/>
        <v/>
      </c>
      <c r="Z237" s="115" t="str">
        <f t="shared" si="64"/>
        <v/>
      </c>
      <c r="AA237" s="115" t="str">
        <f t="shared" si="64"/>
        <v/>
      </c>
      <c r="AB237" s="115" t="str">
        <f t="shared" si="64"/>
        <v/>
      </c>
      <c r="AC237" s="115" t="str">
        <f t="shared" si="64"/>
        <v/>
      </c>
      <c r="AD237" s="115" t="str">
        <f t="shared" si="64"/>
        <v/>
      </c>
      <c r="AE237" s="115" t="str">
        <f t="shared" si="64"/>
        <v/>
      </c>
      <c r="AF237" s="115" t="str">
        <f t="shared" si="64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5">IF(C205&lt;100,"",C205-1500)</f>
        <v/>
      </c>
      <c r="D238" s="115" t="str">
        <f t="shared" si="65"/>
        <v/>
      </c>
      <c r="E238" s="115" t="str">
        <f t="shared" si="65"/>
        <v/>
      </c>
      <c r="F238" s="115" t="str">
        <f t="shared" si="65"/>
        <v/>
      </c>
      <c r="G238" s="115" t="str">
        <f t="shared" si="65"/>
        <v/>
      </c>
      <c r="H238" s="115" t="str">
        <f t="shared" si="65"/>
        <v/>
      </c>
      <c r="I238" s="115" t="str">
        <f t="shared" si="65"/>
        <v/>
      </c>
      <c r="J238" s="115" t="str">
        <f t="shared" si="65"/>
        <v/>
      </c>
      <c r="K238" s="115" t="str">
        <f t="shared" si="65"/>
        <v/>
      </c>
      <c r="L238" s="115" t="str">
        <f t="shared" si="65"/>
        <v/>
      </c>
      <c r="M238" s="115" t="str">
        <f t="shared" si="65"/>
        <v/>
      </c>
      <c r="N238" s="115" t="str">
        <f t="shared" si="65"/>
        <v/>
      </c>
      <c r="O238" s="115" t="str">
        <f t="shared" si="65"/>
        <v/>
      </c>
      <c r="P238" s="115" t="str">
        <f t="shared" si="65"/>
        <v/>
      </c>
      <c r="Q238" s="115" t="str">
        <f t="shared" si="65"/>
        <v/>
      </c>
      <c r="R238" s="115" t="str">
        <f t="shared" si="65"/>
        <v/>
      </c>
      <c r="S238" s="115" t="str">
        <f t="shared" si="65"/>
        <v/>
      </c>
      <c r="T238" s="115" t="str">
        <f t="shared" si="65"/>
        <v/>
      </c>
      <c r="U238" s="115" t="str">
        <f t="shared" si="65"/>
        <v/>
      </c>
      <c r="V238" s="115" t="str">
        <f t="shared" si="65"/>
        <v/>
      </c>
      <c r="W238" s="115" t="str">
        <f t="shared" si="65"/>
        <v/>
      </c>
      <c r="X238" s="115" t="str">
        <f t="shared" si="65"/>
        <v/>
      </c>
      <c r="Y238" s="115" t="str">
        <f t="shared" si="65"/>
        <v/>
      </c>
      <c r="Z238" s="115" t="str">
        <f t="shared" si="65"/>
        <v/>
      </c>
      <c r="AA238" s="115" t="str">
        <f t="shared" si="65"/>
        <v/>
      </c>
      <c r="AB238" s="115" t="str">
        <f t="shared" si="65"/>
        <v/>
      </c>
      <c r="AC238" s="115" t="str">
        <f t="shared" si="65"/>
        <v/>
      </c>
      <c r="AD238" s="115" t="str">
        <f t="shared" si="65"/>
        <v/>
      </c>
      <c r="AE238" s="115" t="str">
        <f t="shared" si="65"/>
        <v/>
      </c>
      <c r="AF238" s="115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M37 P39:R39 P40:Q42 R42 R40:T41 U40:Y42 X85:AA91 AB81:AF81 B81:R81 C56:AF56 B82:AF83 D193:AF199 B193:B199 C68:AF72 B84:B91 B73:AF80 B9:AF10 B191:AF191 AG73 AB94:AF99 B94:B99 U212:AF212 B53:B72 C53:C55 B36:M36 C57:L67 M58:N61 M11:O14 M16:O32 N36:O37 M39:O42 Q39:Q42 R58:W59 O58:Q67 P37:R37 R60:R67 P11:S12 S39:S42 S62:S67 T12:W12 N45:W48 AB84:AF91 M53:AF55 Z40:AE43 T11:AF11 X36:AF36 X18:AF30 AF57:AF67">
    <cfRule type="expression" dxfId="1978" priority="274">
      <formula>B$9&gt;=20/24</formula>
    </cfRule>
    <cfRule type="expression" dxfId="1977" priority="275">
      <formula>AND(B$9&gt;=14/24,B$9&lt;20/24)</formula>
    </cfRule>
    <cfRule type="expression" dxfId="1976" priority="276">
      <formula>AND(B$9&gt;=8/24,B$9&lt;14/24)</formula>
    </cfRule>
    <cfRule type="expression" dxfId="1975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974" priority="269">
      <formula>M$9&gt;=20/24</formula>
    </cfRule>
    <cfRule type="expression" dxfId="1973" priority="270">
      <formula>AND(M$9&gt;=14/24,M$9&lt;20/24)</formula>
    </cfRule>
    <cfRule type="expression" dxfId="1972" priority="271">
      <formula>AND(M$9&gt;=8/24,M$9&lt;14/24)</formula>
    </cfRule>
    <cfRule type="expression" dxfId="1971" priority="272">
      <formula>M$9&lt;8/24</formula>
    </cfRule>
  </conditionalFormatting>
  <conditionalFormatting sqref="M43:S43">
    <cfRule type="expression" dxfId="1970" priority="265">
      <formula>M$9&gt;=20/24</formula>
    </cfRule>
    <cfRule type="expression" dxfId="1969" priority="266">
      <formula>AND(M$9&gt;=14/24,M$9&lt;20/24)</formula>
    </cfRule>
    <cfRule type="expression" dxfId="1968" priority="267">
      <formula>AND(M$9&gt;=8/24,M$9&lt;14/24)</formula>
    </cfRule>
    <cfRule type="expression" dxfId="1967" priority="268">
      <formula>M$9&lt;8/24</formula>
    </cfRule>
  </conditionalFormatting>
  <conditionalFormatting sqref="S39:AE39">
    <cfRule type="expression" dxfId="1966" priority="257">
      <formula>S$9&gt;=20/24</formula>
    </cfRule>
    <cfRule type="expression" dxfId="1965" priority="258">
      <formula>AND(S$9&gt;=14/24,S$9&lt;20/24)</formula>
    </cfRule>
    <cfRule type="expression" dxfId="1964" priority="259">
      <formula>AND(S$9&gt;=8/24,S$9&lt;14/24)</formula>
    </cfRule>
    <cfRule type="expression" dxfId="1963" priority="260">
      <formula>S$9&lt;8/24</formula>
    </cfRule>
  </conditionalFormatting>
  <conditionalFormatting sqref="S57:AE57">
    <cfRule type="expression" dxfId="1962" priority="253">
      <formula>S$9&gt;=20/24</formula>
    </cfRule>
    <cfRule type="expression" dxfId="1961" priority="254">
      <formula>AND(S$9&gt;=14/24,S$9&lt;20/24)</formula>
    </cfRule>
    <cfRule type="expression" dxfId="1960" priority="255">
      <formula>AND(S$9&gt;=8/24,S$9&lt;14/24)</formula>
    </cfRule>
    <cfRule type="expression" dxfId="1959" priority="256">
      <formula>S$9&lt;8/24</formula>
    </cfRule>
  </conditionalFormatting>
  <conditionalFormatting sqref="S81:AA81">
    <cfRule type="expression" dxfId="1958" priority="249">
      <formula>S$9&gt;=20/24</formula>
    </cfRule>
    <cfRule type="expression" dxfId="1957" priority="250">
      <formula>AND(S$9&gt;=14/24,S$9&lt;20/24)</formula>
    </cfRule>
    <cfRule type="expression" dxfId="1956" priority="251">
      <formula>AND(S$9&gt;=8/24,S$9&lt;14/24)</formula>
    </cfRule>
    <cfRule type="expression" dxfId="1955" priority="252">
      <formula>S$9&lt;8/24</formula>
    </cfRule>
  </conditionalFormatting>
  <conditionalFormatting sqref="U84:AA84">
    <cfRule type="expression" dxfId="1954" priority="245">
      <formula>U$9&gt;=20/24</formula>
    </cfRule>
    <cfRule type="expression" dxfId="1953" priority="246">
      <formula>AND(U$9&gt;=14/24,U$9&lt;20/24)</formula>
    </cfRule>
    <cfRule type="expression" dxfId="1952" priority="247">
      <formula>AND(U$9&gt;=8/24,U$9&lt;14/24)</formula>
    </cfRule>
    <cfRule type="expression" dxfId="1951" priority="248">
      <formula>U$9&lt;8/24</formula>
    </cfRule>
  </conditionalFormatting>
  <conditionalFormatting sqref="M35:O35">
    <cfRule type="expression" dxfId="1950" priority="241">
      <formula>M$9&gt;=20/24</formula>
    </cfRule>
    <cfRule type="expression" dxfId="1949" priority="242">
      <formula>AND(M$9&gt;=14/24,M$9&lt;20/24)</formula>
    </cfRule>
    <cfRule type="expression" dxfId="1948" priority="243">
      <formula>AND(M$9&gt;=8/24,M$9&lt;14/24)</formula>
    </cfRule>
    <cfRule type="expression" dxfId="1947" priority="244">
      <formula>M$9&lt;8/24</formula>
    </cfRule>
  </conditionalFormatting>
  <conditionalFormatting sqref="M49:W49">
    <cfRule type="expression" dxfId="1946" priority="237">
      <formula>M$9&gt;=20/24</formula>
    </cfRule>
    <cfRule type="expression" dxfId="1945" priority="238">
      <formula>AND(M$9&gt;=14/24,M$9&lt;20/24)</formula>
    </cfRule>
    <cfRule type="expression" dxfId="1944" priority="239">
      <formula>AND(M$9&gt;=8/24,M$9&lt;14/24)</formula>
    </cfRule>
    <cfRule type="expression" dxfId="1943" priority="240">
      <formula>M$9&lt;8/24</formula>
    </cfRule>
  </conditionalFormatting>
  <conditionalFormatting sqref="M50:W50">
    <cfRule type="expression" dxfId="1942" priority="233">
      <formula>M$9&gt;=20/24</formula>
    </cfRule>
    <cfRule type="expression" dxfId="1941" priority="234">
      <formula>AND(M$9&gt;=14/24,M$9&lt;20/24)</formula>
    </cfRule>
    <cfRule type="expression" dxfId="1940" priority="235">
      <formula>AND(M$9&gt;=8/24,M$9&lt;14/24)</formula>
    </cfRule>
    <cfRule type="expression" dxfId="1939" priority="236">
      <formula>M$9&lt;8/24</formula>
    </cfRule>
  </conditionalFormatting>
  <conditionalFormatting sqref="M45:W48">
    <cfRule type="expression" dxfId="1938" priority="229">
      <formula>M$9&gt;=20/24</formula>
    </cfRule>
    <cfRule type="expression" dxfId="1937" priority="230">
      <formula>AND(M$9&gt;=14/24,M$9&lt;20/24)</formula>
    </cfRule>
    <cfRule type="expression" dxfId="1936" priority="231">
      <formula>AND(M$9&gt;=8/24,M$9&lt;14/24)</formula>
    </cfRule>
    <cfRule type="expression" dxfId="1935" priority="232">
      <formula>M$9&lt;8/24</formula>
    </cfRule>
  </conditionalFormatting>
  <conditionalFormatting sqref="S37:AF37">
    <cfRule type="expression" dxfId="1934" priority="225">
      <formula>S$9&gt;=20/24</formula>
    </cfRule>
    <cfRule type="expression" dxfId="1933" priority="226">
      <formula>AND(S$9&gt;=14/24,S$9&lt;20/24)</formula>
    </cfRule>
    <cfRule type="expression" dxfId="1932" priority="227">
      <formula>AND(S$9&gt;=8/24,S$9&lt;14/24)</formula>
    </cfRule>
    <cfRule type="expression" dxfId="1931" priority="228">
      <formula>S$9&lt;8/24</formula>
    </cfRule>
  </conditionalFormatting>
  <conditionalFormatting sqref="X31:AF32 X35:AF35">
    <cfRule type="expression" dxfId="1930" priority="221">
      <formula>X$9&gt;=20/24</formula>
    </cfRule>
    <cfRule type="expression" dxfId="1929" priority="222">
      <formula>AND(X$9&gt;=14/24,X$9&lt;20/24)</formula>
    </cfRule>
    <cfRule type="expression" dxfId="1928" priority="223">
      <formula>AND(X$9&gt;=8/24,X$9&lt;14/24)</formula>
    </cfRule>
    <cfRule type="expression" dxfId="1927" priority="224">
      <formula>X$9&lt;8/24</formula>
    </cfRule>
  </conditionalFormatting>
  <conditionalFormatting sqref="S42:T43 U43:Y43 S45:AE48">
    <cfRule type="expression" dxfId="1926" priority="217">
      <formula>S$9&gt;=20/24</formula>
    </cfRule>
    <cfRule type="expression" dxfId="1925" priority="218">
      <formula>AND(S$9&gt;=14/24,S$9&lt;20/24)</formula>
    </cfRule>
    <cfRule type="expression" dxfId="1924" priority="219">
      <formula>AND(S$9&gt;=8/24,S$9&lt;14/24)</formula>
    </cfRule>
    <cfRule type="expression" dxfId="1923" priority="220">
      <formula>S$9&lt;8/24</formula>
    </cfRule>
  </conditionalFormatting>
  <conditionalFormatting sqref="S49:AE49">
    <cfRule type="expression" dxfId="1922" priority="213">
      <formula>S$9&gt;=20/24</formula>
    </cfRule>
    <cfRule type="expression" dxfId="1921" priority="214">
      <formula>AND(S$9&gt;=14/24,S$9&lt;20/24)</formula>
    </cfRule>
    <cfRule type="expression" dxfId="1920" priority="215">
      <formula>AND(S$9&gt;=8/24,S$9&lt;14/24)</formula>
    </cfRule>
    <cfRule type="expression" dxfId="1919" priority="216">
      <formula>S$9&lt;8/24</formula>
    </cfRule>
  </conditionalFormatting>
  <conditionalFormatting sqref="S50:AE50">
    <cfRule type="expression" dxfId="1918" priority="209">
      <formula>S$9&gt;=20/24</formula>
    </cfRule>
    <cfRule type="expression" dxfId="1917" priority="210">
      <formula>AND(S$9&gt;=14/24,S$9&lt;20/24)</formula>
    </cfRule>
    <cfRule type="expression" dxfId="1916" priority="211">
      <formula>AND(S$9&gt;=8/24,S$9&lt;14/24)</formula>
    </cfRule>
    <cfRule type="expression" dxfId="1915" priority="212">
      <formula>S$9&lt;8/24</formula>
    </cfRule>
  </conditionalFormatting>
  <conditionalFormatting sqref="S60:T61 T62:W67 X60:AE67">
    <cfRule type="expression" dxfId="1914" priority="205">
      <formula>S$9&gt;=20/24</formula>
    </cfRule>
    <cfRule type="expression" dxfId="1913" priority="206">
      <formula>AND(S$9&gt;=14/24,S$9&lt;20/24)</formula>
    </cfRule>
    <cfRule type="expression" dxfId="1912" priority="207">
      <formula>AND(S$9&gt;=8/24,S$9&lt;14/24)</formula>
    </cfRule>
    <cfRule type="expression" dxfId="1911" priority="208">
      <formula>S$9&lt;8/24</formula>
    </cfRule>
  </conditionalFormatting>
  <conditionalFormatting sqref="U94:AA97">
    <cfRule type="expression" dxfId="1910" priority="197">
      <formula>U$9&gt;=20/24</formula>
    </cfRule>
    <cfRule type="expression" dxfId="1909" priority="198">
      <formula>AND(U$9&gt;=14/24,U$9&lt;20/24)</formula>
    </cfRule>
    <cfRule type="expression" dxfId="1908" priority="199">
      <formula>AND(U$9&gt;=8/24,U$9&lt;14/24)</formula>
    </cfRule>
    <cfRule type="expression" dxfId="1907" priority="200">
      <formula>U$9&lt;8/24</formula>
    </cfRule>
  </conditionalFormatting>
  <conditionalFormatting sqref="AG51 M12:M14 C11:M11 B11:B32 C12:L32 M16:O32 N11:O14 B34:O36 P11:S12 T12:W12 X34:AC36 B37:AC37 B38:AF56 T11:AF11 X18:AF32 AD34:AF37">
    <cfRule type="expression" dxfId="1906" priority="196">
      <formula>B11&gt;$AG11</formula>
    </cfRule>
  </conditionalFormatting>
  <conditionalFormatting sqref="A100:A156 A84:A97 A11:A14 A16:A32 A45:A72 A80:A82 A74:A78 A35:A43 A169:A199">
    <cfRule type="expression" dxfId="1905" priority="195">
      <formula>$AH11=0</formula>
    </cfRule>
  </conditionalFormatting>
  <conditionalFormatting sqref="U98:AA98">
    <cfRule type="expression" dxfId="1904" priority="191">
      <formula>U$9&gt;=20/24</formula>
    </cfRule>
    <cfRule type="expression" dxfId="1903" priority="192">
      <formula>AND(U$9&gt;=14/24,U$9&lt;20/24)</formula>
    </cfRule>
    <cfRule type="expression" dxfId="1902" priority="193">
      <formula>AND(U$9&gt;=8/24,U$9&lt;14/24)</formula>
    </cfRule>
    <cfRule type="expression" dxfId="1901" priority="194">
      <formula>U$9&lt;8/24</formula>
    </cfRule>
  </conditionalFormatting>
  <conditionalFormatting sqref="A98">
    <cfRule type="expression" dxfId="1900" priority="190">
      <formula>$AH98=0</formula>
    </cfRule>
  </conditionalFormatting>
  <conditionalFormatting sqref="M62:N67">
    <cfRule type="expression" dxfId="1899" priority="178">
      <formula>M$9&gt;=20/24</formula>
    </cfRule>
    <cfRule type="expression" dxfId="1898" priority="179">
      <formula>AND(M$9&gt;=14/24,M$9&lt;20/24)</formula>
    </cfRule>
    <cfRule type="expression" dxfId="1897" priority="180">
      <formula>AND(M$9&gt;=8/24,M$9&lt;14/24)</formula>
    </cfRule>
    <cfRule type="expression" dxfId="1896" priority="181">
      <formula>M$9&lt;8/24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M34:O34">
    <cfRule type="expression" dxfId="1895" priority="169">
      <formula>M$9&gt;=20/24</formula>
    </cfRule>
    <cfRule type="expression" dxfId="1894" priority="170">
      <formula>AND(M$9&gt;=14/24,M$9&lt;20/24)</formula>
    </cfRule>
    <cfRule type="expression" dxfId="1893" priority="171">
      <formula>AND(M$9&gt;=8/24,M$9&lt;14/24)</formula>
    </cfRule>
    <cfRule type="expression" dxfId="1892" priority="172">
      <formula>M$9&lt;8/24</formula>
    </cfRule>
  </conditionalFormatting>
  <conditionalFormatting sqref="X34:AF34">
    <cfRule type="expression" dxfId="1891" priority="165">
      <formula>X$9&gt;=20/24</formula>
    </cfRule>
    <cfRule type="expression" dxfId="1890" priority="166">
      <formula>AND(X$9&gt;=14/24,X$9&lt;20/24)</formula>
    </cfRule>
    <cfRule type="expression" dxfId="1889" priority="167">
      <formula>AND(X$9&gt;=8/24,X$9&lt;14/24)</formula>
    </cfRule>
    <cfRule type="expression" dxfId="1888" priority="168">
      <formula>X$9&lt;8/24</formula>
    </cfRule>
  </conditionalFormatting>
  <conditionalFormatting sqref="A34">
    <cfRule type="expression" dxfId="1887" priority="164">
      <formula>$AH34=0</formula>
    </cfRule>
  </conditionalFormatting>
  <conditionalFormatting sqref="A83">
    <cfRule type="expression" dxfId="1886" priority="163">
      <formula>$AH83=0</formula>
    </cfRule>
  </conditionalFormatting>
  <conditionalFormatting sqref="M15:O15">
    <cfRule type="expression" dxfId="1885" priority="155">
      <formula>M$9&gt;=20/24</formula>
    </cfRule>
    <cfRule type="expression" dxfId="1884" priority="156">
      <formula>AND(M$9&gt;=14/24,M$9&lt;20/24)</formula>
    </cfRule>
    <cfRule type="expression" dxfId="1883" priority="157">
      <formula>AND(M$9&gt;=8/24,M$9&lt;14/24)</formula>
    </cfRule>
    <cfRule type="expression" dxfId="1882" priority="158">
      <formula>M$9&lt;8/24</formula>
    </cfRule>
  </conditionalFormatting>
  <conditionalFormatting sqref="M15:O15">
    <cfRule type="expression" dxfId="1881" priority="154">
      <formula>M15&gt;$AG15</formula>
    </cfRule>
  </conditionalFormatting>
  <conditionalFormatting sqref="A15">
    <cfRule type="expression" dxfId="1880" priority="153">
      <formula>$AH15=0</formula>
    </cfRule>
  </conditionalFormatting>
  <conditionalFormatting sqref="A163:A168">
    <cfRule type="expression" dxfId="1879" priority="152">
      <formula>$AH163=0</formula>
    </cfRule>
  </conditionalFormatting>
  <conditionalFormatting sqref="A157:A162">
    <cfRule type="expression" dxfId="1878" priority="151">
      <formula>$AH157=0</formula>
    </cfRule>
  </conditionalFormatting>
  <conditionalFormatting sqref="Z44:AE44">
    <cfRule type="expression" dxfId="1877" priority="147">
      <formula>Z$9&gt;=20/24</formula>
    </cfRule>
    <cfRule type="expression" dxfId="1876" priority="148">
      <formula>AND(Z$9&gt;=14/24,Z$9&lt;20/24)</formula>
    </cfRule>
    <cfRule type="expression" dxfId="1875" priority="149">
      <formula>AND(Z$9&gt;=8/24,Z$9&lt;14/24)</formula>
    </cfRule>
    <cfRule type="expression" dxfId="1874" priority="150">
      <formula>Z$9&lt;8/24</formula>
    </cfRule>
  </conditionalFormatting>
  <conditionalFormatting sqref="M44:S44">
    <cfRule type="expression" dxfId="1873" priority="143">
      <formula>M$9&gt;=20/24</formula>
    </cfRule>
    <cfRule type="expression" dxfId="1872" priority="144">
      <formula>AND(M$9&gt;=14/24,M$9&lt;20/24)</formula>
    </cfRule>
    <cfRule type="expression" dxfId="1871" priority="145">
      <formula>AND(M$9&gt;=8/24,M$9&lt;14/24)</formula>
    </cfRule>
    <cfRule type="expression" dxfId="1870" priority="146">
      <formula>M$9&lt;8/24</formula>
    </cfRule>
  </conditionalFormatting>
  <conditionalFormatting sqref="S44:AD44">
    <cfRule type="expression" dxfId="1869" priority="139">
      <formula>S$9&gt;=20/24</formula>
    </cfRule>
    <cfRule type="expression" dxfId="1868" priority="140">
      <formula>AND(S$9&gt;=14/24,S$9&lt;20/24)</formula>
    </cfRule>
    <cfRule type="expression" dxfId="1867" priority="141">
      <formula>AND(S$9&gt;=8/24,S$9&lt;14/24)</formula>
    </cfRule>
    <cfRule type="expression" dxfId="1866" priority="142">
      <formula>S$9&lt;8/24</formula>
    </cfRule>
  </conditionalFormatting>
  <conditionalFormatting sqref="A44">
    <cfRule type="expression" dxfId="1865" priority="138">
      <formula>$AH44=0</formula>
    </cfRule>
  </conditionalFormatting>
  <conditionalFormatting sqref="A79">
    <cfRule type="expression" dxfId="1864" priority="137">
      <formula>$AH79=0</formula>
    </cfRule>
  </conditionalFormatting>
  <conditionalFormatting sqref="A73">
    <cfRule type="expression" dxfId="1863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1862" priority="132">
      <formula>U$9&gt;=20/24</formula>
    </cfRule>
    <cfRule type="expression" dxfId="1861" priority="133">
      <formula>AND(U$9&gt;=14/24,U$9&lt;20/24)</formula>
    </cfRule>
    <cfRule type="expression" dxfId="1860" priority="134">
      <formula>AND(U$9&gt;=8/24,U$9&lt;14/24)</formula>
    </cfRule>
    <cfRule type="expression" dxfId="1859" priority="135">
      <formula>U$9&lt;8/24</formula>
    </cfRule>
  </conditionalFormatting>
  <conditionalFormatting sqref="U85:W91">
    <cfRule type="expression" dxfId="1858" priority="128">
      <formula>U$9&gt;=20/24</formula>
    </cfRule>
    <cfRule type="expression" dxfId="1857" priority="129">
      <formula>AND(U$9&gt;=14/24,U$9&lt;20/24)</formula>
    </cfRule>
    <cfRule type="expression" dxfId="1856" priority="130">
      <formula>AND(U$9&gt;=8/24,U$9&lt;14/24)</formula>
    </cfRule>
    <cfRule type="expression" dxfId="1855" priority="131">
      <formula>U$9&lt;8/24</formula>
    </cfRule>
  </conditionalFormatting>
  <conditionalFormatting sqref="S85:T91 C84:R91">
    <cfRule type="expression" dxfId="1854" priority="124">
      <formula>C$9&gt;=20/24</formula>
    </cfRule>
    <cfRule type="expression" dxfId="1853" priority="125">
      <formula>AND(C$9&gt;=14/24,C$9&lt;20/24)</formula>
    </cfRule>
    <cfRule type="expression" dxfId="1852" priority="126">
      <formula>AND(C$9&gt;=8/24,C$9&lt;14/24)</formula>
    </cfRule>
    <cfRule type="expression" dxfId="1851" priority="127">
      <formula>C$9&lt;8/24</formula>
    </cfRule>
  </conditionalFormatting>
  <conditionalFormatting sqref="S84:T84">
    <cfRule type="expression" dxfId="1850" priority="120">
      <formula>S$9&gt;=20/24</formula>
    </cfRule>
    <cfRule type="expression" dxfId="1849" priority="121">
      <formula>AND(S$9&gt;=14/24,S$9&lt;20/24)</formula>
    </cfRule>
    <cfRule type="expression" dxfId="1848" priority="122">
      <formula>AND(S$9&gt;=8/24,S$9&lt;14/24)</formula>
    </cfRule>
    <cfRule type="expression" dxfId="1847" priority="123">
      <formula>S$9&lt;8/24</formula>
    </cfRule>
  </conditionalFormatting>
  <conditionalFormatting sqref="C94:F94 C95:O97">
    <cfRule type="expression" dxfId="1846" priority="116">
      <formula>C$9&gt;=20/24</formula>
    </cfRule>
    <cfRule type="expression" dxfId="1845" priority="117">
      <formula>AND(C$9&gt;=14/24,C$9&lt;20/24)</formula>
    </cfRule>
    <cfRule type="expression" dxfId="1844" priority="118">
      <formula>AND(C$9&gt;=8/24,C$9&lt;14/24)</formula>
    </cfRule>
    <cfRule type="expression" dxfId="1843" priority="119">
      <formula>C$9&lt;8/24</formula>
    </cfRule>
  </conditionalFormatting>
  <conditionalFormatting sqref="P94:R97">
    <cfRule type="expression" dxfId="1842" priority="112">
      <formula>P$9&gt;=20/24</formula>
    </cfRule>
    <cfRule type="expression" dxfId="1841" priority="113">
      <formula>AND(P$9&gt;=14/24,P$9&lt;20/24)</formula>
    </cfRule>
    <cfRule type="expression" dxfId="1840" priority="114">
      <formula>AND(P$9&gt;=8/24,P$9&lt;14/24)</formula>
    </cfRule>
    <cfRule type="expression" dxfId="1839" priority="115">
      <formula>P$9&lt;8/24</formula>
    </cfRule>
  </conditionalFormatting>
  <conditionalFormatting sqref="S94:T97">
    <cfRule type="expression" dxfId="1838" priority="108">
      <formula>S$9&gt;=20/24</formula>
    </cfRule>
    <cfRule type="expression" dxfId="1837" priority="109">
      <formula>AND(S$9&gt;=14/24,S$9&lt;20/24)</formula>
    </cfRule>
    <cfRule type="expression" dxfId="1836" priority="110">
      <formula>AND(S$9&gt;=8/24,S$9&lt;14/24)</formula>
    </cfRule>
    <cfRule type="expression" dxfId="1835" priority="111">
      <formula>S$9&lt;8/24</formula>
    </cfRule>
  </conditionalFormatting>
  <conditionalFormatting sqref="C98:O98">
    <cfRule type="expression" dxfId="1834" priority="104">
      <formula>C$9&gt;=20/24</formula>
    </cfRule>
    <cfRule type="expression" dxfId="1833" priority="105">
      <formula>AND(C$9&gt;=14/24,C$9&lt;20/24)</formula>
    </cfRule>
    <cfRule type="expression" dxfId="1832" priority="106">
      <formula>AND(C$9&gt;=8/24,C$9&lt;14/24)</formula>
    </cfRule>
    <cfRule type="expression" dxfId="1831" priority="107">
      <formula>C$9&lt;8/24</formula>
    </cfRule>
  </conditionalFormatting>
  <conditionalFormatting sqref="P98:R98">
    <cfRule type="expression" dxfId="1830" priority="100">
      <formula>P$9&gt;=20/24</formula>
    </cfRule>
    <cfRule type="expression" dxfId="1829" priority="101">
      <formula>AND(P$9&gt;=14/24,P$9&lt;20/24)</formula>
    </cfRule>
    <cfRule type="expression" dxfId="1828" priority="102">
      <formula>AND(P$9&gt;=8/24,P$9&lt;14/24)</formula>
    </cfRule>
    <cfRule type="expression" dxfId="1827" priority="103">
      <formula>P$9&lt;8/24</formula>
    </cfRule>
  </conditionalFormatting>
  <conditionalFormatting sqref="S98:T98">
    <cfRule type="expression" dxfId="1826" priority="96">
      <formula>S$9&gt;=20/24</formula>
    </cfRule>
    <cfRule type="expression" dxfId="1825" priority="97">
      <formula>AND(S$9&gt;=14/24,S$9&lt;20/24)</formula>
    </cfRule>
    <cfRule type="expression" dxfId="1824" priority="98">
      <formula>AND(S$9&gt;=8/24,S$9&lt;14/24)</formula>
    </cfRule>
    <cfRule type="expression" dxfId="1823" priority="99">
      <formula>S$9&lt;8/24</formula>
    </cfRule>
  </conditionalFormatting>
  <conditionalFormatting sqref="M94:O94">
    <cfRule type="expression" dxfId="1822" priority="92">
      <formula>M$9&gt;=20/24</formula>
    </cfRule>
    <cfRule type="expression" dxfId="1821" priority="93">
      <formula>AND(M$9&gt;=14/24,M$9&lt;20/24)</formula>
    </cfRule>
    <cfRule type="expression" dxfId="1820" priority="94">
      <formula>AND(M$9&gt;=8/24,M$9&lt;14/24)</formula>
    </cfRule>
    <cfRule type="expression" dxfId="1819" priority="95">
      <formula>M$9&lt;8/24</formula>
    </cfRule>
  </conditionalFormatting>
  <conditionalFormatting sqref="G94:L94">
    <cfRule type="expression" dxfId="1818" priority="88">
      <formula>G$9&gt;=20/24</formula>
    </cfRule>
    <cfRule type="expression" dxfId="1817" priority="89">
      <formula>AND(G$9&gt;=14/24,G$9&lt;20/24)</formula>
    </cfRule>
    <cfRule type="expression" dxfId="1816" priority="90">
      <formula>AND(G$9&gt;=8/24,G$9&lt;14/24)</formula>
    </cfRule>
    <cfRule type="expression" dxfId="1815" priority="91">
      <formula>G$9&lt;8/24</formula>
    </cfRule>
  </conditionalFormatting>
  <conditionalFormatting sqref="U94:W94">
    <cfRule type="expression" dxfId="1814" priority="84">
      <formula>U$9&gt;=20/24</formula>
    </cfRule>
    <cfRule type="expression" dxfId="1813" priority="85">
      <formula>AND(U$9&gt;=14/24,U$9&lt;20/24)</formula>
    </cfRule>
    <cfRule type="expression" dxfId="1812" priority="86">
      <formula>AND(U$9&gt;=8/24,U$9&lt;14/24)</formula>
    </cfRule>
    <cfRule type="expression" dxfId="1811" priority="87">
      <formula>U$9&lt;8/24</formula>
    </cfRule>
  </conditionalFormatting>
  <conditionalFormatting sqref="P94:T94">
    <cfRule type="expression" dxfId="1810" priority="80">
      <formula>P$9&gt;=20/24</formula>
    </cfRule>
    <cfRule type="expression" dxfId="1809" priority="81">
      <formula>AND(P$9&gt;=14/24,P$9&lt;20/24)</formula>
    </cfRule>
    <cfRule type="expression" dxfId="1808" priority="82">
      <formula>AND(P$9&gt;=8/24,P$9&lt;14/24)</formula>
    </cfRule>
    <cfRule type="expression" dxfId="1807" priority="83">
      <formula>P$9&lt;8/24</formula>
    </cfRule>
  </conditionalFormatting>
  <conditionalFormatting sqref="U99:AA99">
    <cfRule type="expression" dxfId="1806" priority="76">
      <formula>U$9&gt;=20/24</formula>
    </cfRule>
    <cfRule type="expression" dxfId="1805" priority="77">
      <formula>AND(U$9&gt;=14/24,U$9&lt;20/24)</formula>
    </cfRule>
    <cfRule type="expression" dxfId="1804" priority="78">
      <formula>AND(U$9&gt;=8/24,U$9&lt;14/24)</formula>
    </cfRule>
    <cfRule type="expression" dxfId="1803" priority="79">
      <formula>U$9&lt;8/24</formula>
    </cfRule>
  </conditionalFormatting>
  <conditionalFormatting sqref="C99:O99">
    <cfRule type="expression" dxfId="1802" priority="72">
      <formula>C$9&gt;=20/24</formula>
    </cfRule>
    <cfRule type="expression" dxfId="1801" priority="73">
      <formula>AND(C$9&gt;=14/24,C$9&lt;20/24)</formula>
    </cfRule>
    <cfRule type="expression" dxfId="1800" priority="74">
      <formula>AND(C$9&gt;=8/24,C$9&lt;14/24)</formula>
    </cfRule>
    <cfRule type="expression" dxfId="1799" priority="75">
      <formula>C$9&lt;8/24</formula>
    </cfRule>
  </conditionalFormatting>
  <conditionalFormatting sqref="P99:R99">
    <cfRule type="expression" dxfId="1798" priority="68">
      <formula>P$9&gt;=20/24</formula>
    </cfRule>
    <cfRule type="expression" dxfId="1797" priority="69">
      <formula>AND(P$9&gt;=14/24,P$9&lt;20/24)</formula>
    </cfRule>
    <cfRule type="expression" dxfId="1796" priority="70">
      <formula>AND(P$9&gt;=8/24,P$9&lt;14/24)</formula>
    </cfRule>
    <cfRule type="expression" dxfId="1795" priority="71">
      <formula>P$9&lt;8/24</formula>
    </cfRule>
  </conditionalFormatting>
  <conditionalFormatting sqref="S99:T99">
    <cfRule type="expression" dxfId="1794" priority="64">
      <formula>S$9&gt;=20/24</formula>
    </cfRule>
    <cfRule type="expression" dxfId="1793" priority="65">
      <formula>AND(S$9&gt;=14/24,S$9&lt;20/24)</formula>
    </cfRule>
    <cfRule type="expression" dxfId="1792" priority="66">
      <formula>AND(S$9&gt;=8/24,S$9&lt;14/24)</formula>
    </cfRule>
    <cfRule type="expression" dxfId="1791" priority="67">
      <formula>S$9&lt;8/24</formula>
    </cfRule>
  </conditionalFormatting>
  <conditionalFormatting sqref="X12:AF16">
    <cfRule type="expression" dxfId="1790" priority="60">
      <formula>X$9&gt;=20/24</formula>
    </cfRule>
    <cfRule type="expression" dxfId="1789" priority="61">
      <formula>AND(X$9&gt;=14/24,X$9&lt;20/24)</formula>
    </cfRule>
    <cfRule type="expression" dxfId="1788" priority="62">
      <formula>AND(X$9&gt;=8/24,X$9&lt;14/24)</formula>
    </cfRule>
    <cfRule type="expression" dxfId="1787" priority="63">
      <formula>X$9&lt;8/24</formula>
    </cfRule>
  </conditionalFormatting>
  <conditionalFormatting sqref="X17:AF17">
    <cfRule type="expression" dxfId="1786" priority="56">
      <formula>X$9&gt;=20/24</formula>
    </cfRule>
    <cfRule type="expression" dxfId="1785" priority="57">
      <formula>AND(X$9&gt;=14/24,X$9&lt;20/24)</formula>
    </cfRule>
    <cfRule type="expression" dxfId="1784" priority="58">
      <formula>AND(X$9&gt;=8/24,X$9&lt;14/24)</formula>
    </cfRule>
    <cfRule type="expression" dxfId="1783" priority="59">
      <formula>X$9&lt;8/24</formula>
    </cfRule>
  </conditionalFormatting>
  <conditionalFormatting sqref="X12:AF13">
    <cfRule type="expression" dxfId="1782" priority="52">
      <formula>X$9&gt;=20/24</formula>
    </cfRule>
    <cfRule type="expression" dxfId="1781" priority="53">
      <formula>AND(X$9&gt;=14/24,X$9&lt;20/24)</formula>
    </cfRule>
    <cfRule type="expression" dxfId="1780" priority="54">
      <formula>AND(X$9&gt;=8/24,X$9&lt;14/24)</formula>
    </cfRule>
    <cfRule type="expression" dxfId="1779" priority="55">
      <formula>X$9&lt;8/24</formula>
    </cfRule>
  </conditionalFormatting>
  <conditionalFormatting sqref="AB58:AE59">
    <cfRule type="expression" dxfId="1778" priority="48">
      <formula>AB$9&gt;=20/24</formula>
    </cfRule>
    <cfRule type="expression" dxfId="1777" priority="49">
      <formula>AND(AB$9&gt;=14/24,AB$9&lt;20/24)</formula>
    </cfRule>
    <cfRule type="expression" dxfId="1776" priority="50">
      <formula>AND(AB$9&gt;=8/24,AB$9&lt;14/24)</formula>
    </cfRule>
    <cfRule type="expression" dxfId="1775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774" priority="281">
      <formula>C$9&gt;=20/24</formula>
    </cfRule>
    <cfRule type="expression" dxfId="1773" priority="282">
      <formula>AND(C$9&gt;=14/24,C$9&lt;20/24)</formula>
    </cfRule>
    <cfRule type="expression" dxfId="1772" priority="283">
      <formula>AND(C$9&gt;=8/24,C$9&lt;14/24)</formula>
    </cfRule>
    <cfRule type="expression" dxfId="1771" priority="284">
      <formula>C$9&lt;8/24</formula>
    </cfRule>
  </conditionalFormatting>
  <conditionalFormatting sqref="A200">
    <cfRule type="expression" dxfId="1770" priority="285">
      <formula>$AH200=0</formula>
    </cfRule>
  </conditionalFormatting>
  <conditionalFormatting sqref="AG212">
    <cfRule type="expression" dxfId="1769" priority="286">
      <formula>B$9&gt;=20/24</formula>
    </cfRule>
    <cfRule type="expression" dxfId="1768" priority="287">
      <formula>AND(B$9&gt;=14/24,B$9&lt;20/24)</formula>
    </cfRule>
    <cfRule type="expression" dxfId="1767" priority="288">
      <formula>AND(B$9&gt;=8/24,B$9&lt;14/24)</formula>
    </cfRule>
    <cfRule type="expression" dxfId="1766" priority="289">
      <formula>B$9&lt;8/24</formula>
    </cfRule>
  </conditionalFormatting>
  <conditionalFormatting sqref="S8">
    <cfRule type="expression" dxfId="1765" priority="42">
      <formula>U$9&gt;=20/24</formula>
    </cfRule>
    <cfRule type="expression" dxfId="1764" priority="43">
      <formula>AND(U$9&gt;=14/24,U$9&lt;20/24)</formula>
    </cfRule>
    <cfRule type="expression" dxfId="1763" priority="44">
      <formula>AND(U$9&gt;=8/24,U$9&lt;14/24)</formula>
    </cfRule>
    <cfRule type="expression" dxfId="1762" priority="45">
      <formula>U$9&lt;8/24</formula>
    </cfRule>
  </conditionalFormatting>
  <conditionalFormatting sqref="AB8">
    <cfRule type="expression" dxfId="1761" priority="38">
      <formula>AD$9&gt;=20/24</formula>
    </cfRule>
    <cfRule type="expression" dxfId="1760" priority="39">
      <formula>AND(AD$9&gt;=14/24,AD$9&lt;20/24)</formula>
    </cfRule>
    <cfRule type="expression" dxfId="1759" priority="40">
      <formula>AND(AD$9&gt;=8/24,AD$9&lt;14/24)</formula>
    </cfRule>
    <cfRule type="expression" dxfId="1758" priority="41">
      <formula>AD$9&lt;8/24</formula>
    </cfRule>
  </conditionalFormatting>
  <conditionalFormatting sqref="AH212:AX212">
    <cfRule type="expression" dxfId="1757" priority="290">
      <formula>AG$9&gt;=20/24</formula>
    </cfRule>
    <cfRule type="expression" dxfId="1756" priority="291">
      <formula>AND(AG$9&gt;=14/24,AG$9&lt;20/24)</formula>
    </cfRule>
    <cfRule type="expression" dxfId="1755" priority="292">
      <formula>AND(AG$9&gt;=8/24,AG$9&lt;14/24)</formula>
    </cfRule>
    <cfRule type="expression" dxfId="1754" priority="293">
      <formula>AG$9&lt;8/24</formula>
    </cfRule>
  </conditionalFormatting>
  <conditionalFormatting sqref="T212">
    <cfRule type="expression" dxfId="1753" priority="294">
      <formula>AX$9&gt;=20/24</formula>
    </cfRule>
    <cfRule type="expression" dxfId="1752" priority="295">
      <formula>AND(AX$9&gt;=14/24,AX$9&lt;20/24)</formula>
    </cfRule>
    <cfRule type="expression" dxfId="1751" priority="296">
      <formula>AND(AX$9&gt;=8/24,AX$9&lt;14/24)</formula>
    </cfRule>
    <cfRule type="expression" dxfId="1750" priority="297">
      <formula>AX$9&lt;8/24</formula>
    </cfRule>
  </conditionalFormatting>
  <conditionalFormatting sqref="A99">
    <cfRule type="expression" dxfId="1749" priority="37">
      <formula>$AH99=0</formula>
    </cfRule>
  </conditionalFormatting>
  <conditionalFormatting sqref="M33:O33">
    <cfRule type="expression" dxfId="1748" priority="33">
      <formula>M$9&gt;=20/24</formula>
    </cfRule>
    <cfRule type="expression" dxfId="1747" priority="34">
      <formula>AND(M$9&gt;=14/24,M$9&lt;20/24)</formula>
    </cfRule>
    <cfRule type="expression" dxfId="1746" priority="35">
      <formula>AND(M$9&gt;=8/24,M$9&lt;14/24)</formula>
    </cfRule>
    <cfRule type="expression" dxfId="1745" priority="36">
      <formula>M$9&lt;8/24</formula>
    </cfRule>
  </conditionalFormatting>
  <conditionalFormatting sqref="X33:AF33">
    <cfRule type="expression" dxfId="1744" priority="25">
      <formula>X$9&gt;=20/24</formula>
    </cfRule>
    <cfRule type="expression" dxfId="1743" priority="26">
      <formula>AND(X$9&gt;=14/24,X$9&lt;20/24)</formula>
    </cfRule>
    <cfRule type="expression" dxfId="1742" priority="27">
      <formula>AND(X$9&gt;=8/24,X$9&lt;14/24)</formula>
    </cfRule>
    <cfRule type="expression" dxfId="1741" priority="28">
      <formula>X$9&lt;8/24</formula>
    </cfRule>
  </conditionalFormatting>
  <conditionalFormatting sqref="B33:O33 X33:AF33">
    <cfRule type="expression" dxfId="1740" priority="24">
      <formula>B33&gt;$AG33</formula>
    </cfRule>
  </conditionalFormatting>
  <conditionalFormatting sqref="P13:W14 P16:W32 P36:W36">
    <cfRule type="expression" dxfId="1739" priority="20">
      <formula>P$9&gt;=20/24</formula>
    </cfRule>
    <cfRule type="expression" dxfId="1738" priority="21">
      <formula>AND(P$9&gt;=14/24,P$9&lt;20/24)</formula>
    </cfRule>
    <cfRule type="expression" dxfId="1737" priority="22">
      <formula>AND(P$9&gt;=8/24,P$9&lt;14/24)</formula>
    </cfRule>
    <cfRule type="expression" dxfId="1736" priority="23">
      <formula>P$9&lt;8/24</formula>
    </cfRule>
  </conditionalFormatting>
  <conditionalFormatting sqref="P35:W35">
    <cfRule type="expression" dxfId="1735" priority="16">
      <formula>P$9&gt;=20/24</formula>
    </cfRule>
    <cfRule type="expression" dxfId="1734" priority="17">
      <formula>AND(P$9&gt;=14/24,P$9&lt;20/24)</formula>
    </cfRule>
    <cfRule type="expression" dxfId="1733" priority="18">
      <formula>AND(P$9&gt;=8/24,P$9&lt;14/24)</formula>
    </cfRule>
    <cfRule type="expression" dxfId="1732" priority="19">
      <formula>P$9&lt;8/24</formula>
    </cfRule>
  </conditionalFormatting>
  <conditionalFormatting sqref="P16:W32 P13:W14 P34:W36">
    <cfRule type="expression" dxfId="1731" priority="15">
      <formula>P13&gt;$AG13</formula>
    </cfRule>
  </conditionalFormatting>
  <conditionalFormatting sqref="P34:W34">
    <cfRule type="expression" dxfId="1730" priority="11">
      <formula>P$9&gt;=20/24</formula>
    </cfRule>
    <cfRule type="expression" dxfId="1729" priority="12">
      <formula>AND(P$9&gt;=14/24,P$9&lt;20/24)</formula>
    </cfRule>
    <cfRule type="expression" dxfId="1728" priority="13">
      <formula>AND(P$9&gt;=8/24,P$9&lt;14/24)</formula>
    </cfRule>
    <cfRule type="expression" dxfId="1727" priority="14">
      <formula>P$9&lt;8/24</formula>
    </cfRule>
  </conditionalFormatting>
  <conditionalFormatting sqref="P15:W15">
    <cfRule type="expression" dxfId="1726" priority="7">
      <formula>P$9&gt;=20/24</formula>
    </cfRule>
    <cfRule type="expression" dxfId="1725" priority="8">
      <formula>AND(P$9&gt;=14/24,P$9&lt;20/24)</formula>
    </cfRule>
    <cfRule type="expression" dxfId="1724" priority="9">
      <formula>AND(P$9&gt;=8/24,P$9&lt;14/24)</formula>
    </cfRule>
    <cfRule type="expression" dxfId="1723" priority="10">
      <formula>P$9&lt;8/24</formula>
    </cfRule>
  </conditionalFormatting>
  <conditionalFormatting sqref="P15:W15">
    <cfRule type="expression" dxfId="1722" priority="6">
      <formula>P15&gt;$AG15</formula>
    </cfRule>
  </conditionalFormatting>
  <conditionalFormatting sqref="P33:W33">
    <cfRule type="expression" dxfId="1721" priority="2">
      <formula>P$9&gt;=20/24</formula>
    </cfRule>
    <cfRule type="expression" dxfId="1720" priority="3">
      <formula>AND(P$9&gt;=14/24,P$9&lt;20/24)</formula>
    </cfRule>
    <cfRule type="expression" dxfId="1719" priority="4">
      <formula>AND(P$9&gt;=8/24,P$9&lt;14/24)</formula>
    </cfRule>
    <cfRule type="expression" dxfId="1718" priority="5">
      <formula>P$9&lt;8/24</formula>
    </cfRule>
  </conditionalFormatting>
  <conditionalFormatting sqref="P33:W33">
    <cfRule type="expression" dxfId="1717" priority="1">
      <formula>P33&gt;$AG33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DBAD6789-A2A5-4AC1-9270-FA3EDB64BEC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B41" activePane="bottomRight" state="frozen"/>
      <selection activeCell="AF12" sqref="AF12"/>
      <selection pane="topRight" activeCell="AF12" sqref="AF12"/>
      <selection pane="bottomLeft" activeCell="AF12" sqref="AF12"/>
      <selection pane="bottomRight" activeCell="AF12" sqref="AF1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9.140625" customWidth="1"/>
    <col min="12" max="13" width="6.425781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9" width="6.85546875" customWidth="1"/>
    <col min="30" max="30" width="6.28515625" bestFit="1" customWidth="1"/>
    <col min="31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2078/09/27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233</v>
      </c>
      <c r="C5" s="32">
        <f t="shared" si="0"/>
        <v>230</v>
      </c>
      <c r="D5" s="32">
        <f t="shared" si="0"/>
        <v>187</v>
      </c>
      <c r="E5" s="32">
        <f t="shared" si="0"/>
        <v>191</v>
      </c>
      <c r="F5" s="32">
        <f t="shared" si="0"/>
        <v>236.5</v>
      </c>
      <c r="G5" s="32">
        <f t="shared" si="0"/>
        <v>290</v>
      </c>
      <c r="H5" s="32">
        <f t="shared" si="0"/>
        <v>274</v>
      </c>
      <c r="I5" s="32">
        <f t="shared" si="0"/>
        <v>383</v>
      </c>
      <c r="J5" s="32">
        <f t="shared" si="0"/>
        <v>190</v>
      </c>
      <c r="K5" s="32">
        <f t="shared" si="0"/>
        <v>175.5</v>
      </c>
      <c r="L5" s="32">
        <f t="shared" si="0"/>
        <v>182</v>
      </c>
      <c r="M5" s="32">
        <f t="shared" si="0"/>
        <v>255.5</v>
      </c>
      <c r="N5" s="32">
        <f t="shared" si="0"/>
        <v>430.1</v>
      </c>
      <c r="O5" s="32">
        <f t="shared" si="0"/>
        <v>415.90000000000003</v>
      </c>
      <c r="P5" s="32">
        <f t="shared" si="0"/>
        <v>417.8</v>
      </c>
      <c r="Q5" s="32">
        <f t="shared" si="0"/>
        <v>430</v>
      </c>
      <c r="R5" s="32">
        <f t="shared" si="0"/>
        <v>455</v>
      </c>
      <c r="S5" s="32">
        <f t="shared" si="0"/>
        <v>526.6</v>
      </c>
      <c r="T5" s="32">
        <f t="shared" si="0"/>
        <v>519.20000000000005</v>
      </c>
      <c r="U5" s="32">
        <f t="shared" si="0"/>
        <v>526.6</v>
      </c>
      <c r="V5" s="32">
        <f t="shared" si="0"/>
        <v>357.9</v>
      </c>
      <c r="W5" s="32">
        <f t="shared" si="0"/>
        <v>217.1</v>
      </c>
      <c r="X5" s="32">
        <f t="shared" si="0"/>
        <v>207.3</v>
      </c>
      <c r="Y5" s="32">
        <f t="shared" si="0"/>
        <v>199</v>
      </c>
      <c r="Z5" s="32">
        <f t="shared" si="0"/>
        <v>385</v>
      </c>
      <c r="AA5" s="32">
        <f t="shared" si="0"/>
        <v>425.29999999999995</v>
      </c>
      <c r="AB5" s="32">
        <f t="shared" si="0"/>
        <v>410.99999999999994</v>
      </c>
      <c r="AC5" s="32">
        <f t="shared" si="0"/>
        <v>442.09999999999997</v>
      </c>
      <c r="AD5" s="32">
        <f t="shared" si="0"/>
        <v>387.7</v>
      </c>
      <c r="AE5" s="32">
        <f t="shared" si="0"/>
        <v>249.1</v>
      </c>
      <c r="AF5" s="32">
        <f>B68</f>
        <v>215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1471MW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Load=874</v>
      </c>
      <c r="B7" s="37">
        <f>B75</f>
        <v>935.44</v>
      </c>
      <c r="C7" s="37">
        <f t="shared" ref="C7:AF7" si="1">C75</f>
        <v>906.54</v>
      </c>
      <c r="D7" s="37">
        <f t="shared" si="1"/>
        <v>887.83999999999992</v>
      </c>
      <c r="E7" s="37">
        <f t="shared" si="1"/>
        <v>874.43999999999994</v>
      </c>
      <c r="F7" s="37">
        <f t="shared" si="1"/>
        <v>888.43999999999994</v>
      </c>
      <c r="G7" s="37">
        <f t="shared" si="1"/>
        <v>953.93999999999994</v>
      </c>
      <c r="H7" s="37">
        <f t="shared" si="1"/>
        <v>998.2399999999999</v>
      </c>
      <c r="I7" s="37">
        <f t="shared" si="1"/>
        <v>1153.04</v>
      </c>
      <c r="J7" s="37">
        <f t="shared" si="1"/>
        <v>1280.04</v>
      </c>
      <c r="K7" s="37">
        <f t="shared" si="1"/>
        <v>1398.94</v>
      </c>
      <c r="L7" s="37">
        <f t="shared" si="1"/>
        <v>1452.6399999999999</v>
      </c>
      <c r="M7" s="37">
        <f t="shared" si="1"/>
        <v>1470.8400000000001</v>
      </c>
      <c r="N7" s="37">
        <f t="shared" si="1"/>
        <v>1434.2400000000002</v>
      </c>
      <c r="O7" s="37">
        <f t="shared" si="1"/>
        <v>1384.3400000000001</v>
      </c>
      <c r="P7" s="37">
        <f t="shared" si="1"/>
        <v>1273.04</v>
      </c>
      <c r="Q7" s="37">
        <f t="shared" si="1"/>
        <v>1239.44</v>
      </c>
      <c r="R7" s="37">
        <f t="shared" si="1"/>
        <v>1191.8389999999999</v>
      </c>
      <c r="S7" s="37">
        <f t="shared" si="1"/>
        <v>1353.1399999999999</v>
      </c>
      <c r="T7" s="37">
        <f t="shared" si="1"/>
        <v>1349.44</v>
      </c>
      <c r="U7" s="37">
        <f t="shared" si="1"/>
        <v>1355.5400000000002</v>
      </c>
      <c r="V7" s="37">
        <f t="shared" si="1"/>
        <v>1342.64</v>
      </c>
      <c r="W7" s="37">
        <f t="shared" si="1"/>
        <v>1419.34</v>
      </c>
      <c r="X7" s="37">
        <f t="shared" si="1"/>
        <v>1509.84</v>
      </c>
      <c r="Y7" s="37">
        <f t="shared" si="1"/>
        <v>1568.84</v>
      </c>
      <c r="Z7" s="37">
        <f t="shared" si="1"/>
        <v>1474.54</v>
      </c>
      <c r="AA7" s="37">
        <f t="shared" si="1"/>
        <v>1525.54</v>
      </c>
      <c r="AB7" s="37">
        <f t="shared" si="1"/>
        <v>1457.74</v>
      </c>
      <c r="AC7" s="37">
        <f t="shared" si="1"/>
        <v>1282.44</v>
      </c>
      <c r="AD7" s="37">
        <f t="shared" si="1"/>
        <v>1215.3399999999999</v>
      </c>
      <c r="AE7" s="37">
        <f t="shared" si="1"/>
        <v>1033.04</v>
      </c>
      <c r="AF7" s="37">
        <f t="shared" si="1"/>
        <v>899.83999999999992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50</v>
      </c>
      <c r="C11" s="49">
        <v>20</v>
      </c>
      <c r="D11" s="49">
        <v>20</v>
      </c>
      <c r="E11" s="49">
        <v>20</v>
      </c>
      <c r="F11" s="49">
        <v>20</v>
      </c>
      <c r="G11" s="49">
        <v>40</v>
      </c>
      <c r="H11" s="49">
        <v>40</v>
      </c>
      <c r="I11" s="49">
        <v>100</v>
      </c>
      <c r="J11" s="49">
        <v>80</v>
      </c>
      <c r="K11" s="49">
        <v>300</v>
      </c>
      <c r="L11" s="49">
        <v>330</v>
      </c>
      <c r="M11" s="50">
        <v>370</v>
      </c>
      <c r="N11" s="50">
        <v>300</v>
      </c>
      <c r="O11" s="50">
        <v>100</v>
      </c>
      <c r="P11" s="50">
        <v>60</v>
      </c>
      <c r="Q11" s="50">
        <v>60</v>
      </c>
      <c r="R11" s="51">
        <v>60</v>
      </c>
      <c r="S11" s="51">
        <v>60</v>
      </c>
      <c r="T11" s="51">
        <v>30</v>
      </c>
      <c r="U11" s="50">
        <v>50</v>
      </c>
      <c r="V11" s="50">
        <v>30</v>
      </c>
      <c r="W11" s="50">
        <v>210</v>
      </c>
      <c r="X11" s="50">
        <v>400</v>
      </c>
      <c r="Y11" s="50">
        <v>420</v>
      </c>
      <c r="Z11" s="50">
        <v>340</v>
      </c>
      <c r="AA11" s="50">
        <v>205</v>
      </c>
      <c r="AB11" s="50">
        <v>120</v>
      </c>
      <c r="AC11" s="50">
        <v>40</v>
      </c>
      <c r="AD11" s="50">
        <v>21</v>
      </c>
      <c r="AE11" s="50">
        <v>15</v>
      </c>
      <c r="AF11" s="50">
        <v>15</v>
      </c>
      <c r="AG11" s="53">
        <v>456</v>
      </c>
      <c r="AH11" s="54">
        <f>MAX(B11:AF11)</f>
        <v>420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44</v>
      </c>
      <c r="C12" s="58">
        <v>44</v>
      </c>
      <c r="D12" s="58">
        <v>44</v>
      </c>
      <c r="E12" s="58">
        <v>44</v>
      </c>
      <c r="F12" s="58">
        <v>44</v>
      </c>
      <c r="G12" s="58">
        <v>44</v>
      </c>
      <c r="H12" s="58">
        <v>44</v>
      </c>
      <c r="I12" s="58">
        <v>44</v>
      </c>
      <c r="J12" s="58">
        <v>44</v>
      </c>
      <c r="K12" s="58">
        <v>44</v>
      </c>
      <c r="L12" s="58">
        <v>44</v>
      </c>
      <c r="M12" s="58">
        <v>42</v>
      </c>
      <c r="N12" s="58">
        <v>42</v>
      </c>
      <c r="O12" s="58">
        <v>42</v>
      </c>
      <c r="P12" s="58">
        <v>42</v>
      </c>
      <c r="Q12" s="58">
        <v>42</v>
      </c>
      <c r="R12" s="49">
        <v>42</v>
      </c>
      <c r="S12" s="49">
        <v>42</v>
      </c>
      <c r="T12" s="49">
        <v>42</v>
      </c>
      <c r="U12" s="49">
        <v>42</v>
      </c>
      <c r="V12" s="49">
        <v>42</v>
      </c>
      <c r="W12" s="49">
        <v>42</v>
      </c>
      <c r="X12" s="49">
        <v>42</v>
      </c>
      <c r="Y12" s="58">
        <v>42</v>
      </c>
      <c r="Z12" s="58">
        <v>42</v>
      </c>
      <c r="AA12" s="58">
        <v>42</v>
      </c>
      <c r="AB12" s="58">
        <v>40</v>
      </c>
      <c r="AC12" s="58">
        <v>40</v>
      </c>
      <c r="AD12" s="58">
        <v>40</v>
      </c>
      <c r="AE12" s="58">
        <v>40</v>
      </c>
      <c r="AF12" s="58">
        <v>40</v>
      </c>
      <c r="AG12" s="59">
        <v>60</v>
      </c>
      <c r="AH12" s="54">
        <f t="shared" ref="AH12:AH75" si="2">MAX(B12:AF12)</f>
        <v>44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23.9</v>
      </c>
      <c r="C13" s="58">
        <v>23.6</v>
      </c>
      <c r="D13" s="58">
        <v>23.6</v>
      </c>
      <c r="E13" s="58">
        <v>23.6</v>
      </c>
      <c r="F13" s="58">
        <v>23.6</v>
      </c>
      <c r="G13" s="58">
        <v>23.6</v>
      </c>
      <c r="H13" s="58">
        <v>23.6</v>
      </c>
      <c r="I13" s="58">
        <v>23.6</v>
      </c>
      <c r="J13" s="58">
        <v>23.6</v>
      </c>
      <c r="K13" s="58">
        <v>23.6</v>
      </c>
      <c r="L13" s="58">
        <v>23.6</v>
      </c>
      <c r="M13" s="58">
        <v>24</v>
      </c>
      <c r="N13" s="58">
        <v>24</v>
      </c>
      <c r="O13" s="58">
        <v>24</v>
      </c>
      <c r="P13" s="58">
        <v>24</v>
      </c>
      <c r="Q13" s="58">
        <v>24</v>
      </c>
      <c r="R13" s="49">
        <v>23</v>
      </c>
      <c r="S13" s="49">
        <v>23</v>
      </c>
      <c r="T13" s="49">
        <v>23</v>
      </c>
      <c r="U13" s="49">
        <v>23</v>
      </c>
      <c r="V13" s="49">
        <v>23</v>
      </c>
      <c r="W13" s="49">
        <v>23</v>
      </c>
      <c r="X13" s="49">
        <v>23</v>
      </c>
      <c r="Y13" s="58">
        <v>23</v>
      </c>
      <c r="Z13" s="58">
        <v>23</v>
      </c>
      <c r="AA13" s="58">
        <v>23</v>
      </c>
      <c r="AB13" s="58">
        <v>23</v>
      </c>
      <c r="AC13" s="58">
        <v>23</v>
      </c>
      <c r="AD13" s="58">
        <v>23</v>
      </c>
      <c r="AE13" s="58">
        <v>23</v>
      </c>
      <c r="AF13" s="58">
        <v>23</v>
      </c>
      <c r="AG13" s="59">
        <v>52.4</v>
      </c>
      <c r="AH13" s="54">
        <f t="shared" si="2"/>
        <v>24</v>
      </c>
      <c r="AI13" s="55">
        <f t="shared" si="3"/>
        <v>23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45</v>
      </c>
      <c r="C14" s="60">
        <v>45.1</v>
      </c>
      <c r="D14" s="60">
        <v>44.9</v>
      </c>
      <c r="E14" s="60">
        <v>44.9</v>
      </c>
      <c r="F14" s="60">
        <v>44.9</v>
      </c>
      <c r="G14" s="60">
        <v>44.9</v>
      </c>
      <c r="H14" s="60">
        <v>44.9</v>
      </c>
      <c r="I14" s="60">
        <v>44.9</v>
      </c>
      <c r="J14" s="60">
        <v>44.9</v>
      </c>
      <c r="K14" s="60">
        <v>44.9</v>
      </c>
      <c r="L14" s="60">
        <v>44.9</v>
      </c>
      <c r="M14" s="60">
        <v>44.5</v>
      </c>
      <c r="N14" s="60">
        <v>44.5</v>
      </c>
      <c r="O14" s="60">
        <v>44.5</v>
      </c>
      <c r="P14" s="60">
        <v>44.5</v>
      </c>
      <c r="Q14" s="60">
        <v>44.5</v>
      </c>
      <c r="R14" s="50">
        <v>45</v>
      </c>
      <c r="S14" s="50">
        <v>45</v>
      </c>
      <c r="T14" s="50">
        <v>45</v>
      </c>
      <c r="U14" s="50">
        <v>45</v>
      </c>
      <c r="V14" s="50">
        <v>45</v>
      </c>
      <c r="W14" s="50">
        <v>45</v>
      </c>
      <c r="X14" s="50">
        <v>42</v>
      </c>
      <c r="Y14" s="60">
        <v>42</v>
      </c>
      <c r="Z14" s="60">
        <v>42</v>
      </c>
      <c r="AA14" s="60">
        <v>42</v>
      </c>
      <c r="AB14" s="60">
        <v>41.8</v>
      </c>
      <c r="AC14" s="60">
        <v>41.8</v>
      </c>
      <c r="AD14" s="60">
        <v>41.8</v>
      </c>
      <c r="AE14" s="60">
        <v>41.8</v>
      </c>
      <c r="AF14" s="60">
        <v>41.8</v>
      </c>
      <c r="AG14" s="59">
        <v>50</v>
      </c>
      <c r="AH14" s="54">
        <f t="shared" si="2"/>
        <v>45.1</v>
      </c>
      <c r="AI14" s="55">
        <f t="shared" si="3"/>
        <v>41.8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23.7</v>
      </c>
      <c r="C15" s="60">
        <v>23.7</v>
      </c>
      <c r="D15" s="60">
        <v>23.7</v>
      </c>
      <c r="E15" s="60">
        <v>23.7</v>
      </c>
      <c r="F15" s="60">
        <v>23.7</v>
      </c>
      <c r="G15" s="60">
        <v>23.7</v>
      </c>
      <c r="H15" s="60">
        <v>23.7</v>
      </c>
      <c r="I15" s="60">
        <v>23.7</v>
      </c>
      <c r="J15" s="60">
        <v>23.7</v>
      </c>
      <c r="K15" s="60">
        <v>23.7</v>
      </c>
      <c r="L15" s="60">
        <v>23.7</v>
      </c>
      <c r="M15" s="60">
        <v>23.6</v>
      </c>
      <c r="N15" s="60">
        <v>23.6</v>
      </c>
      <c r="O15" s="60">
        <v>23.6</v>
      </c>
      <c r="P15" s="60">
        <v>23.6</v>
      </c>
      <c r="Q15" s="60">
        <v>23.6</v>
      </c>
      <c r="R15" s="60">
        <v>23.6</v>
      </c>
      <c r="S15" s="60">
        <v>23.6</v>
      </c>
      <c r="T15" s="60">
        <v>23.6</v>
      </c>
      <c r="U15" s="60">
        <v>23.6</v>
      </c>
      <c r="V15" s="60">
        <v>23.6</v>
      </c>
      <c r="W15" s="60">
        <v>23.6</v>
      </c>
      <c r="X15" s="60">
        <v>23.6</v>
      </c>
      <c r="Y15" s="60">
        <v>23.6</v>
      </c>
      <c r="Z15" s="60">
        <v>23.6</v>
      </c>
      <c r="AA15" s="60">
        <v>23.6</v>
      </c>
      <c r="AB15" s="60">
        <v>23.8</v>
      </c>
      <c r="AC15" s="60">
        <v>23.8</v>
      </c>
      <c r="AD15" s="60">
        <v>23.8</v>
      </c>
      <c r="AE15" s="60">
        <v>23.8</v>
      </c>
      <c r="AF15" s="60">
        <v>23.8</v>
      </c>
      <c r="AG15" s="62">
        <v>45</v>
      </c>
      <c r="AH15" s="54">
        <f t="shared" si="2"/>
        <v>23.8</v>
      </c>
      <c r="AI15" s="55">
        <f t="shared" si="3"/>
        <v>23.6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>
        <v>12</v>
      </c>
      <c r="M16" s="63">
        <v>12</v>
      </c>
      <c r="N16" s="63">
        <v>12</v>
      </c>
      <c r="O16" s="63">
        <v>12</v>
      </c>
      <c r="P16" s="63">
        <v>12</v>
      </c>
      <c r="Q16" s="63">
        <v>12</v>
      </c>
      <c r="R16" s="63">
        <v>12</v>
      </c>
      <c r="S16" s="63">
        <v>12</v>
      </c>
      <c r="T16" s="63">
        <v>12</v>
      </c>
      <c r="U16" s="63">
        <v>12</v>
      </c>
      <c r="V16" s="63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11</v>
      </c>
      <c r="C17" s="60">
        <v>11</v>
      </c>
      <c r="D17" s="60">
        <v>11</v>
      </c>
      <c r="E17" s="60">
        <v>11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60">
        <v>11</v>
      </c>
      <c r="N17" s="60">
        <v>11</v>
      </c>
      <c r="O17" s="60">
        <v>11</v>
      </c>
      <c r="P17" s="60">
        <v>11</v>
      </c>
      <c r="Q17" s="60">
        <v>11</v>
      </c>
      <c r="R17" s="60">
        <v>11</v>
      </c>
      <c r="S17" s="60">
        <v>11</v>
      </c>
      <c r="T17" s="60">
        <v>11</v>
      </c>
      <c r="U17" s="60">
        <v>11</v>
      </c>
      <c r="V17" s="60">
        <v>11</v>
      </c>
      <c r="W17" s="60">
        <v>11</v>
      </c>
      <c r="X17" s="6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9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14.3</v>
      </c>
      <c r="C22" s="50">
        <v>13.5</v>
      </c>
      <c r="D22" s="50">
        <v>13.5</v>
      </c>
      <c r="E22" s="50">
        <v>13.5</v>
      </c>
      <c r="F22" s="50">
        <v>13.5</v>
      </c>
      <c r="G22" s="50">
        <v>13.5</v>
      </c>
      <c r="H22" s="50">
        <v>13.5</v>
      </c>
      <c r="I22" s="50">
        <v>13.5</v>
      </c>
      <c r="J22" s="50">
        <v>13.5</v>
      </c>
      <c r="K22" s="50">
        <v>13.5</v>
      </c>
      <c r="L22" s="50">
        <v>13.5</v>
      </c>
      <c r="M22" s="50">
        <v>12.6</v>
      </c>
      <c r="N22" s="50">
        <v>12.6</v>
      </c>
      <c r="O22" s="50">
        <v>12.6</v>
      </c>
      <c r="P22" s="50">
        <v>12.6</v>
      </c>
      <c r="Q22" s="50">
        <v>12.6</v>
      </c>
      <c r="R22" s="50">
        <v>12.6</v>
      </c>
      <c r="S22" s="50">
        <v>12.6</v>
      </c>
      <c r="T22" s="50">
        <v>12.6</v>
      </c>
      <c r="U22" s="50">
        <v>12.6</v>
      </c>
      <c r="V22" s="50">
        <v>12.6</v>
      </c>
      <c r="W22" s="50">
        <v>12.6</v>
      </c>
      <c r="X22" s="50">
        <v>12.6</v>
      </c>
      <c r="Y22" s="50">
        <v>19.899999999999999</v>
      </c>
      <c r="Z22" s="50">
        <v>19.899999999999999</v>
      </c>
      <c r="AA22" s="50">
        <v>19.899999999999999</v>
      </c>
      <c r="AB22" s="50">
        <v>19.899999999999999</v>
      </c>
      <c r="AC22" s="50">
        <v>19.899999999999999</v>
      </c>
      <c r="AD22" s="50">
        <v>19.899999999999999</v>
      </c>
      <c r="AE22" s="50">
        <v>19.899999999999999</v>
      </c>
      <c r="AF22" s="50">
        <v>19.899999999999999</v>
      </c>
      <c r="AG22" s="59">
        <v>25</v>
      </c>
      <c r="AH22" s="54">
        <f t="shared" si="2"/>
        <v>19.899999999999999</v>
      </c>
      <c r="AI22" s="55">
        <f t="shared" si="3"/>
        <v>12.6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9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15</v>
      </c>
      <c r="C24" s="50">
        <v>15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0">
        <v>13</v>
      </c>
      <c r="M24" s="50">
        <v>11.3</v>
      </c>
      <c r="N24" s="50">
        <v>11.3</v>
      </c>
      <c r="O24" s="50">
        <v>11.3</v>
      </c>
      <c r="P24" s="50">
        <v>11.3</v>
      </c>
      <c r="Q24" s="50">
        <v>10.9</v>
      </c>
      <c r="R24" s="50">
        <v>10.9</v>
      </c>
      <c r="S24" s="50">
        <v>10.9</v>
      </c>
      <c r="T24" s="50">
        <v>10.9</v>
      </c>
      <c r="U24" s="50">
        <v>10.9</v>
      </c>
      <c r="V24" s="50">
        <v>10.9</v>
      </c>
      <c r="W24" s="50">
        <v>10.9</v>
      </c>
      <c r="X24" s="50">
        <v>10.9</v>
      </c>
      <c r="Y24" s="50">
        <v>10.9</v>
      </c>
      <c r="Z24" s="50">
        <v>10.9</v>
      </c>
      <c r="AA24" s="50">
        <v>10.9</v>
      </c>
      <c r="AB24" s="50">
        <v>11.3</v>
      </c>
      <c r="AC24" s="50">
        <v>11.3</v>
      </c>
      <c r="AD24" s="50">
        <v>11.3</v>
      </c>
      <c r="AE24" s="50">
        <v>11.3</v>
      </c>
      <c r="AF24" s="50">
        <v>11.3</v>
      </c>
      <c r="AG24" s="59">
        <v>25</v>
      </c>
      <c r="AH24" s="54">
        <f t="shared" si="2"/>
        <v>15</v>
      </c>
      <c r="AI24" s="55">
        <f t="shared" si="3"/>
        <v>10.9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11</v>
      </c>
      <c r="C25" s="50">
        <v>11</v>
      </c>
      <c r="D25" s="50">
        <v>11</v>
      </c>
      <c r="E25" s="50">
        <v>11</v>
      </c>
      <c r="F25" s="50">
        <v>11</v>
      </c>
      <c r="G25" s="50">
        <v>11</v>
      </c>
      <c r="H25" s="50">
        <v>11</v>
      </c>
      <c r="I25" s="50">
        <v>11</v>
      </c>
      <c r="J25" s="50">
        <v>11</v>
      </c>
      <c r="K25" s="50">
        <v>11</v>
      </c>
      <c r="L25" s="50">
        <v>11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11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9.5</v>
      </c>
      <c r="C26" s="50">
        <v>9.5</v>
      </c>
      <c r="D26" s="50">
        <v>9.5</v>
      </c>
      <c r="E26" s="50">
        <v>9.5</v>
      </c>
      <c r="F26" s="50">
        <v>9.5</v>
      </c>
      <c r="G26" s="50">
        <v>9.5</v>
      </c>
      <c r="H26" s="50">
        <v>9.5</v>
      </c>
      <c r="I26" s="50">
        <v>9.5</v>
      </c>
      <c r="J26" s="50">
        <v>9.5</v>
      </c>
      <c r="K26" s="50">
        <v>9.5</v>
      </c>
      <c r="L26" s="50">
        <v>9.5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59">
        <v>20</v>
      </c>
      <c r="AH26" s="54">
        <f t="shared" si="2"/>
        <v>9.5</v>
      </c>
      <c r="AI26" s="55">
        <f t="shared" si="3"/>
        <v>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9">
        <v>23.5</v>
      </c>
      <c r="AH27" s="54">
        <f t="shared" si="2"/>
        <v>4.5</v>
      </c>
      <c r="AI27" s="55">
        <f t="shared" si="3"/>
        <v>4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5</v>
      </c>
      <c r="C34" s="50">
        <v>5</v>
      </c>
      <c r="D34" s="50">
        <v>5</v>
      </c>
      <c r="E34" s="50">
        <v>5</v>
      </c>
      <c r="F34" s="50">
        <v>5</v>
      </c>
      <c r="G34" s="50">
        <v>5</v>
      </c>
      <c r="H34" s="50">
        <v>5</v>
      </c>
      <c r="I34" s="50">
        <v>5</v>
      </c>
      <c r="J34" s="50">
        <v>5</v>
      </c>
      <c r="K34" s="50">
        <v>5</v>
      </c>
      <c r="L34" s="50">
        <v>5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5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19.6+35.7</f>
        <v>55.300000000000004</v>
      </c>
      <c r="C37" s="70">
        <f>19.6+35.6</f>
        <v>55.2</v>
      </c>
      <c r="D37" s="70">
        <f>19.7+35.9</f>
        <v>55.599999999999994</v>
      </c>
      <c r="E37" s="70">
        <f>19.7+35.9</f>
        <v>55.599999999999994</v>
      </c>
      <c r="F37" s="61">
        <f>36.3+19.8</f>
        <v>56.099999999999994</v>
      </c>
      <c r="G37" s="61">
        <f>36.3+19.8</f>
        <v>56.099999999999994</v>
      </c>
      <c r="H37" s="61">
        <f>36.3+19.8</f>
        <v>56.099999999999994</v>
      </c>
      <c r="I37" s="61">
        <v>55.2</v>
      </c>
      <c r="J37" s="61">
        <v>55</v>
      </c>
      <c r="K37" s="61">
        <v>55</v>
      </c>
      <c r="L37" s="61">
        <v>55</v>
      </c>
      <c r="M37" s="70">
        <f>19.2+34</f>
        <v>53.2</v>
      </c>
      <c r="N37" s="70">
        <f>19.4+34.9</f>
        <v>54.3</v>
      </c>
      <c r="O37" s="70">
        <f>19.5+35.7</f>
        <v>55.2</v>
      </c>
      <c r="P37" s="70">
        <v>54</v>
      </c>
      <c r="Q37" s="70">
        <f>19.8+36.1</f>
        <v>55.900000000000006</v>
      </c>
      <c r="R37" s="70">
        <f>19.8+36.1</f>
        <v>55.900000000000006</v>
      </c>
      <c r="S37" s="70">
        <f>19.8+36.1</f>
        <v>55.900000000000006</v>
      </c>
      <c r="T37" s="70">
        <f>19.8+36.1</f>
        <v>55.900000000000006</v>
      </c>
      <c r="U37" s="70">
        <f>34.8+19</f>
        <v>53.8</v>
      </c>
      <c r="V37" s="70">
        <f>34.8+19</f>
        <v>53.8</v>
      </c>
      <c r="W37" s="70">
        <f>34.8+19</f>
        <v>53.8</v>
      </c>
      <c r="X37" s="70">
        <f>31.8+17.6</f>
        <v>49.400000000000006</v>
      </c>
      <c r="Y37" s="70">
        <v>49</v>
      </c>
      <c r="Z37" s="70">
        <v>49</v>
      </c>
      <c r="AA37" s="70">
        <v>49</v>
      </c>
      <c r="AB37" s="70">
        <f>18.4+34.3</f>
        <v>52.699999999999996</v>
      </c>
      <c r="AC37" s="70">
        <f>18.4+34.3</f>
        <v>52.699999999999996</v>
      </c>
      <c r="AD37" s="70">
        <f>18.8+35.1</f>
        <v>53.900000000000006</v>
      </c>
      <c r="AE37" s="70">
        <f>18.8+35.1</f>
        <v>53.900000000000006</v>
      </c>
      <c r="AF37" s="70">
        <f>18.8+35.1</f>
        <v>53.900000000000006</v>
      </c>
      <c r="AG37" s="67">
        <v>240</v>
      </c>
      <c r="AH37" s="54">
        <f t="shared" si="2"/>
        <v>56.099999999999994</v>
      </c>
      <c r="AI37" s="55">
        <f t="shared" si="3"/>
        <v>49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490.1</v>
      </c>
      <c r="C38" s="72">
        <f t="shared" ref="C38:AF38" si="5">SUM(C11:C36)</f>
        <v>459.09999999999997</v>
      </c>
      <c r="D38" s="72">
        <f t="shared" si="5"/>
        <v>456.9</v>
      </c>
      <c r="E38" s="72">
        <f t="shared" si="5"/>
        <v>456.9</v>
      </c>
      <c r="F38" s="72">
        <f t="shared" si="5"/>
        <v>456.9</v>
      </c>
      <c r="G38" s="72">
        <f t="shared" si="5"/>
        <v>476.9</v>
      </c>
      <c r="H38" s="72">
        <f t="shared" si="5"/>
        <v>476.9</v>
      </c>
      <c r="I38" s="72">
        <f t="shared" si="5"/>
        <v>536.9</v>
      </c>
      <c r="J38" s="72">
        <f t="shared" si="5"/>
        <v>516.9</v>
      </c>
      <c r="K38" s="72">
        <f t="shared" si="5"/>
        <v>736.9</v>
      </c>
      <c r="L38" s="72">
        <f t="shared" si="5"/>
        <v>766.9</v>
      </c>
      <c r="M38" s="72">
        <f t="shared" si="5"/>
        <v>796.40000000000009</v>
      </c>
      <c r="N38" s="72">
        <f t="shared" si="5"/>
        <v>726.40000000000009</v>
      </c>
      <c r="O38" s="72">
        <f t="shared" si="5"/>
        <v>526.40000000000009</v>
      </c>
      <c r="P38" s="72">
        <f t="shared" si="5"/>
        <v>486.4</v>
      </c>
      <c r="Q38" s="72">
        <f t="shared" si="5"/>
        <v>485.99999999999994</v>
      </c>
      <c r="R38" s="72">
        <f t="shared" si="5"/>
        <v>485.49999999999994</v>
      </c>
      <c r="S38" s="72">
        <f t="shared" si="5"/>
        <v>485.49999999999994</v>
      </c>
      <c r="T38" s="72">
        <f t="shared" si="5"/>
        <v>455.49999999999994</v>
      </c>
      <c r="U38" s="72">
        <f t="shared" si="5"/>
        <v>475.49999999999994</v>
      </c>
      <c r="V38" s="72">
        <f t="shared" si="5"/>
        <v>455.49999999999994</v>
      </c>
      <c r="W38" s="72">
        <f t="shared" si="5"/>
        <v>635.5</v>
      </c>
      <c r="X38" s="72">
        <v>825.6</v>
      </c>
      <c r="Y38" s="72">
        <v>849.80000000000007</v>
      </c>
      <c r="Z38" s="72">
        <f t="shared" si="5"/>
        <v>769.8</v>
      </c>
      <c r="AA38" s="72">
        <f t="shared" si="5"/>
        <v>634.79999999999995</v>
      </c>
      <c r="AB38" s="72">
        <f t="shared" si="5"/>
        <v>548.20000000000005</v>
      </c>
      <c r="AC38" s="72">
        <f t="shared" si="5"/>
        <v>468.2</v>
      </c>
      <c r="AD38" s="72">
        <f t="shared" si="5"/>
        <v>449.2</v>
      </c>
      <c r="AE38" s="72">
        <f t="shared" si="5"/>
        <v>443.2</v>
      </c>
      <c r="AF38" s="72">
        <f t="shared" si="5"/>
        <v>443.2</v>
      </c>
      <c r="AG38" s="67">
        <f>SUM(AG11:AG37)</f>
        <v>1492.8299999999997</v>
      </c>
      <c r="AH38" s="54">
        <f t="shared" si="2"/>
        <v>849.80000000000007</v>
      </c>
      <c r="AI38" s="55">
        <f t="shared" si="3"/>
        <v>443.2</v>
      </c>
      <c r="AK38" s="56"/>
    </row>
    <row r="39" spans="1:88" x14ac:dyDescent="0.25">
      <c r="A39" s="57" t="s">
        <v>47</v>
      </c>
      <c r="B39" s="49">
        <v>48.9</v>
      </c>
      <c r="C39" s="61">
        <v>45</v>
      </c>
      <c r="D39" s="61">
        <v>30</v>
      </c>
      <c r="E39" s="61">
        <v>30</v>
      </c>
      <c r="F39" s="61">
        <v>30</v>
      </c>
      <c r="G39" s="61">
        <v>30</v>
      </c>
      <c r="H39" s="61">
        <v>30</v>
      </c>
      <c r="I39" s="61">
        <v>92</v>
      </c>
      <c r="J39" s="61">
        <v>120</v>
      </c>
      <c r="K39" s="61">
        <v>145.69999999999999</v>
      </c>
      <c r="L39" s="61">
        <v>145.69999999999999</v>
      </c>
      <c r="M39" s="61">
        <v>145.6</v>
      </c>
      <c r="N39" s="50">
        <v>143.30000000000001</v>
      </c>
      <c r="O39" s="50">
        <v>140</v>
      </c>
      <c r="P39" s="50">
        <v>122</v>
      </c>
      <c r="Q39" s="50">
        <v>97.4</v>
      </c>
      <c r="R39" s="50">
        <v>85</v>
      </c>
      <c r="S39" s="50">
        <v>113</v>
      </c>
      <c r="T39" s="50">
        <v>80</v>
      </c>
      <c r="U39" s="50">
        <v>76</v>
      </c>
      <c r="V39" s="50">
        <v>78</v>
      </c>
      <c r="W39" s="50">
        <v>102</v>
      </c>
      <c r="X39" s="50">
        <v>128</v>
      </c>
      <c r="Y39" s="50">
        <v>145.19999999999999</v>
      </c>
      <c r="Z39" s="50">
        <v>145.19999999999999</v>
      </c>
      <c r="AA39" s="50">
        <v>145.19999999999999</v>
      </c>
      <c r="AB39" s="50">
        <v>125.5</v>
      </c>
      <c r="AC39" s="50">
        <v>91.7</v>
      </c>
      <c r="AD39" s="50">
        <v>70.400000000000006</v>
      </c>
      <c r="AE39" s="50">
        <v>30.8</v>
      </c>
      <c r="AF39" s="49">
        <v>0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30</v>
      </c>
      <c r="F40" s="61">
        <v>35</v>
      </c>
      <c r="G40" s="61">
        <v>35</v>
      </c>
      <c r="H40" s="61">
        <v>35.6</v>
      </c>
      <c r="I40" s="61">
        <v>51</v>
      </c>
      <c r="J40" s="61">
        <v>60</v>
      </c>
      <c r="K40" s="61">
        <v>71.2</v>
      </c>
      <c r="L40" s="61">
        <v>71.2</v>
      </c>
      <c r="M40" s="61">
        <v>70.3</v>
      </c>
      <c r="N40" s="73">
        <v>61.1</v>
      </c>
      <c r="O40" s="73">
        <v>60</v>
      </c>
      <c r="P40" s="73">
        <v>44.8</v>
      </c>
      <c r="Q40" s="73">
        <v>34.299999999999997</v>
      </c>
      <c r="R40" s="73">
        <v>35</v>
      </c>
      <c r="S40" s="73">
        <v>33</v>
      </c>
      <c r="T40" s="73">
        <v>35</v>
      </c>
      <c r="U40" s="73">
        <v>34.799999999999997</v>
      </c>
      <c r="V40" s="73">
        <v>34</v>
      </c>
      <c r="W40" s="73">
        <v>44.7</v>
      </c>
      <c r="X40" s="73">
        <v>70.3</v>
      </c>
      <c r="Y40" s="73">
        <v>70.3</v>
      </c>
      <c r="Z40" s="73">
        <v>70.3</v>
      </c>
      <c r="AA40" s="73">
        <v>70.3</v>
      </c>
      <c r="AB40" s="73">
        <v>70</v>
      </c>
      <c r="AC40" s="73">
        <v>50.8</v>
      </c>
      <c r="AD40" s="73">
        <v>52</v>
      </c>
      <c r="AE40" s="73">
        <v>35.1</v>
      </c>
      <c r="AF40" s="61">
        <v>32.9</v>
      </c>
      <c r="AG40" s="67">
        <v>70</v>
      </c>
      <c r="AH40" s="54">
        <f t="shared" si="2"/>
        <v>71.2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67.400000000000006</v>
      </c>
      <c r="C41" s="61">
        <v>55.8</v>
      </c>
      <c r="D41" s="61">
        <v>55.8</v>
      </c>
      <c r="E41" s="61">
        <v>45.4</v>
      </c>
      <c r="F41" s="61">
        <v>45.4</v>
      </c>
      <c r="G41" s="61">
        <v>45.4</v>
      </c>
      <c r="H41" s="61">
        <v>35.6</v>
      </c>
      <c r="I41" s="61">
        <v>61</v>
      </c>
      <c r="J41" s="61">
        <v>55</v>
      </c>
      <c r="K41" s="61">
        <v>66</v>
      </c>
      <c r="L41" s="61">
        <v>66</v>
      </c>
      <c r="M41" s="61">
        <v>51.2</v>
      </c>
      <c r="N41" s="73">
        <v>31.8</v>
      </c>
      <c r="O41" s="73">
        <v>16.100000000000001</v>
      </c>
      <c r="P41" s="73">
        <v>16.7</v>
      </c>
      <c r="Q41" s="73">
        <v>16.5</v>
      </c>
      <c r="R41" s="73">
        <v>16.998999999999999</v>
      </c>
      <c r="S41" s="73">
        <v>45.8</v>
      </c>
      <c r="T41" s="73">
        <v>38</v>
      </c>
      <c r="U41" s="73">
        <v>34.299999999999997</v>
      </c>
      <c r="V41" s="73">
        <v>33</v>
      </c>
      <c r="W41" s="73">
        <v>52.6</v>
      </c>
      <c r="X41" s="73">
        <v>66.7</v>
      </c>
      <c r="Y41" s="73">
        <v>66.599999999999994</v>
      </c>
      <c r="Z41" s="73">
        <v>66.599999999999994</v>
      </c>
      <c r="AA41" s="73">
        <v>66.599999999999994</v>
      </c>
      <c r="AB41" s="73">
        <v>66.599999999999994</v>
      </c>
      <c r="AC41" s="73">
        <v>52.4</v>
      </c>
      <c r="AD41" s="73">
        <v>33.9</v>
      </c>
      <c r="AE41" s="73">
        <v>24.6</v>
      </c>
      <c r="AF41" s="61">
        <v>44.3</v>
      </c>
      <c r="AG41" s="67">
        <v>69</v>
      </c>
      <c r="AH41" s="54">
        <f t="shared" si="2"/>
        <v>67.400000000000006</v>
      </c>
      <c r="AI41" s="55">
        <f t="shared" si="3"/>
        <v>16.100000000000001</v>
      </c>
      <c r="AK41" s="56"/>
    </row>
    <row r="42" spans="1:88" x14ac:dyDescent="0.25">
      <c r="A42" s="66" t="s">
        <v>50</v>
      </c>
      <c r="B42" s="61">
        <v>58.9</v>
      </c>
      <c r="C42" s="61">
        <v>58.9</v>
      </c>
      <c r="D42" s="61">
        <v>60.4</v>
      </c>
      <c r="E42" s="61">
        <v>60.4</v>
      </c>
      <c r="F42" s="61">
        <v>60.4</v>
      </c>
      <c r="G42" s="61">
        <v>60.4</v>
      </c>
      <c r="H42" s="61">
        <v>60.4</v>
      </c>
      <c r="I42" s="61">
        <v>60.4</v>
      </c>
      <c r="J42" s="61">
        <v>60.4</v>
      </c>
      <c r="K42" s="61">
        <v>60.4</v>
      </c>
      <c r="L42" s="61">
        <v>60.4</v>
      </c>
      <c r="M42" s="61">
        <v>59.5</v>
      </c>
      <c r="N42" s="73">
        <v>59.5</v>
      </c>
      <c r="O42" s="73">
        <v>59.2</v>
      </c>
      <c r="P42" s="73">
        <v>58.9</v>
      </c>
      <c r="Q42" s="73">
        <v>58.9</v>
      </c>
      <c r="R42" s="73">
        <v>55</v>
      </c>
      <c r="S42" s="73">
        <v>55</v>
      </c>
      <c r="T42" s="73">
        <v>56</v>
      </c>
      <c r="U42" s="73">
        <v>56.2</v>
      </c>
      <c r="V42" s="73">
        <v>56</v>
      </c>
      <c r="W42" s="73">
        <v>56.2</v>
      </c>
      <c r="X42" s="73">
        <v>56.4</v>
      </c>
      <c r="Y42" s="73">
        <v>56.7</v>
      </c>
      <c r="Z42" s="73">
        <v>56.7</v>
      </c>
      <c r="AA42" s="73">
        <v>56.7</v>
      </c>
      <c r="AB42" s="73">
        <v>58.3</v>
      </c>
      <c r="AC42" s="73">
        <v>60.2</v>
      </c>
      <c r="AD42" s="73">
        <v>60.2</v>
      </c>
      <c r="AE42" s="73">
        <v>60.2</v>
      </c>
      <c r="AF42" s="61">
        <v>60.7</v>
      </c>
      <c r="AG42" s="67">
        <v>60</v>
      </c>
      <c r="AH42" s="54">
        <f t="shared" si="2"/>
        <v>60.7</v>
      </c>
      <c r="AI42" s="55">
        <f t="shared" si="3"/>
        <v>55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15</v>
      </c>
      <c r="G43" s="61">
        <v>15</v>
      </c>
      <c r="H43" s="61">
        <v>15</v>
      </c>
      <c r="I43" s="61">
        <v>23</v>
      </c>
      <c r="J43" s="61">
        <v>30</v>
      </c>
      <c r="K43" s="61">
        <v>28</v>
      </c>
      <c r="L43" s="61">
        <v>30</v>
      </c>
      <c r="M43" s="61">
        <v>28.9</v>
      </c>
      <c r="N43" s="50">
        <v>27.9</v>
      </c>
      <c r="O43" s="50">
        <v>14.7</v>
      </c>
      <c r="P43" s="50">
        <v>10.199999999999999</v>
      </c>
      <c r="Q43" s="50">
        <v>10.9</v>
      </c>
      <c r="R43" s="50">
        <v>0</v>
      </c>
      <c r="S43" s="50">
        <v>15</v>
      </c>
      <c r="T43" s="50">
        <v>15</v>
      </c>
      <c r="U43" s="50">
        <v>15</v>
      </c>
      <c r="V43" s="50">
        <v>15</v>
      </c>
      <c r="W43" s="50">
        <v>27</v>
      </c>
      <c r="X43" s="50">
        <v>20.9</v>
      </c>
      <c r="Y43" s="50">
        <v>30</v>
      </c>
      <c r="Z43" s="50">
        <v>24</v>
      </c>
      <c r="AA43" s="50">
        <v>24</v>
      </c>
      <c r="AB43" s="50">
        <v>24</v>
      </c>
      <c r="AC43" s="50">
        <v>24</v>
      </c>
      <c r="AD43" s="50">
        <v>9.5</v>
      </c>
      <c r="AE43" s="50">
        <v>0</v>
      </c>
      <c r="AF43" s="61">
        <v>15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74">
        <v>18</v>
      </c>
      <c r="N45" s="74">
        <v>18</v>
      </c>
      <c r="O45" s="74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61">
        <v>3.2</v>
      </c>
      <c r="N46" s="61">
        <v>3.2</v>
      </c>
      <c r="O46" s="61">
        <v>3.2</v>
      </c>
      <c r="P46" s="50">
        <v>3.2</v>
      </c>
      <c r="Q46" s="50">
        <v>3.2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3.2</v>
      </c>
      <c r="AG46" s="67">
        <v>15</v>
      </c>
      <c r="AH46" s="54">
        <f t="shared" si="2"/>
        <v>3.2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74">
        <v>6.4</v>
      </c>
      <c r="D48" s="74">
        <v>6.4</v>
      </c>
      <c r="E48" s="74">
        <v>6.4</v>
      </c>
      <c r="F48" s="74">
        <v>6.4</v>
      </c>
      <c r="G48" s="74">
        <v>6.4</v>
      </c>
      <c r="H48" s="74">
        <v>6.4</v>
      </c>
      <c r="I48" s="74">
        <v>6.4</v>
      </c>
      <c r="J48" s="74">
        <v>6.4</v>
      </c>
      <c r="K48" s="74">
        <v>6.4</v>
      </c>
      <c r="L48" s="74">
        <v>6.4</v>
      </c>
      <c r="M48" s="74">
        <v>6.4</v>
      </c>
      <c r="N48" s="74">
        <v>6.4</v>
      </c>
      <c r="O48" s="74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6.6</v>
      </c>
      <c r="C49" s="61">
        <v>6.6</v>
      </c>
      <c r="D49" s="61">
        <v>6.6</v>
      </c>
      <c r="E49" s="61">
        <v>6.6</v>
      </c>
      <c r="F49" s="61">
        <v>6.6</v>
      </c>
      <c r="G49" s="61">
        <v>6.6</v>
      </c>
      <c r="H49" s="61">
        <v>6.6</v>
      </c>
      <c r="I49" s="61">
        <v>6.6</v>
      </c>
      <c r="J49" s="61">
        <v>6.6</v>
      </c>
      <c r="K49" s="61">
        <v>6.6</v>
      </c>
      <c r="L49" s="61">
        <v>6.6</v>
      </c>
      <c r="M49" s="61">
        <v>6.6</v>
      </c>
      <c r="N49" s="61">
        <v>6.6</v>
      </c>
      <c r="O49" s="61">
        <v>6.6</v>
      </c>
      <c r="P49" s="50">
        <v>6.6</v>
      </c>
      <c r="Q49" s="50">
        <v>6.6</v>
      </c>
      <c r="R49" s="50">
        <v>6.5</v>
      </c>
      <c r="S49" s="50">
        <v>6.5</v>
      </c>
      <c r="T49" s="50">
        <v>6.5</v>
      </c>
      <c r="U49" s="50">
        <v>6.5</v>
      </c>
      <c r="V49" s="50">
        <v>6.5</v>
      </c>
      <c r="W49" s="50">
        <v>6.5</v>
      </c>
      <c r="X49" s="50">
        <v>6.5</v>
      </c>
      <c r="Y49" s="50">
        <v>6.5</v>
      </c>
      <c r="Z49" s="50">
        <v>6.5</v>
      </c>
      <c r="AA49" s="50">
        <v>6.5</v>
      </c>
      <c r="AB49" s="50">
        <v>6.5</v>
      </c>
      <c r="AC49" s="50">
        <v>6.5</v>
      </c>
      <c r="AD49" s="50">
        <v>6.5</v>
      </c>
      <c r="AE49" s="50">
        <v>6.5</v>
      </c>
      <c r="AF49" s="50">
        <v>6.5</v>
      </c>
      <c r="AG49" s="67">
        <v>10.050000000000001</v>
      </c>
      <c r="AH49" s="54">
        <f t="shared" si="2"/>
        <v>6.6</v>
      </c>
      <c r="AI49" s="55">
        <f t="shared" si="3"/>
        <v>6.5</v>
      </c>
      <c r="AK49" s="56"/>
    </row>
    <row r="50" spans="1:37" x14ac:dyDescent="0.25">
      <c r="A50" s="66" t="s">
        <v>58</v>
      </c>
      <c r="B50" s="61">
        <v>4.4000000000000004</v>
      </c>
      <c r="C50" s="61">
        <v>4</v>
      </c>
      <c r="D50" s="61">
        <v>4</v>
      </c>
      <c r="E50" s="61">
        <v>4</v>
      </c>
      <c r="F50" s="61">
        <v>4</v>
      </c>
      <c r="G50" s="61">
        <v>4</v>
      </c>
      <c r="H50" s="61">
        <v>4</v>
      </c>
      <c r="I50" s="61">
        <v>4</v>
      </c>
      <c r="J50" s="61">
        <v>4</v>
      </c>
      <c r="K50" s="61">
        <v>4</v>
      </c>
      <c r="L50" s="61">
        <v>4</v>
      </c>
      <c r="M50" s="61">
        <v>4</v>
      </c>
      <c r="N50" s="61">
        <v>4</v>
      </c>
      <c r="O50" s="61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7">
        <v>6.2</v>
      </c>
      <c r="AH50" s="54">
        <f t="shared" si="2"/>
        <v>4.4000000000000004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v>3.54</v>
      </c>
      <c r="Y51" s="77"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230.34</v>
      </c>
      <c r="C52" s="72">
        <f t="shared" ref="C52:AF52" si="9">SUM(C39:C51)</f>
        <v>214.43999999999997</v>
      </c>
      <c r="D52" s="72">
        <f t="shared" si="9"/>
        <v>200.93999999999997</v>
      </c>
      <c r="E52" s="72">
        <f t="shared" si="9"/>
        <v>230.54</v>
      </c>
      <c r="F52" s="72">
        <f t="shared" si="9"/>
        <v>240.54</v>
      </c>
      <c r="G52" s="72">
        <f t="shared" si="9"/>
        <v>240.54</v>
      </c>
      <c r="H52" s="72">
        <f t="shared" si="9"/>
        <v>231.33999999999997</v>
      </c>
      <c r="I52" s="72">
        <f t="shared" si="9"/>
        <v>342.14</v>
      </c>
      <c r="J52" s="72">
        <f t="shared" si="9"/>
        <v>380.14</v>
      </c>
      <c r="K52" s="72">
        <f t="shared" si="9"/>
        <v>426.03999999999996</v>
      </c>
      <c r="L52" s="72">
        <f t="shared" si="9"/>
        <v>428.03999999999996</v>
      </c>
      <c r="M52" s="72">
        <f t="shared" si="9"/>
        <v>410.23999999999995</v>
      </c>
      <c r="N52" s="72">
        <f t="shared" si="9"/>
        <v>378.34000000000003</v>
      </c>
      <c r="O52" s="72">
        <f t="shared" si="9"/>
        <v>344.74</v>
      </c>
      <c r="P52" s="72">
        <f t="shared" si="9"/>
        <v>307.34000000000003</v>
      </c>
      <c r="Q52" s="72">
        <f t="shared" si="9"/>
        <v>272.74</v>
      </c>
      <c r="R52" s="72">
        <f t="shared" si="9"/>
        <v>243.43899999999999</v>
      </c>
      <c r="S52" s="72">
        <f t="shared" si="9"/>
        <v>313.24</v>
      </c>
      <c r="T52" s="72">
        <f t="shared" si="9"/>
        <v>275.44</v>
      </c>
      <c r="U52" s="72">
        <f t="shared" si="9"/>
        <v>267.74000000000007</v>
      </c>
      <c r="V52" s="72">
        <f t="shared" si="9"/>
        <v>267.44</v>
      </c>
      <c r="W52" s="72">
        <f t="shared" si="9"/>
        <v>333.94</v>
      </c>
      <c r="X52" s="72">
        <v>387.34</v>
      </c>
      <c r="Y52" s="72">
        <v>420.24</v>
      </c>
      <c r="Z52" s="72">
        <f t="shared" si="9"/>
        <v>414.24</v>
      </c>
      <c r="AA52" s="72">
        <f t="shared" si="9"/>
        <v>414.24</v>
      </c>
      <c r="AB52" s="72">
        <f t="shared" si="9"/>
        <v>395.84000000000003</v>
      </c>
      <c r="AC52" s="72">
        <f t="shared" si="9"/>
        <v>330.54</v>
      </c>
      <c r="AD52" s="72">
        <f t="shared" si="9"/>
        <v>277.44</v>
      </c>
      <c r="AE52" s="72">
        <f t="shared" si="9"/>
        <v>202.14</v>
      </c>
      <c r="AF52" s="72">
        <f t="shared" si="9"/>
        <v>207.53999999999996</v>
      </c>
      <c r="AG52" s="78">
        <f>SUM(AG39:AG51)</f>
        <v>489.91</v>
      </c>
      <c r="AH52" s="54">
        <f t="shared" si="2"/>
        <v>428.03999999999996</v>
      </c>
      <c r="AI52" s="55">
        <f t="shared" si="3"/>
        <v>200.93999999999997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</v>
      </c>
      <c r="L53" s="61">
        <v>51</v>
      </c>
      <c r="M53" s="79">
        <v>50.1</v>
      </c>
      <c r="N53" s="79">
        <v>49.4</v>
      </c>
      <c r="O53" s="79">
        <v>50.5</v>
      </c>
      <c r="P53" s="79">
        <v>40.200000000000003</v>
      </c>
      <c r="Q53" s="50">
        <v>39</v>
      </c>
      <c r="R53" s="50">
        <v>19.899999999999999</v>
      </c>
      <c r="S53" s="50">
        <v>60</v>
      </c>
      <c r="T53" s="50">
        <v>55</v>
      </c>
      <c r="U53" s="50">
        <v>56.2</v>
      </c>
      <c r="V53" s="50">
        <v>56.2</v>
      </c>
      <c r="W53" s="50">
        <v>55.8</v>
      </c>
      <c r="X53" s="50">
        <v>55.9</v>
      </c>
      <c r="Y53" s="50">
        <v>55.7</v>
      </c>
      <c r="Z53" s="50">
        <v>55.7</v>
      </c>
      <c r="AA53" s="50">
        <v>55.7</v>
      </c>
      <c r="AB53" s="50">
        <v>53</v>
      </c>
      <c r="AC53" s="50">
        <v>44.7</v>
      </c>
      <c r="AD53" s="50">
        <v>29.5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12</v>
      </c>
      <c r="L54" s="61">
        <v>22.8</v>
      </c>
      <c r="M54" s="79">
        <v>23.5</v>
      </c>
      <c r="N54" s="79">
        <v>18</v>
      </c>
      <c r="O54" s="79">
        <v>23.9</v>
      </c>
      <c r="P54" s="79">
        <v>17</v>
      </c>
      <c r="Q54" s="73">
        <v>17.5</v>
      </c>
      <c r="R54" s="73">
        <v>10</v>
      </c>
      <c r="S54" s="50">
        <v>28.9</v>
      </c>
      <c r="T54" s="50">
        <v>27</v>
      </c>
      <c r="U54" s="50">
        <v>27</v>
      </c>
      <c r="V54" s="50">
        <v>27</v>
      </c>
      <c r="W54" s="73">
        <v>26.5</v>
      </c>
      <c r="X54" s="73">
        <v>27.9</v>
      </c>
      <c r="Y54" s="73">
        <v>26.2</v>
      </c>
      <c r="Z54" s="73">
        <v>26.2</v>
      </c>
      <c r="AA54" s="73">
        <v>26.2</v>
      </c>
      <c r="AB54" s="73">
        <v>25.9</v>
      </c>
      <c r="AC54" s="73">
        <v>20.5</v>
      </c>
      <c r="AD54" s="73">
        <v>12.5</v>
      </c>
      <c r="AE54" s="73">
        <v>0</v>
      </c>
      <c r="AF54" s="73">
        <v>0</v>
      </c>
      <c r="AG54" s="67">
        <v>32</v>
      </c>
      <c r="AH54" s="54">
        <f t="shared" si="2"/>
        <v>28.9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4</v>
      </c>
      <c r="L55" s="74">
        <v>8.4</v>
      </c>
      <c r="M55" s="81">
        <v>8.6</v>
      </c>
      <c r="N55" s="81">
        <v>6.6</v>
      </c>
      <c r="O55" s="81">
        <v>8.6999999999999993</v>
      </c>
      <c r="P55" s="81">
        <v>6.2</v>
      </c>
      <c r="Q55" s="80">
        <v>6.4</v>
      </c>
      <c r="R55" s="80">
        <v>3</v>
      </c>
      <c r="S55" s="50">
        <v>10.5</v>
      </c>
      <c r="T55" s="50">
        <v>9.9</v>
      </c>
      <c r="U55" s="50">
        <v>9.9</v>
      </c>
      <c r="V55" s="50">
        <v>9.9</v>
      </c>
      <c r="W55" s="80">
        <v>9.6999999999999993</v>
      </c>
      <c r="X55" s="80">
        <v>10.199999999999999</v>
      </c>
      <c r="Y55" s="80">
        <v>9.6</v>
      </c>
      <c r="Z55" s="80">
        <v>9.6</v>
      </c>
      <c r="AA55" s="80">
        <v>9.6</v>
      </c>
      <c r="AB55" s="80">
        <v>9.5</v>
      </c>
      <c r="AC55" s="80">
        <v>7.5</v>
      </c>
      <c r="AD55" s="80">
        <v>4.5999999999999996</v>
      </c>
      <c r="AE55" s="80">
        <v>0</v>
      </c>
      <c r="AF55" s="80">
        <v>0</v>
      </c>
      <c r="AG55" s="82">
        <v>14</v>
      </c>
      <c r="AH55" s="54">
        <f t="shared" si="2"/>
        <v>10.5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46</v>
      </c>
      <c r="L56" s="72">
        <f t="shared" si="11"/>
        <v>82.2</v>
      </c>
      <c r="M56" s="72">
        <f t="shared" si="11"/>
        <v>82.199999999999989</v>
      </c>
      <c r="N56" s="72">
        <f t="shared" si="11"/>
        <v>74</v>
      </c>
      <c r="O56" s="72">
        <f t="shared" si="11"/>
        <v>83.100000000000009</v>
      </c>
      <c r="P56" s="72">
        <f t="shared" si="11"/>
        <v>63.400000000000006</v>
      </c>
      <c r="Q56" s="72">
        <f t="shared" si="11"/>
        <v>62.9</v>
      </c>
      <c r="R56" s="72">
        <f t="shared" si="11"/>
        <v>32.9</v>
      </c>
      <c r="S56" s="72">
        <f t="shared" si="11"/>
        <v>99.4</v>
      </c>
      <c r="T56" s="72">
        <f t="shared" si="11"/>
        <v>91.9</v>
      </c>
      <c r="U56" s="72">
        <f t="shared" si="11"/>
        <v>93.100000000000009</v>
      </c>
      <c r="V56" s="72">
        <f t="shared" si="11"/>
        <v>93.100000000000009</v>
      </c>
      <c r="W56" s="72">
        <f t="shared" si="11"/>
        <v>92</v>
      </c>
      <c r="X56" s="72">
        <v>78</v>
      </c>
      <c r="Y56" s="72">
        <v>91.5</v>
      </c>
      <c r="Z56" s="72">
        <f t="shared" si="11"/>
        <v>91.5</v>
      </c>
      <c r="AA56" s="72">
        <f t="shared" si="11"/>
        <v>91.5</v>
      </c>
      <c r="AB56" s="72">
        <f t="shared" si="11"/>
        <v>88.4</v>
      </c>
      <c r="AC56" s="72">
        <f t="shared" si="11"/>
        <v>72.7</v>
      </c>
      <c r="AD56" s="72">
        <f t="shared" si="11"/>
        <v>46.6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99.4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60</v>
      </c>
      <c r="C57" s="50">
        <v>69</v>
      </c>
      <c r="D57" s="50">
        <v>70</v>
      </c>
      <c r="E57" s="50">
        <v>57</v>
      </c>
      <c r="F57" s="50">
        <v>54</v>
      </c>
      <c r="G57" s="50">
        <v>60.5</v>
      </c>
      <c r="H57" s="50">
        <v>70</v>
      </c>
      <c r="I57" s="50">
        <v>69</v>
      </c>
      <c r="J57" s="50">
        <v>73</v>
      </c>
      <c r="K57" s="50">
        <v>70</v>
      </c>
      <c r="L57" s="50">
        <v>71.5</v>
      </c>
      <c r="M57" s="50">
        <v>70.900000000000006</v>
      </c>
      <c r="N57" s="50">
        <v>69.599999999999994</v>
      </c>
      <c r="O57" s="50">
        <v>67.400000000000006</v>
      </c>
      <c r="P57" s="50">
        <v>62.1</v>
      </c>
      <c r="Q57" s="50">
        <v>59.7</v>
      </c>
      <c r="R57" s="50">
        <v>64</v>
      </c>
      <c r="S57" s="50">
        <v>68</v>
      </c>
      <c r="T57" s="50">
        <v>69</v>
      </c>
      <c r="U57" s="50">
        <v>64.2</v>
      </c>
      <c r="V57" s="50">
        <v>69.099999999999994</v>
      </c>
      <c r="W57" s="50">
        <v>56.9</v>
      </c>
      <c r="X57" s="50">
        <v>67</v>
      </c>
      <c r="Y57" s="50">
        <v>68.7</v>
      </c>
      <c r="Z57" s="50">
        <v>71</v>
      </c>
      <c r="AA57" s="50">
        <v>68</v>
      </c>
      <c r="AB57" s="50">
        <v>65.400000000000006</v>
      </c>
      <c r="AC57" s="50">
        <v>60.9</v>
      </c>
      <c r="AD57" s="50">
        <v>62.9</v>
      </c>
      <c r="AE57" s="50">
        <v>62.7</v>
      </c>
      <c r="AF57" s="50">
        <v>65.099999999999994</v>
      </c>
      <c r="AG57" s="62"/>
      <c r="AH57" s="54">
        <f t="shared" si="2"/>
        <v>73</v>
      </c>
      <c r="AI57" s="55">
        <f t="shared" si="3"/>
        <v>54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77</v>
      </c>
      <c r="X58" s="83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73">
        <v>0</v>
      </c>
      <c r="AG58" s="67"/>
      <c r="AH58" s="54">
        <f t="shared" si="2"/>
        <v>77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155</v>
      </c>
      <c r="C59" s="73">
        <v>164</v>
      </c>
      <c r="D59" s="73">
        <v>160</v>
      </c>
      <c r="E59" s="73">
        <v>130</v>
      </c>
      <c r="F59" s="73">
        <v>137</v>
      </c>
      <c r="G59" s="73">
        <v>176</v>
      </c>
      <c r="H59" s="50">
        <v>220</v>
      </c>
      <c r="I59" s="50">
        <v>205</v>
      </c>
      <c r="J59" s="50">
        <v>310</v>
      </c>
      <c r="K59" s="50">
        <v>120</v>
      </c>
      <c r="L59" s="50">
        <v>54</v>
      </c>
      <c r="M59" s="73">
        <v>61.1</v>
      </c>
      <c r="N59" s="73">
        <v>138.9</v>
      </c>
      <c r="O59" s="73">
        <v>317.10000000000002</v>
      </c>
      <c r="P59" s="73">
        <v>315.60000000000002</v>
      </c>
      <c r="Q59" s="73">
        <v>319</v>
      </c>
      <c r="R59" s="73">
        <v>321</v>
      </c>
      <c r="S59" s="73">
        <v>347</v>
      </c>
      <c r="T59" s="73">
        <v>333.6</v>
      </c>
      <c r="U59" s="73">
        <v>325</v>
      </c>
      <c r="V59" s="73">
        <v>340</v>
      </c>
      <c r="W59" s="73">
        <v>108</v>
      </c>
      <c r="X59" s="84">
        <v>27.4</v>
      </c>
      <c r="Y59" s="73">
        <v>12</v>
      </c>
      <c r="Z59" s="73">
        <v>29</v>
      </c>
      <c r="AA59" s="73">
        <v>198</v>
      </c>
      <c r="AB59" s="73">
        <v>239</v>
      </c>
      <c r="AC59" s="73">
        <v>230</v>
      </c>
      <c r="AD59" s="73">
        <v>257</v>
      </c>
      <c r="AE59" s="73">
        <v>254</v>
      </c>
      <c r="AF59" s="73">
        <v>184</v>
      </c>
      <c r="AG59" s="85"/>
      <c r="AH59" s="54">
        <f t="shared" si="2"/>
        <v>347</v>
      </c>
      <c r="AI59" s="55">
        <f t="shared" si="3"/>
        <v>12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50</v>
      </c>
      <c r="M60" s="73">
        <v>50</v>
      </c>
      <c r="N60" s="73">
        <v>47</v>
      </c>
      <c r="O60" s="73">
        <v>45.6</v>
      </c>
      <c r="P60" s="73">
        <v>38.200000000000003</v>
      </c>
      <c r="Q60" s="73">
        <v>39.1</v>
      </c>
      <c r="R60" s="73">
        <v>45</v>
      </c>
      <c r="S60" s="73">
        <v>40</v>
      </c>
      <c r="T60" s="73">
        <v>40</v>
      </c>
      <c r="U60" s="73">
        <v>40</v>
      </c>
      <c r="V60" s="73">
        <v>35</v>
      </c>
      <c r="W60" s="73">
        <v>37</v>
      </c>
      <c r="X60" s="73">
        <v>38</v>
      </c>
      <c r="Y60" s="73">
        <v>46</v>
      </c>
      <c r="Z60" s="73">
        <v>42</v>
      </c>
      <c r="AA60" s="73">
        <v>43</v>
      </c>
      <c r="AB60" s="73">
        <v>39.9</v>
      </c>
      <c r="AC60" s="73">
        <v>39.9</v>
      </c>
      <c r="AD60" s="73">
        <v>46.2</v>
      </c>
      <c r="AE60" s="73">
        <v>0</v>
      </c>
      <c r="AF60" s="73">
        <v>0</v>
      </c>
      <c r="AG60" s="85"/>
      <c r="AH60" s="54">
        <f t="shared" si="2"/>
        <v>50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84</v>
      </c>
      <c r="U61" s="50">
        <v>90</v>
      </c>
      <c r="V61" s="50">
        <v>82.5</v>
      </c>
      <c r="W61" s="50">
        <v>79</v>
      </c>
      <c r="X61" s="50">
        <v>81</v>
      </c>
      <c r="Y61" s="50">
        <v>80.599999999999994</v>
      </c>
      <c r="Z61" s="50">
        <v>57</v>
      </c>
      <c r="AA61" s="50">
        <v>76</v>
      </c>
      <c r="AB61" s="50">
        <v>81</v>
      </c>
      <c r="AC61" s="50">
        <v>80.2</v>
      </c>
      <c r="AD61" s="50">
        <v>76</v>
      </c>
      <c r="AE61" s="50">
        <v>71</v>
      </c>
      <c r="AF61" s="50">
        <v>0</v>
      </c>
      <c r="AG61" s="85"/>
      <c r="AH61" s="54">
        <f t="shared" si="2"/>
        <v>90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5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50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215</v>
      </c>
      <c r="C68" s="72">
        <f>SUM(C57:C67)</f>
        <v>233</v>
      </c>
      <c r="D68" s="72">
        <f t="shared" ref="D68:AF68" si="13">SUM(D57:D67)</f>
        <v>230</v>
      </c>
      <c r="E68" s="72">
        <f t="shared" si="13"/>
        <v>187</v>
      </c>
      <c r="F68" s="72">
        <f t="shared" si="13"/>
        <v>191</v>
      </c>
      <c r="G68" s="72">
        <f t="shared" si="13"/>
        <v>236.5</v>
      </c>
      <c r="H68" s="72">
        <f t="shared" si="13"/>
        <v>290</v>
      </c>
      <c r="I68" s="72">
        <f t="shared" si="13"/>
        <v>274</v>
      </c>
      <c r="J68" s="72">
        <f t="shared" si="13"/>
        <v>383</v>
      </c>
      <c r="K68" s="72">
        <f t="shared" si="13"/>
        <v>190</v>
      </c>
      <c r="L68" s="72">
        <f t="shared" si="13"/>
        <v>175.5</v>
      </c>
      <c r="M68" s="72">
        <f t="shared" si="13"/>
        <v>182</v>
      </c>
      <c r="N68" s="72">
        <f t="shared" si="13"/>
        <v>255.5</v>
      </c>
      <c r="O68" s="72">
        <f t="shared" si="13"/>
        <v>430.1</v>
      </c>
      <c r="P68" s="72">
        <f t="shared" si="13"/>
        <v>415.90000000000003</v>
      </c>
      <c r="Q68" s="72">
        <f t="shared" si="13"/>
        <v>417.8</v>
      </c>
      <c r="R68" s="72">
        <f t="shared" si="13"/>
        <v>430</v>
      </c>
      <c r="S68" s="72">
        <f t="shared" si="13"/>
        <v>455</v>
      </c>
      <c r="T68" s="72">
        <f t="shared" si="13"/>
        <v>526.6</v>
      </c>
      <c r="U68" s="72">
        <f t="shared" si="13"/>
        <v>519.20000000000005</v>
      </c>
      <c r="V68" s="72">
        <f t="shared" si="13"/>
        <v>526.6</v>
      </c>
      <c r="W68" s="72">
        <f t="shared" si="13"/>
        <v>357.9</v>
      </c>
      <c r="X68" s="72">
        <v>217.1</v>
      </c>
      <c r="Y68" s="72">
        <v>207.3</v>
      </c>
      <c r="Z68" s="72">
        <f t="shared" si="13"/>
        <v>199</v>
      </c>
      <c r="AA68" s="72">
        <f t="shared" si="13"/>
        <v>385</v>
      </c>
      <c r="AB68" s="72">
        <f t="shared" si="13"/>
        <v>425.29999999999995</v>
      </c>
      <c r="AC68" s="72">
        <f t="shared" si="13"/>
        <v>410.99999999999994</v>
      </c>
      <c r="AD68" s="72">
        <f t="shared" si="13"/>
        <v>442.09999999999997</v>
      </c>
      <c r="AE68" s="72">
        <f t="shared" si="13"/>
        <v>387.7</v>
      </c>
      <c r="AF68" s="72">
        <f t="shared" si="13"/>
        <v>249.1</v>
      </c>
      <c r="AG68" s="78">
        <f>SUM(AG57:AG67)</f>
        <v>0</v>
      </c>
      <c r="AH68" s="54">
        <f t="shared" si="2"/>
        <v>526.6</v>
      </c>
      <c r="AI68" s="55">
        <f t="shared" si="3"/>
        <v>175.5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1.8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1.8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v>1.8</v>
      </c>
      <c r="Y72" s="72"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1.8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935.44</v>
      </c>
      <c r="C73" s="89">
        <f>C68+C56+C52+C38+C72</f>
        <v>906.54</v>
      </c>
      <c r="D73" s="89">
        <f t="shared" ref="D73:AG73" si="17">D68+D56+D52+D38+D72</f>
        <v>887.83999999999992</v>
      </c>
      <c r="E73" s="89">
        <f t="shared" si="17"/>
        <v>874.43999999999994</v>
      </c>
      <c r="F73" s="89">
        <f t="shared" si="17"/>
        <v>888.43999999999994</v>
      </c>
      <c r="G73" s="89">
        <f t="shared" si="17"/>
        <v>953.93999999999994</v>
      </c>
      <c r="H73" s="89">
        <f t="shared" si="17"/>
        <v>998.2399999999999</v>
      </c>
      <c r="I73" s="89">
        <f t="shared" si="17"/>
        <v>1153.04</v>
      </c>
      <c r="J73" s="89">
        <f t="shared" si="17"/>
        <v>1280.04</v>
      </c>
      <c r="K73" s="89">
        <f t="shared" si="17"/>
        <v>1398.94</v>
      </c>
      <c r="L73" s="89">
        <f t="shared" si="17"/>
        <v>1452.6399999999999</v>
      </c>
      <c r="M73" s="89">
        <f t="shared" si="17"/>
        <v>1470.8400000000001</v>
      </c>
      <c r="N73" s="89">
        <f t="shared" si="17"/>
        <v>1434.2400000000002</v>
      </c>
      <c r="O73" s="89">
        <f t="shared" si="17"/>
        <v>1384.3400000000001</v>
      </c>
      <c r="P73" s="89">
        <f t="shared" si="17"/>
        <v>1273.04</v>
      </c>
      <c r="Q73" s="89">
        <f t="shared" si="17"/>
        <v>1239.44</v>
      </c>
      <c r="R73" s="89">
        <f t="shared" si="17"/>
        <v>1191.8389999999999</v>
      </c>
      <c r="S73" s="89">
        <f t="shared" si="17"/>
        <v>1353.1399999999999</v>
      </c>
      <c r="T73" s="89">
        <f t="shared" si="17"/>
        <v>1349.44</v>
      </c>
      <c r="U73" s="89">
        <f t="shared" si="17"/>
        <v>1355.5400000000002</v>
      </c>
      <c r="V73" s="89">
        <f t="shared" si="17"/>
        <v>1342.64</v>
      </c>
      <c r="W73" s="89">
        <f t="shared" si="17"/>
        <v>1419.34</v>
      </c>
      <c r="X73" s="89">
        <v>1509.84</v>
      </c>
      <c r="Y73" s="89">
        <v>1568.84</v>
      </c>
      <c r="Z73" s="89">
        <f t="shared" si="17"/>
        <v>1474.54</v>
      </c>
      <c r="AA73" s="89">
        <f t="shared" si="17"/>
        <v>1525.54</v>
      </c>
      <c r="AB73" s="89">
        <f t="shared" si="17"/>
        <v>1457.74</v>
      </c>
      <c r="AC73" s="89">
        <f t="shared" si="17"/>
        <v>1282.44</v>
      </c>
      <c r="AD73" s="89">
        <f t="shared" si="17"/>
        <v>1215.3399999999999</v>
      </c>
      <c r="AE73" s="89">
        <f t="shared" si="17"/>
        <v>1033.04</v>
      </c>
      <c r="AF73" s="89">
        <f t="shared" si="17"/>
        <v>899.83999999999992</v>
      </c>
      <c r="AG73" s="89">
        <f t="shared" si="17"/>
        <v>2144.14</v>
      </c>
      <c r="AH73" s="54">
        <f t="shared" si="2"/>
        <v>1568.84</v>
      </c>
      <c r="AI73" s="55">
        <f t="shared" si="3"/>
        <v>874.43999999999994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935.44</v>
      </c>
      <c r="C75" s="89">
        <f>C73+C74</f>
        <v>906.54</v>
      </c>
      <c r="D75" s="89">
        <f t="shared" ref="D75:AF75" si="19">D72+D68+D56+D52+D38+D74</f>
        <v>887.83999999999992</v>
      </c>
      <c r="E75" s="89">
        <f t="shared" si="19"/>
        <v>874.43999999999994</v>
      </c>
      <c r="F75" s="89">
        <f t="shared" si="19"/>
        <v>888.43999999999994</v>
      </c>
      <c r="G75" s="89">
        <f t="shared" si="19"/>
        <v>953.93999999999994</v>
      </c>
      <c r="H75" s="89">
        <f t="shared" si="19"/>
        <v>998.2399999999999</v>
      </c>
      <c r="I75" s="89">
        <f t="shared" si="19"/>
        <v>1153.04</v>
      </c>
      <c r="J75" s="89">
        <f t="shared" si="19"/>
        <v>1280.04</v>
      </c>
      <c r="K75" s="89">
        <f t="shared" si="19"/>
        <v>1398.94</v>
      </c>
      <c r="L75" s="89">
        <f t="shared" si="19"/>
        <v>1452.6399999999999</v>
      </c>
      <c r="M75" s="89">
        <f t="shared" si="19"/>
        <v>1470.8400000000001</v>
      </c>
      <c r="N75" s="89">
        <f t="shared" si="19"/>
        <v>1434.2400000000002</v>
      </c>
      <c r="O75" s="89">
        <f t="shared" si="19"/>
        <v>1384.3400000000001</v>
      </c>
      <c r="P75" s="89">
        <f t="shared" si="19"/>
        <v>1273.04</v>
      </c>
      <c r="Q75" s="89">
        <f t="shared" si="19"/>
        <v>1239.44</v>
      </c>
      <c r="R75" s="89">
        <f t="shared" si="19"/>
        <v>1191.8389999999999</v>
      </c>
      <c r="S75" s="89">
        <f t="shared" si="19"/>
        <v>1353.1399999999999</v>
      </c>
      <c r="T75" s="89">
        <f t="shared" si="19"/>
        <v>1349.44</v>
      </c>
      <c r="U75" s="89">
        <f t="shared" si="19"/>
        <v>1355.5400000000002</v>
      </c>
      <c r="V75" s="89">
        <f t="shared" si="19"/>
        <v>1342.64</v>
      </c>
      <c r="W75" s="89">
        <f t="shared" si="19"/>
        <v>1419.34</v>
      </c>
      <c r="X75" s="89">
        <v>1509.84</v>
      </c>
      <c r="Y75" s="89">
        <v>1568.84</v>
      </c>
      <c r="Z75" s="89">
        <f t="shared" si="19"/>
        <v>1474.54</v>
      </c>
      <c r="AA75" s="89">
        <f t="shared" si="19"/>
        <v>1525.54</v>
      </c>
      <c r="AB75" s="89">
        <f t="shared" si="19"/>
        <v>1457.74</v>
      </c>
      <c r="AC75" s="89">
        <f t="shared" si="19"/>
        <v>1282.44</v>
      </c>
      <c r="AD75" s="89">
        <f t="shared" si="19"/>
        <v>1215.3399999999999</v>
      </c>
      <c r="AE75" s="89">
        <f t="shared" si="19"/>
        <v>1033.04</v>
      </c>
      <c r="AF75" s="89">
        <f t="shared" si="19"/>
        <v>899.83999999999992</v>
      </c>
      <c r="AG75" s="78">
        <f>AG72+AG68+AG56+AG52+AG38+AG74</f>
        <v>2144.14</v>
      </c>
      <c r="AH75" s="54">
        <f t="shared" si="2"/>
        <v>1568.84</v>
      </c>
      <c r="AI75" s="55">
        <f t="shared" si="3"/>
        <v>874.43999999999994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v>0</v>
      </c>
      <c r="Y76" s="58"/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v>0</v>
      </c>
      <c r="Y77" s="58"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v>0</v>
      </c>
      <c r="Y78" s="58"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v>0</v>
      </c>
      <c r="Y79" s="58"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v>0</v>
      </c>
      <c r="Y80" s="58"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>
        <v>0</v>
      </c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v>0</v>
      </c>
      <c r="Y82" s="72"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1870.88</v>
      </c>
      <c r="C83" s="72">
        <f t="shared" ref="C83:AG83" si="35">SUM(C70:C82)</f>
        <v>1813.08</v>
      </c>
      <c r="D83" s="72">
        <f t="shared" si="35"/>
        <v>1775.6799999999998</v>
      </c>
      <c r="E83" s="72">
        <f t="shared" si="35"/>
        <v>1748.8799999999999</v>
      </c>
      <c r="F83" s="72">
        <f t="shared" si="35"/>
        <v>1776.8799999999999</v>
      </c>
      <c r="G83" s="72">
        <f t="shared" si="35"/>
        <v>1907.8799999999999</v>
      </c>
      <c r="H83" s="72">
        <f t="shared" si="35"/>
        <v>1996.4799999999998</v>
      </c>
      <c r="I83" s="72">
        <f t="shared" si="35"/>
        <v>2306.08</v>
      </c>
      <c r="J83" s="72">
        <f t="shared" si="35"/>
        <v>2560.08</v>
      </c>
      <c r="K83" s="72">
        <f t="shared" si="35"/>
        <v>2797.88</v>
      </c>
      <c r="L83" s="72">
        <f t="shared" si="35"/>
        <v>2905.2799999999997</v>
      </c>
      <c r="M83" s="72">
        <f t="shared" si="35"/>
        <v>2941.6800000000003</v>
      </c>
      <c r="N83" s="72">
        <f t="shared" si="35"/>
        <v>2868.4800000000005</v>
      </c>
      <c r="O83" s="72">
        <f t="shared" si="35"/>
        <v>2768.6800000000003</v>
      </c>
      <c r="P83" s="72">
        <f t="shared" si="35"/>
        <v>2546.08</v>
      </c>
      <c r="Q83" s="72">
        <f t="shared" si="35"/>
        <v>2478.88</v>
      </c>
      <c r="R83" s="72">
        <f t="shared" si="35"/>
        <v>2383.6779999999999</v>
      </c>
      <c r="S83" s="72">
        <f t="shared" si="35"/>
        <v>2706.2799999999997</v>
      </c>
      <c r="T83" s="72">
        <f t="shared" si="35"/>
        <v>2698.88</v>
      </c>
      <c r="U83" s="72">
        <f t="shared" si="35"/>
        <v>2711.0800000000004</v>
      </c>
      <c r="V83" s="72">
        <f t="shared" si="35"/>
        <v>2685.28</v>
      </c>
      <c r="W83" s="72">
        <f t="shared" si="35"/>
        <v>2838.68</v>
      </c>
      <c r="X83" s="72">
        <v>217.1</v>
      </c>
      <c r="Y83" s="72">
        <v>207.3</v>
      </c>
      <c r="Z83" s="72">
        <f t="shared" si="35"/>
        <v>2949.08</v>
      </c>
      <c r="AA83" s="72">
        <v>49.87</v>
      </c>
      <c r="AB83" s="72">
        <f t="shared" si="35"/>
        <v>2915.48</v>
      </c>
      <c r="AC83" s="72">
        <f t="shared" si="35"/>
        <v>2564.88</v>
      </c>
      <c r="AD83" s="72">
        <f t="shared" si="35"/>
        <v>2430.6799999999998</v>
      </c>
      <c r="AE83" s="72">
        <f t="shared" si="35"/>
        <v>2066.08</v>
      </c>
      <c r="AF83" s="72">
        <f t="shared" si="35"/>
        <v>1799.6799999999998</v>
      </c>
      <c r="AG83" s="78">
        <f t="shared" si="35"/>
        <v>4360.08</v>
      </c>
      <c r="AH83" s="54">
        <f t="shared" si="22"/>
        <v>2949.08</v>
      </c>
      <c r="AI83" s="55">
        <f t="shared" si="23"/>
        <v>49.87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50.01</v>
      </c>
      <c r="C84" s="95">
        <v>49.97</v>
      </c>
      <c r="D84" s="95">
        <v>49.97</v>
      </c>
      <c r="E84" s="95">
        <v>50.018000000000001</v>
      </c>
      <c r="F84" s="95">
        <v>50.026000000000003</v>
      </c>
      <c r="G84" s="95">
        <v>49.997999999999998</v>
      </c>
      <c r="H84" s="95">
        <v>50.045999999999999</v>
      </c>
      <c r="I84" s="95">
        <v>49.948</v>
      </c>
      <c r="J84" s="95">
        <v>50.02</v>
      </c>
      <c r="K84" s="95">
        <v>50.030999999999999</v>
      </c>
      <c r="L84" s="95">
        <v>50.030999999999999</v>
      </c>
      <c r="M84" s="95">
        <v>50.055999999999997</v>
      </c>
      <c r="N84" s="95">
        <v>50.076999999999998</v>
      </c>
      <c r="O84" s="95">
        <v>50.036999999999999</v>
      </c>
      <c r="P84" s="95">
        <v>50.045000000000002</v>
      </c>
      <c r="Q84" s="95">
        <v>50.046999999999997</v>
      </c>
      <c r="R84" s="95">
        <v>50.066000000000003</v>
      </c>
      <c r="S84" s="95">
        <v>50.097000000000001</v>
      </c>
      <c r="T84" s="95">
        <v>49.972999999999999</v>
      </c>
      <c r="U84" s="95">
        <v>50.009</v>
      </c>
      <c r="V84" s="95">
        <v>50.031999999999996</v>
      </c>
      <c r="W84" s="95">
        <v>50.072000000000003</v>
      </c>
      <c r="X84" s="95">
        <v>50.02</v>
      </c>
      <c r="Y84" s="95">
        <v>49.959000000000003</v>
      </c>
      <c r="Z84" s="95">
        <v>49.972999999999999</v>
      </c>
      <c r="AA84" s="95">
        <v>49.972999999999999</v>
      </c>
      <c r="AB84" s="95">
        <v>49.99</v>
      </c>
      <c r="AC84" s="95">
        <v>50.07</v>
      </c>
      <c r="AD84" s="95">
        <v>50.01</v>
      </c>
      <c r="AE84" s="95">
        <v>50.01</v>
      </c>
      <c r="AF84" s="95">
        <v>49.936999999999998</v>
      </c>
      <c r="AG84" s="96"/>
      <c r="AH84" s="54">
        <f t="shared" si="22"/>
        <v>50.097000000000001</v>
      </c>
      <c r="AI84" s="55">
        <f t="shared" si="23"/>
        <v>49.936999999999998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3">
        <v>127.5</v>
      </c>
      <c r="C85" s="73">
        <v>127.8</v>
      </c>
      <c r="D85" s="73">
        <v>127.3</v>
      </c>
      <c r="E85" s="73">
        <v>127.4</v>
      </c>
      <c r="F85" s="73">
        <v>129.5</v>
      </c>
      <c r="G85" s="73">
        <v>126.8</v>
      </c>
      <c r="H85" s="73">
        <v>125.7</v>
      </c>
      <c r="I85" s="73">
        <v>124.9</v>
      </c>
      <c r="J85" s="73">
        <v>124.9</v>
      </c>
      <c r="K85" s="73">
        <v>124.7</v>
      </c>
      <c r="L85" s="73">
        <v>124.7</v>
      </c>
      <c r="M85" s="73">
        <v>123.6</v>
      </c>
      <c r="N85" s="73">
        <v>122</v>
      </c>
      <c r="O85" s="73">
        <v>121.2</v>
      </c>
      <c r="P85" s="73">
        <v>121.5</v>
      </c>
      <c r="Q85" s="73">
        <v>123.2</v>
      </c>
      <c r="R85" s="73">
        <v>124.2</v>
      </c>
      <c r="S85" s="73">
        <v>124.9</v>
      </c>
      <c r="T85" s="73">
        <v>125.4</v>
      </c>
      <c r="U85" s="73">
        <v>124.8</v>
      </c>
      <c r="V85" s="73">
        <v>125.7</v>
      </c>
      <c r="W85" s="73">
        <v>124.7</v>
      </c>
      <c r="X85" s="98">
        <v>125.1</v>
      </c>
      <c r="Y85" s="73">
        <v>123.8</v>
      </c>
      <c r="Z85" s="73">
        <v>125.6</v>
      </c>
      <c r="AA85" s="73">
        <v>125.6</v>
      </c>
      <c r="AB85" s="73">
        <v>127.8</v>
      </c>
      <c r="AC85" s="73">
        <v>127.8</v>
      </c>
      <c r="AD85" s="73">
        <v>128.4</v>
      </c>
      <c r="AE85" s="73">
        <v>128.4</v>
      </c>
      <c r="AF85" s="73">
        <v>124.7</v>
      </c>
      <c r="AG85" s="99"/>
      <c r="AH85" s="54">
        <f t="shared" si="22"/>
        <v>129.5</v>
      </c>
      <c r="AI85" s="55">
        <f t="shared" si="23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3">
        <v>130.69999999999999</v>
      </c>
      <c r="C86" s="73">
        <v>131.1</v>
      </c>
      <c r="D86" s="73">
        <v>130.80000000000001</v>
      </c>
      <c r="E86" s="73">
        <v>131.1</v>
      </c>
      <c r="F86" s="73">
        <v>132.6</v>
      </c>
      <c r="G86" s="73">
        <v>130.1</v>
      </c>
      <c r="H86" s="73">
        <v>129.4</v>
      </c>
      <c r="I86" s="73">
        <v>127.9</v>
      </c>
      <c r="J86" s="73">
        <v>127.9</v>
      </c>
      <c r="K86" s="73">
        <v>126.8</v>
      </c>
      <c r="L86" s="73">
        <v>126.8</v>
      </c>
      <c r="M86" s="73">
        <v>125.2</v>
      </c>
      <c r="N86" s="73">
        <v>124.1</v>
      </c>
      <c r="O86" s="73">
        <v>123.4</v>
      </c>
      <c r="P86" s="73">
        <v>124.5</v>
      </c>
      <c r="Q86" s="73">
        <v>125.8</v>
      </c>
      <c r="R86" s="73">
        <v>126.6</v>
      </c>
      <c r="S86" s="73">
        <v>127</v>
      </c>
      <c r="T86" s="73">
        <v>127.3</v>
      </c>
      <c r="U86" s="73">
        <v>127.1</v>
      </c>
      <c r="V86" s="73">
        <v>128</v>
      </c>
      <c r="W86" s="73">
        <v>126.8</v>
      </c>
      <c r="X86" s="98">
        <v>126.4</v>
      </c>
      <c r="Y86" s="73">
        <v>125.6</v>
      </c>
      <c r="Z86" s="73">
        <v>126.9</v>
      </c>
      <c r="AA86" s="73">
        <v>126.9</v>
      </c>
      <c r="AB86" s="73">
        <v>129.1</v>
      </c>
      <c r="AC86" s="73">
        <v>129.5</v>
      </c>
      <c r="AD86" s="73">
        <v>129.5</v>
      </c>
      <c r="AE86" s="73">
        <v>129.5</v>
      </c>
      <c r="AF86" s="73">
        <v>128.9</v>
      </c>
      <c r="AG86" s="99"/>
      <c r="AH86" s="54">
        <f t="shared" si="22"/>
        <v>132.6</v>
      </c>
      <c r="AI86" s="55">
        <f t="shared" si="23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3">
        <v>132.1</v>
      </c>
      <c r="C87" s="73">
        <v>131.9</v>
      </c>
      <c r="D87" s="73">
        <v>131.9</v>
      </c>
      <c r="E87" s="73">
        <v>131.5</v>
      </c>
      <c r="F87" s="73">
        <v>131.6</v>
      </c>
      <c r="G87" s="73">
        <v>130.19999999999999</v>
      </c>
      <c r="H87" s="73">
        <v>129.1</v>
      </c>
      <c r="I87" s="73">
        <v>130</v>
      </c>
      <c r="J87" s="73">
        <v>130</v>
      </c>
      <c r="K87" s="73">
        <v>128.19999999999999</v>
      </c>
      <c r="L87" s="73">
        <v>128.19999999999999</v>
      </c>
      <c r="M87" s="73">
        <v>126.9</v>
      </c>
      <c r="N87" s="73">
        <v>128.19999999999999</v>
      </c>
      <c r="O87" s="73">
        <v>128.9</v>
      </c>
      <c r="P87" s="73">
        <v>130.5</v>
      </c>
      <c r="Q87" s="73">
        <v>129.6</v>
      </c>
      <c r="R87" s="73">
        <v>130</v>
      </c>
      <c r="S87" s="73">
        <v>127.8</v>
      </c>
      <c r="T87" s="73">
        <v>127.8</v>
      </c>
      <c r="U87" s="73">
        <v>126.3</v>
      </c>
      <c r="V87" s="73">
        <v>128.19999999999999</v>
      </c>
      <c r="W87" s="73">
        <v>130.1</v>
      </c>
      <c r="X87" s="98">
        <v>128.1</v>
      </c>
      <c r="Y87" s="73">
        <v>128.9</v>
      </c>
      <c r="Z87" s="73">
        <v>130</v>
      </c>
      <c r="AA87" s="73">
        <v>130</v>
      </c>
      <c r="AB87" s="73">
        <v>131.19999999999999</v>
      </c>
      <c r="AC87" s="73">
        <v>132.30000000000001</v>
      </c>
      <c r="AD87" s="73">
        <v>132.9</v>
      </c>
      <c r="AE87" s="73">
        <v>132.9</v>
      </c>
      <c r="AF87" s="73">
        <v>129.5</v>
      </c>
      <c r="AG87" s="99"/>
      <c r="AH87" s="54">
        <f t="shared" si="22"/>
        <v>132.9</v>
      </c>
      <c r="AI87" s="55">
        <f t="shared" si="23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73">
        <v>133.19999999999999</v>
      </c>
      <c r="C88" s="73">
        <v>133.19999999999999</v>
      </c>
      <c r="D88" s="73">
        <v>133.30000000000001</v>
      </c>
      <c r="E88" s="73">
        <v>133.80000000000001</v>
      </c>
      <c r="F88" s="73">
        <v>133.69999999999999</v>
      </c>
      <c r="G88" s="73">
        <v>132.4</v>
      </c>
      <c r="H88" s="73">
        <v>131.19999999999999</v>
      </c>
      <c r="I88" s="73">
        <v>132.9</v>
      </c>
      <c r="J88" s="73">
        <v>132.9</v>
      </c>
      <c r="K88" s="73">
        <v>132.1</v>
      </c>
      <c r="L88" s="73">
        <v>132.1</v>
      </c>
      <c r="M88" s="73">
        <v>129.69999999999999</v>
      </c>
      <c r="N88" s="73">
        <v>131.9</v>
      </c>
      <c r="O88" s="73">
        <v>132.9</v>
      </c>
      <c r="P88" s="73">
        <v>134.9</v>
      </c>
      <c r="Q88" s="73">
        <v>132.80000000000001</v>
      </c>
      <c r="R88" s="73">
        <v>133.36000000000001</v>
      </c>
      <c r="S88" s="73">
        <v>131.1</v>
      </c>
      <c r="T88" s="73">
        <v>130.9</v>
      </c>
      <c r="U88" s="73">
        <v>129.30000000000001</v>
      </c>
      <c r="V88" s="73">
        <v>131.6</v>
      </c>
      <c r="W88" s="73">
        <v>133</v>
      </c>
      <c r="X88" s="98">
        <v>132.19999999999999</v>
      </c>
      <c r="Y88" s="73">
        <v>134.9</v>
      </c>
      <c r="Z88" s="73">
        <v>133.5</v>
      </c>
      <c r="AA88" s="73">
        <v>133.5</v>
      </c>
      <c r="AB88" s="73">
        <v>133.30000000000001</v>
      </c>
      <c r="AC88" s="73">
        <v>134.4</v>
      </c>
      <c r="AD88" s="73">
        <v>134.4</v>
      </c>
      <c r="AE88" s="73">
        <v>134.4</v>
      </c>
      <c r="AF88" s="73">
        <v>131.9</v>
      </c>
      <c r="AG88" s="99"/>
      <c r="AH88" s="54">
        <f t="shared" si="22"/>
        <v>134.9</v>
      </c>
      <c r="AI88" s="55">
        <f t="shared" si="23"/>
        <v>129.30000000000001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01">
        <v>131</v>
      </c>
      <c r="C89" s="101">
        <v>134.69999999999999</v>
      </c>
      <c r="D89" s="101">
        <v>131.1</v>
      </c>
      <c r="E89" s="101">
        <v>130.80000000000001</v>
      </c>
      <c r="F89" s="101">
        <v>135</v>
      </c>
      <c r="G89" s="101">
        <v>132.4</v>
      </c>
      <c r="H89" s="101">
        <v>135</v>
      </c>
      <c r="I89" s="101">
        <v>134.1</v>
      </c>
      <c r="J89" s="101">
        <v>134.1</v>
      </c>
      <c r="K89" s="101">
        <v>132.80000000000001</v>
      </c>
      <c r="L89" s="101">
        <v>132.80000000000001</v>
      </c>
      <c r="M89" s="101">
        <v>134.19999999999999</v>
      </c>
      <c r="N89" s="101">
        <v>133.4</v>
      </c>
      <c r="O89" s="101">
        <v>130.80000000000001</v>
      </c>
      <c r="P89" s="101">
        <v>133.1</v>
      </c>
      <c r="Q89" s="101">
        <v>132.4</v>
      </c>
      <c r="R89" s="101">
        <v>133.69999999999999</v>
      </c>
      <c r="S89" s="101">
        <v>131</v>
      </c>
      <c r="T89" s="101">
        <v>134</v>
      </c>
      <c r="U89" s="101">
        <v>132.9</v>
      </c>
      <c r="V89" s="101">
        <v>135.30000000000001</v>
      </c>
      <c r="W89" s="101">
        <v>133.69999999999999</v>
      </c>
      <c r="X89" s="98">
        <v>134.6</v>
      </c>
      <c r="Y89" s="101">
        <v>133.80000000000001</v>
      </c>
      <c r="Z89" s="101">
        <v>133.6</v>
      </c>
      <c r="AA89" s="101">
        <v>133.6</v>
      </c>
      <c r="AB89" s="101">
        <v>135.4</v>
      </c>
      <c r="AC89" s="101">
        <v>135.80000000000001</v>
      </c>
      <c r="AD89" s="101">
        <v>135.80000000000001</v>
      </c>
      <c r="AE89" s="101">
        <v>135.80000000000001</v>
      </c>
      <c r="AF89" s="101">
        <v>127</v>
      </c>
      <c r="AG89" s="102"/>
      <c r="AH89" s="54">
        <f t="shared" si="22"/>
        <v>135.80000000000001</v>
      </c>
      <c r="AI89" s="55">
        <f t="shared" si="23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3">
        <v>136.6</v>
      </c>
      <c r="C90" s="73">
        <v>135.4</v>
      </c>
      <c r="D90" s="73">
        <v>134.6</v>
      </c>
      <c r="E90" s="73">
        <v>135.30000000000001</v>
      </c>
      <c r="F90" s="73">
        <v>135.80000000000001</v>
      </c>
      <c r="G90" s="73">
        <v>134.9</v>
      </c>
      <c r="H90" s="73">
        <v>131.69999999999999</v>
      </c>
      <c r="I90" s="73">
        <v>128.80000000000001</v>
      </c>
      <c r="J90" s="73">
        <v>128.80000000000001</v>
      </c>
      <c r="K90" s="73">
        <v>132.9</v>
      </c>
      <c r="L90" s="73">
        <v>132.9</v>
      </c>
      <c r="M90" s="73">
        <v>128.19999999999999</v>
      </c>
      <c r="N90" s="73">
        <v>127.6</v>
      </c>
      <c r="O90" s="73">
        <v>132.19999999999999</v>
      </c>
      <c r="P90" s="73">
        <v>130.9</v>
      </c>
      <c r="Q90" s="73">
        <v>133.69999999999999</v>
      </c>
      <c r="R90" s="73">
        <v>135</v>
      </c>
      <c r="S90" s="73">
        <v>128.4</v>
      </c>
      <c r="T90" s="73">
        <v>128.30000000000001</v>
      </c>
      <c r="U90" s="73">
        <v>129.5</v>
      </c>
      <c r="V90" s="73">
        <v>131.1</v>
      </c>
      <c r="W90" s="73">
        <v>133</v>
      </c>
      <c r="X90" s="98">
        <v>131.69999999999999</v>
      </c>
      <c r="Y90" s="73">
        <v>129.5</v>
      </c>
      <c r="Z90" s="73">
        <v>131.19999999999999</v>
      </c>
      <c r="AA90" s="73">
        <v>131.19999999999999</v>
      </c>
      <c r="AB90" s="73">
        <v>129.80000000000001</v>
      </c>
      <c r="AC90" s="73">
        <v>131.19999999999999</v>
      </c>
      <c r="AD90" s="73">
        <v>131.19999999999999</v>
      </c>
      <c r="AE90" s="73">
        <v>131.19999999999999</v>
      </c>
      <c r="AF90" s="73">
        <v>135.4</v>
      </c>
      <c r="AG90" s="99"/>
      <c r="AH90" s="54">
        <f t="shared" si="22"/>
        <v>136.6</v>
      </c>
      <c r="AI90" s="55">
        <f t="shared" si="23"/>
        <v>127.6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66</v>
      </c>
      <c r="C91" s="103">
        <v>66.3</v>
      </c>
      <c r="D91" s="103">
        <v>66.2</v>
      </c>
      <c r="E91" s="103">
        <v>66.400000000000006</v>
      </c>
      <c r="F91" s="103">
        <v>66.8</v>
      </c>
      <c r="G91" s="103">
        <v>66</v>
      </c>
      <c r="H91" s="103">
        <v>65.599999999999994</v>
      </c>
      <c r="I91" s="103">
        <v>65</v>
      </c>
      <c r="J91" s="103">
        <v>65</v>
      </c>
      <c r="K91" s="103">
        <v>63.9</v>
      </c>
      <c r="L91" s="103">
        <v>63.9</v>
      </c>
      <c r="M91" s="103">
        <v>63.3</v>
      </c>
      <c r="N91" s="103">
        <v>62.5</v>
      </c>
      <c r="O91" s="103">
        <v>62.2</v>
      </c>
      <c r="P91" s="103">
        <v>62.9</v>
      </c>
      <c r="Q91" s="103">
        <v>63.5</v>
      </c>
      <c r="R91" s="103">
        <v>63.9</v>
      </c>
      <c r="S91" s="103">
        <v>64.5</v>
      </c>
      <c r="T91" s="103">
        <v>64</v>
      </c>
      <c r="U91" s="103">
        <v>63.9</v>
      </c>
      <c r="V91" s="103">
        <v>64.3</v>
      </c>
      <c r="W91" s="103">
        <v>63.9</v>
      </c>
      <c r="X91" s="103">
        <v>63.5</v>
      </c>
      <c r="Y91" s="103">
        <v>63.3</v>
      </c>
      <c r="Z91" s="103">
        <v>64</v>
      </c>
      <c r="AA91" s="103">
        <v>64</v>
      </c>
      <c r="AB91" s="103">
        <v>64.5</v>
      </c>
      <c r="AC91" s="103">
        <v>64.900000000000006</v>
      </c>
      <c r="AD91" s="103">
        <v>64.900000000000006</v>
      </c>
      <c r="AE91" s="103">
        <v>64.900000000000006</v>
      </c>
      <c r="AF91" s="103">
        <v>65.2</v>
      </c>
      <c r="AG91" s="104"/>
      <c r="AH91" s="54">
        <f t="shared" si="22"/>
        <v>66.8</v>
      </c>
      <c r="AI91" s="55">
        <f t="shared" si="23"/>
        <v>62.2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 t="shared" ref="B93" si="36">SUM(B15,B18,B21:B22,B42,B44:B45,B47,B49,B94:B97,B102,B108,B114,B123,B125,B137,B144,B147:B148,B155,B157,B159,B163:B165,B167:B169,B174,B180:B181,B183:B185,B193,B198)</f>
        <v>191.53999999999996</v>
      </c>
      <c r="C93" s="110">
        <f>SUM(C15,C18,C21:C22,C42,C44:C45,C47,C49,C94:C97,C102,C108,C114,C123,C125,C137,C144,C147:C148,C155,C157,C159,C163:C165,C167:C169,C174,C180:C181,C183:C185,C193,C198)</f>
        <v>181.33999999999995</v>
      </c>
      <c r="D93" s="110">
        <f t="shared" ref="D93:AF93" si="37">SUM(D15,D18,D21:D22,D42,D44:D45,D47,D49,D94:D97,D102,D108,D114,D123,D125,D137,D144,D147:D148,D155,D157,D159,D163:D165,D167:D169,D174,D180:D181,D183:D185,D193,D198)</f>
        <v>174.73999999999998</v>
      </c>
      <c r="E93" s="110">
        <f t="shared" si="37"/>
        <v>172.03999999999996</v>
      </c>
      <c r="F93" s="110">
        <f t="shared" si="37"/>
        <v>173.73999999999995</v>
      </c>
      <c r="G93" s="109">
        <f t="shared" si="37"/>
        <v>198.53999999999996</v>
      </c>
      <c r="H93" s="109">
        <f t="shared" si="37"/>
        <v>214.23999999999995</v>
      </c>
      <c r="I93" s="109">
        <f t="shared" si="37"/>
        <v>271.04000000000002</v>
      </c>
      <c r="J93" s="109">
        <f t="shared" si="37"/>
        <v>322.54000000000002</v>
      </c>
      <c r="K93" s="109">
        <f t="shared" si="37"/>
        <v>363.54</v>
      </c>
      <c r="L93" s="109">
        <f t="shared" si="37"/>
        <v>409.04</v>
      </c>
      <c r="M93" s="109">
        <f t="shared" si="37"/>
        <v>429.14</v>
      </c>
      <c r="N93" s="109">
        <f t="shared" si="37"/>
        <v>415.64</v>
      </c>
      <c r="O93" s="109">
        <f t="shared" si="37"/>
        <v>419.04</v>
      </c>
      <c r="P93" s="109">
        <f t="shared" si="37"/>
        <v>370.94</v>
      </c>
      <c r="Q93" s="109">
        <f t="shared" si="37"/>
        <v>367.84000000000003</v>
      </c>
      <c r="R93" s="109">
        <f t="shared" si="37"/>
        <v>349.64</v>
      </c>
      <c r="S93" s="109">
        <f t="shared" si="37"/>
        <v>429.04</v>
      </c>
      <c r="T93" s="109">
        <f t="shared" si="37"/>
        <v>426.54</v>
      </c>
      <c r="U93" s="109">
        <f t="shared" si="37"/>
        <v>410.14000000000004</v>
      </c>
      <c r="V93" s="109">
        <f t="shared" si="37"/>
        <v>417.54</v>
      </c>
      <c r="W93" s="109">
        <f t="shared" si="37"/>
        <v>440.24</v>
      </c>
      <c r="X93" s="109">
        <f t="shared" si="37"/>
        <v>489.54</v>
      </c>
      <c r="Y93" s="109">
        <v>505.6970833333333</v>
      </c>
      <c r="Z93" s="109">
        <f t="shared" si="37"/>
        <v>486.44000000000005</v>
      </c>
      <c r="AA93" s="109">
        <f t="shared" si="37"/>
        <v>486.44000000000005</v>
      </c>
      <c r="AB93" s="109">
        <f t="shared" si="37"/>
        <v>447.84000000000003</v>
      </c>
      <c r="AC93" s="109">
        <f>SUM(AC15,AC18,AC21:AC22,AC42,AC44:AC45,AC47,AC49,AC94:AC97,AC102,AC108,AC114,AC123,AC125,AC137,AC144,AC147:AC148,AC155,AC157,AC159,AC163:AC165,AC167:AC169,AC174,AC180:AC181,AC183:AC185,AC193,AC198)</f>
        <v>421.54</v>
      </c>
      <c r="AD93" s="109">
        <f>SUM(AD15,AD18,AD21:AD22,AD42,AD44:AD45,AD47,AD49,AD94:AD97,AD102,AD108,AD114,AD123,AD125,AD137,AD144,AD147:AD148,AD155,AD157,AD159,AD163:AD165,AD167:AD169,AD174,AD180:AD181,AD183:AD185,AD193,AD198)</f>
        <v>388.54000000000008</v>
      </c>
      <c r="AE93" s="109">
        <f t="shared" si="37"/>
        <v>305.04000000000008</v>
      </c>
      <c r="AF93" s="109">
        <f t="shared" si="37"/>
        <v>231.33999999999997</v>
      </c>
      <c r="AG93" s="111"/>
      <c r="AH93" s="54">
        <f>MAX(C93:AF93)</f>
        <v>505.6970833333333</v>
      </c>
      <c r="AI93" s="55">
        <f>MIN(C93:AF93)</f>
        <v>172.03999999999996</v>
      </c>
    </row>
    <row r="94" spans="1:88" x14ac:dyDescent="0.25">
      <c r="A94" s="112" t="s">
        <v>98</v>
      </c>
      <c r="B94" s="113">
        <v>13.9</v>
      </c>
      <c r="C94" s="58">
        <v>12.7</v>
      </c>
      <c r="D94" s="58">
        <v>3.3</v>
      </c>
      <c r="E94" s="58">
        <v>7.3</v>
      </c>
      <c r="F94" s="58">
        <v>19</v>
      </c>
      <c r="G94" s="114">
        <v>14</v>
      </c>
      <c r="H94" s="114">
        <v>19</v>
      </c>
      <c r="I94" s="114">
        <v>37</v>
      </c>
      <c r="J94" s="114">
        <v>45</v>
      </c>
      <c r="K94" s="114">
        <v>50</v>
      </c>
      <c r="L94" s="114">
        <v>57</v>
      </c>
      <c r="M94" s="113">
        <v>53.1</v>
      </c>
      <c r="N94" s="113">
        <v>50.3</v>
      </c>
      <c r="O94" s="113">
        <v>47.1</v>
      </c>
      <c r="P94" s="113">
        <v>41.5</v>
      </c>
      <c r="Q94" s="114">
        <v>31.8</v>
      </c>
      <c r="R94" s="114">
        <v>31.2</v>
      </c>
      <c r="S94" s="114">
        <v>47.8</v>
      </c>
      <c r="T94" s="114">
        <v>30.1</v>
      </c>
      <c r="U94" s="114">
        <v>22.7</v>
      </c>
      <c r="V94" s="114">
        <v>26.5</v>
      </c>
      <c r="W94" s="113">
        <v>47.5</v>
      </c>
      <c r="X94" s="114">
        <v>64.900000000000006</v>
      </c>
      <c r="Y94" s="113">
        <v>63.7</v>
      </c>
      <c r="Z94" s="113">
        <v>77.400000000000006</v>
      </c>
      <c r="AA94" s="113">
        <v>77.400000000000006</v>
      </c>
      <c r="AB94" s="113">
        <v>77.400000000000006</v>
      </c>
      <c r="AC94" s="113">
        <v>63.5</v>
      </c>
      <c r="AD94" s="113">
        <v>40.299999999999997</v>
      </c>
      <c r="AE94" s="113">
        <v>14.6</v>
      </c>
      <c r="AF94" s="113">
        <v>15.5</v>
      </c>
      <c r="AG94" s="115">
        <v>75</v>
      </c>
      <c r="AH94" s="54">
        <f t="shared" ref="AH94:AH99" si="38">IF(ABS(MAX(C94:AF94))&gt;ABS(MIN(C94:AF94)),MAX(C94:AF94),MIN(C94:AF94))</f>
        <v>77.400000000000006</v>
      </c>
      <c r="AI94" s="116">
        <f t="shared" ref="AI94:AI99" si="39">INDEX($C$9:$AF$9,1,MATCH(AH94,C94:AF94,0))</f>
        <v>0.79166666666666663</v>
      </c>
    </row>
    <row r="95" spans="1:88" x14ac:dyDescent="0.25">
      <c r="A95" s="117" t="s">
        <v>99</v>
      </c>
      <c r="B95" s="73">
        <f>-32.4-35.5</f>
        <v>-67.900000000000006</v>
      </c>
      <c r="C95" s="60">
        <f>-33.6-37.2</f>
        <v>-70.800000000000011</v>
      </c>
      <c r="D95" s="60">
        <f>-34.5-38.6</f>
        <v>-73.099999999999994</v>
      </c>
      <c r="E95" s="60">
        <v>-77</v>
      </c>
      <c r="F95" s="60">
        <v>-78</v>
      </c>
      <c r="G95" s="60">
        <v>-68</v>
      </c>
      <c r="H95" s="60">
        <v>-66</v>
      </c>
      <c r="I95" s="60">
        <v>-42</v>
      </c>
      <c r="J95" s="60">
        <v>-20</v>
      </c>
      <c r="K95" s="60">
        <v>-5</v>
      </c>
      <c r="L95" s="60">
        <v>11</v>
      </c>
      <c r="M95" s="60">
        <v>27.4</v>
      </c>
      <c r="N95" s="60">
        <v>25</v>
      </c>
      <c r="O95" s="60">
        <v>22.5</v>
      </c>
      <c r="P95" s="60">
        <v>8.5</v>
      </c>
      <c r="Q95" s="60">
        <v>4.0999999999999996</v>
      </c>
      <c r="R95" s="60">
        <v>3.9</v>
      </c>
      <c r="S95" s="60">
        <f>25+20</f>
        <v>45</v>
      </c>
      <c r="T95" s="60">
        <f>27+22</f>
        <v>49</v>
      </c>
      <c r="U95" s="60">
        <v>35</v>
      </c>
      <c r="V95" s="60">
        <v>39</v>
      </c>
      <c r="W95" s="60">
        <f>36+32</f>
        <v>68</v>
      </c>
      <c r="X95" s="60">
        <f>42+39</f>
        <v>81</v>
      </c>
      <c r="Y95" s="60">
        <v>67</v>
      </c>
      <c r="Z95" s="60">
        <v>55</v>
      </c>
      <c r="AA95" s="60">
        <v>55</v>
      </c>
      <c r="AB95" s="60">
        <f>21.4+16.2</f>
        <v>37.599999999999994</v>
      </c>
      <c r="AC95" s="73">
        <f>19.8+16.3</f>
        <v>36.1</v>
      </c>
      <c r="AD95" s="73">
        <f>19+17.3</f>
        <v>36.299999999999997</v>
      </c>
      <c r="AE95" s="73">
        <f>2.1+2.2</f>
        <v>4.3000000000000007</v>
      </c>
      <c r="AF95" s="73">
        <v>-56</v>
      </c>
      <c r="AG95" s="115">
        <v>240</v>
      </c>
      <c r="AH95" s="54">
        <f t="shared" si="38"/>
        <v>81</v>
      </c>
      <c r="AI95" s="116">
        <f t="shared" si="39"/>
        <v>0.75</v>
      </c>
    </row>
    <row r="96" spans="1:88" x14ac:dyDescent="0.25">
      <c r="A96" s="117" t="s">
        <v>100</v>
      </c>
      <c r="B96" s="73">
        <v>13.5</v>
      </c>
      <c r="C96" s="60">
        <v>12.3</v>
      </c>
      <c r="D96" s="60">
        <v>12.7</v>
      </c>
      <c r="E96" s="60">
        <v>12.2</v>
      </c>
      <c r="F96" s="60">
        <v>12.2</v>
      </c>
      <c r="G96" s="60">
        <v>11</v>
      </c>
      <c r="H96" s="60">
        <v>10.7</v>
      </c>
      <c r="I96" s="60">
        <v>10.5</v>
      </c>
      <c r="J96" s="60">
        <v>27</v>
      </c>
      <c r="K96" s="60">
        <v>43</v>
      </c>
      <c r="L96" s="60">
        <v>59.5</v>
      </c>
      <c r="M96" s="60">
        <v>59.4</v>
      </c>
      <c r="N96" s="60">
        <v>59.6</v>
      </c>
      <c r="O96" s="60">
        <v>60.1</v>
      </c>
      <c r="P96" s="60">
        <v>49.7</v>
      </c>
      <c r="Q96" s="60">
        <v>44.1</v>
      </c>
      <c r="R96" s="60">
        <v>29.4</v>
      </c>
      <c r="S96" s="60">
        <v>52.7</v>
      </c>
      <c r="T96" s="60">
        <v>65.400000000000006</v>
      </c>
      <c r="U96" s="60">
        <v>66.2</v>
      </c>
      <c r="V96" s="60">
        <v>66.5</v>
      </c>
      <c r="W96" s="60">
        <v>66.8</v>
      </c>
      <c r="X96" s="60">
        <v>66.2</v>
      </c>
      <c r="Y96" s="60">
        <v>67.5</v>
      </c>
      <c r="Z96" s="60">
        <v>64.400000000000006</v>
      </c>
      <c r="AA96" s="60">
        <v>64.400000000000006</v>
      </c>
      <c r="AB96" s="60">
        <v>65.400000000000006</v>
      </c>
      <c r="AC96" s="73">
        <v>52.4</v>
      </c>
      <c r="AD96" s="73">
        <v>31.6</v>
      </c>
      <c r="AE96" s="73">
        <v>11</v>
      </c>
      <c r="AF96" s="73">
        <v>12.4</v>
      </c>
      <c r="AG96" s="115">
        <v>60</v>
      </c>
      <c r="AH96" s="54">
        <f t="shared" si="38"/>
        <v>67.5</v>
      </c>
      <c r="AI96" s="116">
        <f t="shared" si="39"/>
        <v>0.77083333333333337</v>
      </c>
    </row>
    <row r="97" spans="1:37" x14ac:dyDescent="0.25">
      <c r="A97" s="118" t="s">
        <v>101</v>
      </c>
      <c r="B97" s="119">
        <v>44.2</v>
      </c>
      <c r="C97" s="63">
        <v>40.1</v>
      </c>
      <c r="D97" s="63">
        <v>43.3</v>
      </c>
      <c r="E97" s="63">
        <v>41</v>
      </c>
      <c r="F97" s="60">
        <v>32</v>
      </c>
      <c r="G97" s="63">
        <v>53</v>
      </c>
      <c r="H97" s="63">
        <v>62</v>
      </c>
      <c r="I97" s="63">
        <v>77</v>
      </c>
      <c r="J97" s="63">
        <v>82</v>
      </c>
      <c r="K97" s="63">
        <v>87</v>
      </c>
      <c r="L97" s="63">
        <v>93</v>
      </c>
      <c r="M97" s="63">
        <v>102.6</v>
      </c>
      <c r="N97" s="63">
        <v>94.1</v>
      </c>
      <c r="O97" s="63">
        <v>103</v>
      </c>
      <c r="P97" s="63">
        <v>85.2</v>
      </c>
      <c r="Q97" s="63">
        <v>101.8</v>
      </c>
      <c r="R97" s="63">
        <v>103.1</v>
      </c>
      <c r="S97" s="63">
        <v>101.5</v>
      </c>
      <c r="T97" s="63">
        <v>99</v>
      </c>
      <c r="U97" s="63">
        <v>103</v>
      </c>
      <c r="V97" s="63">
        <v>102.5</v>
      </c>
      <c r="W97" s="63">
        <v>74.7</v>
      </c>
      <c r="X97" s="63">
        <v>94</v>
      </c>
      <c r="Y97" s="63">
        <v>101.7</v>
      </c>
      <c r="Z97" s="63">
        <v>98.6</v>
      </c>
      <c r="AA97" s="63">
        <v>98.6</v>
      </c>
      <c r="AB97" s="63">
        <v>74.599999999999994</v>
      </c>
      <c r="AC97" s="119">
        <v>74.8</v>
      </c>
      <c r="AD97" s="119">
        <v>85.6</v>
      </c>
      <c r="AE97" s="119">
        <v>80.400000000000006</v>
      </c>
      <c r="AF97" s="119">
        <v>64.2</v>
      </c>
      <c r="AG97" s="120">
        <v>120</v>
      </c>
      <c r="AH97" s="54">
        <f t="shared" si="38"/>
        <v>103.1</v>
      </c>
      <c r="AI97" s="116">
        <f t="shared" si="39"/>
        <v>0.54166666666666696</v>
      </c>
    </row>
    <row r="98" spans="1:37" x14ac:dyDescent="0.25">
      <c r="A98" s="118" t="s">
        <v>102</v>
      </c>
      <c r="B98" s="119">
        <v>57.3</v>
      </c>
      <c r="C98" s="63">
        <v>52.7</v>
      </c>
      <c r="D98" s="63">
        <v>55.5</v>
      </c>
      <c r="E98" s="63">
        <v>55</v>
      </c>
      <c r="F98" s="63">
        <v>48</v>
      </c>
      <c r="G98" s="63">
        <v>66</v>
      </c>
      <c r="H98" s="63">
        <v>70</v>
      </c>
      <c r="I98" s="63">
        <v>78</v>
      </c>
      <c r="J98" s="63">
        <v>94</v>
      </c>
      <c r="K98" s="63">
        <v>95</v>
      </c>
      <c r="L98" s="63">
        <v>80</v>
      </c>
      <c r="M98" s="63">
        <v>85.6</v>
      </c>
      <c r="N98" s="63">
        <v>100.6</v>
      </c>
      <c r="O98" s="63">
        <v>103.3</v>
      </c>
      <c r="P98" s="63">
        <v>106</v>
      </c>
      <c r="Q98" s="63">
        <v>101.4</v>
      </c>
      <c r="R98" s="63">
        <v>101.4</v>
      </c>
      <c r="S98" s="63">
        <v>84.8</v>
      </c>
      <c r="T98" s="63">
        <v>80.900000000000006</v>
      </c>
      <c r="U98" s="63">
        <v>83.4</v>
      </c>
      <c r="V98" s="63">
        <v>80</v>
      </c>
      <c r="W98" s="63">
        <v>88.78</v>
      </c>
      <c r="X98" s="63">
        <v>82.4</v>
      </c>
      <c r="Y98" s="63">
        <v>78.3</v>
      </c>
      <c r="Z98" s="63">
        <v>62.1</v>
      </c>
      <c r="AA98" s="63">
        <v>62.1</v>
      </c>
      <c r="AB98" s="63">
        <v>36.200000000000003</v>
      </c>
      <c r="AC98" s="119">
        <v>54</v>
      </c>
      <c r="AD98" s="119">
        <v>65</v>
      </c>
      <c r="AE98" s="119">
        <v>69.5</v>
      </c>
      <c r="AF98" s="119">
        <v>71.599999999999994</v>
      </c>
      <c r="AG98" s="120"/>
      <c r="AH98" s="54">
        <f t="shared" si="38"/>
        <v>106</v>
      </c>
      <c r="AI98" s="116">
        <f t="shared" si="39"/>
        <v>0.45833333333333298</v>
      </c>
    </row>
    <row r="99" spans="1:37" ht="15.75" thickBot="1" x14ac:dyDescent="0.3">
      <c r="A99" s="118" t="s">
        <v>217</v>
      </c>
      <c r="B99" s="119">
        <v>57</v>
      </c>
      <c r="C99" s="63">
        <v>49.7</v>
      </c>
      <c r="D99" s="63">
        <v>60.5</v>
      </c>
      <c r="E99" s="63">
        <v>63</v>
      </c>
      <c r="F99" s="63">
        <v>52</v>
      </c>
      <c r="G99" s="63">
        <v>61</v>
      </c>
      <c r="H99" s="63">
        <v>46</v>
      </c>
      <c r="I99" s="63">
        <v>50</v>
      </c>
      <c r="J99" s="63">
        <v>42</v>
      </c>
      <c r="K99" s="63">
        <v>37</v>
      </c>
      <c r="L99" s="63">
        <v>27</v>
      </c>
      <c r="M99" s="63">
        <v>14.8</v>
      </c>
      <c r="N99" s="63">
        <v>6.6</v>
      </c>
      <c r="O99" s="63">
        <v>5.6</v>
      </c>
      <c r="P99" s="63">
        <v>9.8000000000000007</v>
      </c>
      <c r="Q99" s="63">
        <v>11.8</v>
      </c>
      <c r="R99" s="63">
        <v>14.4</v>
      </c>
      <c r="S99" s="63">
        <v>12.3</v>
      </c>
      <c r="T99" s="63"/>
      <c r="U99" s="63">
        <v>31.5</v>
      </c>
      <c r="V99" s="63">
        <v>21.8</v>
      </c>
      <c r="W99" s="63">
        <v>16.2</v>
      </c>
      <c r="X99" s="63">
        <v>17.100000000000001</v>
      </c>
      <c r="Y99" s="63">
        <v>15.4</v>
      </c>
      <c r="Z99" s="63">
        <v>4</v>
      </c>
      <c r="AA99" s="63">
        <v>4</v>
      </c>
      <c r="AB99" s="63">
        <v>-1.7</v>
      </c>
      <c r="AC99" s="119">
        <v>8.9</v>
      </c>
      <c r="AD99" s="119">
        <v>13.3</v>
      </c>
      <c r="AE99" s="119">
        <v>47.3</v>
      </c>
      <c r="AF99" s="119">
        <v>55</v>
      </c>
      <c r="AG99" s="121"/>
      <c r="AH99" s="54">
        <f t="shared" si="38"/>
        <v>63</v>
      </c>
      <c r="AI99" s="116">
        <f t="shared" si="39"/>
        <v>0.125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40">AF101</f>
        <v>9.9</v>
      </c>
      <c r="C101" s="53">
        <v>9.9</v>
      </c>
      <c r="D101" s="127">
        <f t="shared" ref="D101:S106" si="41">C101</f>
        <v>9.9</v>
      </c>
      <c r="E101" s="127">
        <f t="shared" si="41"/>
        <v>9.9</v>
      </c>
      <c r="F101" s="127">
        <f t="shared" si="41"/>
        <v>9.9</v>
      </c>
      <c r="G101" s="127">
        <f t="shared" si="41"/>
        <v>9.9</v>
      </c>
      <c r="H101" s="127">
        <f t="shared" si="41"/>
        <v>9.9</v>
      </c>
      <c r="I101" s="127">
        <f t="shared" si="41"/>
        <v>9.9</v>
      </c>
      <c r="J101" s="127">
        <f t="shared" si="41"/>
        <v>9.9</v>
      </c>
      <c r="K101" s="127">
        <f t="shared" si="41"/>
        <v>9.9</v>
      </c>
      <c r="L101" s="127">
        <f t="shared" si="41"/>
        <v>9.9</v>
      </c>
      <c r="M101" s="127">
        <f t="shared" si="41"/>
        <v>9.9</v>
      </c>
      <c r="N101" s="127">
        <f t="shared" si="41"/>
        <v>9.9</v>
      </c>
      <c r="O101" s="127">
        <f t="shared" si="41"/>
        <v>9.9</v>
      </c>
      <c r="P101" s="127">
        <f t="shared" si="41"/>
        <v>9.9</v>
      </c>
      <c r="Q101" s="127">
        <f t="shared" si="41"/>
        <v>9.9</v>
      </c>
      <c r="R101" s="127">
        <f t="shared" si="41"/>
        <v>9.9</v>
      </c>
      <c r="S101" s="127">
        <f t="shared" si="41"/>
        <v>9.9</v>
      </c>
      <c r="T101" s="127">
        <f t="shared" ref="T101:AF106" si="42">S101</f>
        <v>9.9</v>
      </c>
      <c r="U101" s="127">
        <f t="shared" si="42"/>
        <v>9.9</v>
      </c>
      <c r="V101" s="127">
        <f t="shared" si="42"/>
        <v>9.9</v>
      </c>
      <c r="W101" s="127">
        <f t="shared" si="42"/>
        <v>9.9</v>
      </c>
      <c r="X101" s="127">
        <f t="shared" si="42"/>
        <v>9.9</v>
      </c>
      <c r="Y101" s="127">
        <f t="shared" si="42"/>
        <v>9.9</v>
      </c>
      <c r="Z101" s="127">
        <f t="shared" si="42"/>
        <v>9.9</v>
      </c>
      <c r="AA101" s="127">
        <f t="shared" si="42"/>
        <v>9.9</v>
      </c>
      <c r="AB101" s="127">
        <f t="shared" si="42"/>
        <v>9.9</v>
      </c>
      <c r="AC101" s="127">
        <f t="shared" si="42"/>
        <v>9.9</v>
      </c>
      <c r="AD101" s="127">
        <f t="shared" si="42"/>
        <v>9.9</v>
      </c>
      <c r="AE101" s="127">
        <f t="shared" si="42"/>
        <v>9.9</v>
      </c>
      <c r="AF101" s="127">
        <f t="shared" si="42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40"/>
        <v>9.6</v>
      </c>
      <c r="C102" s="130">
        <v>9.6</v>
      </c>
      <c r="D102" s="129">
        <f t="shared" si="41"/>
        <v>9.6</v>
      </c>
      <c r="E102" s="129">
        <f t="shared" si="41"/>
        <v>9.6</v>
      </c>
      <c r="F102" s="129">
        <f t="shared" si="41"/>
        <v>9.6</v>
      </c>
      <c r="G102" s="129">
        <f t="shared" si="41"/>
        <v>9.6</v>
      </c>
      <c r="H102" s="129">
        <f t="shared" si="41"/>
        <v>9.6</v>
      </c>
      <c r="I102" s="129">
        <f t="shared" si="41"/>
        <v>9.6</v>
      </c>
      <c r="J102" s="129">
        <f t="shared" si="41"/>
        <v>9.6</v>
      </c>
      <c r="K102" s="129">
        <f t="shared" si="41"/>
        <v>9.6</v>
      </c>
      <c r="L102" s="129">
        <f t="shared" si="41"/>
        <v>9.6</v>
      </c>
      <c r="M102" s="129">
        <f t="shared" si="41"/>
        <v>9.6</v>
      </c>
      <c r="N102" s="129">
        <f t="shared" si="41"/>
        <v>9.6</v>
      </c>
      <c r="O102" s="129">
        <f t="shared" si="41"/>
        <v>9.6</v>
      </c>
      <c r="P102" s="129">
        <f t="shared" si="41"/>
        <v>9.6</v>
      </c>
      <c r="Q102" s="129">
        <f t="shared" si="41"/>
        <v>9.6</v>
      </c>
      <c r="R102" s="129">
        <f t="shared" si="41"/>
        <v>9.6</v>
      </c>
      <c r="S102" s="129">
        <f t="shared" si="41"/>
        <v>9.6</v>
      </c>
      <c r="T102" s="129">
        <f t="shared" si="42"/>
        <v>9.6</v>
      </c>
      <c r="U102" s="129">
        <f t="shared" si="42"/>
        <v>9.6</v>
      </c>
      <c r="V102" s="129">
        <f t="shared" si="42"/>
        <v>9.6</v>
      </c>
      <c r="W102" s="129">
        <f t="shared" si="42"/>
        <v>9.6</v>
      </c>
      <c r="X102" s="129">
        <f t="shared" si="42"/>
        <v>9.6</v>
      </c>
      <c r="Y102" s="129">
        <f t="shared" si="42"/>
        <v>9.6</v>
      </c>
      <c r="Z102" s="129">
        <f t="shared" si="42"/>
        <v>9.6</v>
      </c>
      <c r="AA102" s="129">
        <f t="shared" si="42"/>
        <v>9.6</v>
      </c>
      <c r="AB102" s="129">
        <f t="shared" si="42"/>
        <v>9.6</v>
      </c>
      <c r="AC102" s="129">
        <f t="shared" si="42"/>
        <v>9.6</v>
      </c>
      <c r="AD102" s="129">
        <f t="shared" si="42"/>
        <v>9.6</v>
      </c>
      <c r="AE102" s="129">
        <f t="shared" si="42"/>
        <v>9.6</v>
      </c>
      <c r="AF102" s="129">
        <f t="shared" si="42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40"/>
        <v>9.98</v>
      </c>
      <c r="C103" s="130">
        <v>9.98</v>
      </c>
      <c r="D103" s="129">
        <f t="shared" si="41"/>
        <v>9.98</v>
      </c>
      <c r="E103" s="129">
        <f t="shared" si="41"/>
        <v>9.98</v>
      </c>
      <c r="F103" s="129">
        <f t="shared" si="41"/>
        <v>9.98</v>
      </c>
      <c r="G103" s="129">
        <f t="shared" si="41"/>
        <v>9.98</v>
      </c>
      <c r="H103" s="129">
        <f t="shared" si="41"/>
        <v>9.98</v>
      </c>
      <c r="I103" s="129">
        <f t="shared" si="41"/>
        <v>9.98</v>
      </c>
      <c r="J103" s="129">
        <f t="shared" si="41"/>
        <v>9.98</v>
      </c>
      <c r="K103" s="129">
        <f t="shared" si="41"/>
        <v>9.98</v>
      </c>
      <c r="L103" s="129">
        <f t="shared" si="41"/>
        <v>9.98</v>
      </c>
      <c r="M103" s="129">
        <f t="shared" si="41"/>
        <v>9.98</v>
      </c>
      <c r="N103" s="129">
        <f t="shared" si="41"/>
        <v>9.98</v>
      </c>
      <c r="O103" s="129">
        <f t="shared" si="41"/>
        <v>9.98</v>
      </c>
      <c r="P103" s="129">
        <f t="shared" si="41"/>
        <v>9.98</v>
      </c>
      <c r="Q103" s="129">
        <f t="shared" si="41"/>
        <v>9.98</v>
      </c>
      <c r="R103" s="129">
        <f t="shared" si="41"/>
        <v>9.98</v>
      </c>
      <c r="S103" s="129">
        <f t="shared" si="41"/>
        <v>9.98</v>
      </c>
      <c r="T103" s="129">
        <f t="shared" si="42"/>
        <v>9.98</v>
      </c>
      <c r="U103" s="129">
        <f t="shared" si="42"/>
        <v>9.98</v>
      </c>
      <c r="V103" s="129">
        <f t="shared" si="42"/>
        <v>9.98</v>
      </c>
      <c r="W103" s="129">
        <f t="shared" si="42"/>
        <v>9.98</v>
      </c>
      <c r="X103" s="129">
        <f t="shared" si="42"/>
        <v>9.98</v>
      </c>
      <c r="Y103" s="129">
        <f t="shared" si="42"/>
        <v>9.98</v>
      </c>
      <c r="Z103" s="129">
        <f t="shared" si="42"/>
        <v>9.98</v>
      </c>
      <c r="AA103" s="129">
        <f t="shared" si="42"/>
        <v>9.98</v>
      </c>
      <c r="AB103" s="129">
        <f t="shared" si="42"/>
        <v>9.98</v>
      </c>
      <c r="AC103" s="129">
        <f t="shared" si="42"/>
        <v>9.98</v>
      </c>
      <c r="AD103" s="129">
        <f t="shared" si="42"/>
        <v>9.98</v>
      </c>
      <c r="AE103" s="129">
        <f t="shared" si="42"/>
        <v>9.98</v>
      </c>
      <c r="AF103" s="129">
        <f t="shared" si="42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40"/>
        <v>9.1</v>
      </c>
      <c r="C104" s="130">
        <v>9.1</v>
      </c>
      <c r="D104" s="129">
        <f t="shared" si="41"/>
        <v>9.1</v>
      </c>
      <c r="E104" s="129">
        <f t="shared" si="41"/>
        <v>9.1</v>
      </c>
      <c r="F104" s="129">
        <f t="shared" si="41"/>
        <v>9.1</v>
      </c>
      <c r="G104" s="129">
        <f t="shared" si="41"/>
        <v>9.1</v>
      </c>
      <c r="H104" s="129">
        <f t="shared" si="41"/>
        <v>9.1</v>
      </c>
      <c r="I104" s="129">
        <f t="shared" si="41"/>
        <v>9.1</v>
      </c>
      <c r="J104" s="129">
        <f t="shared" si="41"/>
        <v>9.1</v>
      </c>
      <c r="K104" s="129">
        <f t="shared" si="41"/>
        <v>9.1</v>
      </c>
      <c r="L104" s="129">
        <f t="shared" si="41"/>
        <v>9.1</v>
      </c>
      <c r="M104" s="129">
        <f t="shared" si="41"/>
        <v>9.1</v>
      </c>
      <c r="N104" s="129">
        <f t="shared" si="41"/>
        <v>9.1</v>
      </c>
      <c r="O104" s="129">
        <f t="shared" si="41"/>
        <v>9.1</v>
      </c>
      <c r="P104" s="129">
        <f t="shared" si="41"/>
        <v>9.1</v>
      </c>
      <c r="Q104" s="129">
        <f t="shared" si="41"/>
        <v>9.1</v>
      </c>
      <c r="R104" s="129">
        <f t="shared" si="41"/>
        <v>9.1</v>
      </c>
      <c r="S104" s="129">
        <f t="shared" si="41"/>
        <v>9.1</v>
      </c>
      <c r="T104" s="129">
        <f t="shared" si="42"/>
        <v>9.1</v>
      </c>
      <c r="U104" s="129">
        <f t="shared" si="42"/>
        <v>9.1</v>
      </c>
      <c r="V104" s="129">
        <f t="shared" si="42"/>
        <v>9.1</v>
      </c>
      <c r="W104" s="129">
        <f t="shared" si="42"/>
        <v>9.1</v>
      </c>
      <c r="X104" s="129">
        <f t="shared" si="42"/>
        <v>9.1</v>
      </c>
      <c r="Y104" s="129">
        <f t="shared" si="42"/>
        <v>9.1</v>
      </c>
      <c r="Z104" s="129">
        <f t="shared" si="42"/>
        <v>9.1</v>
      </c>
      <c r="AA104" s="129">
        <f t="shared" si="42"/>
        <v>9.1</v>
      </c>
      <c r="AB104" s="129">
        <f t="shared" si="42"/>
        <v>9.1</v>
      </c>
      <c r="AC104" s="129">
        <f t="shared" si="42"/>
        <v>9.1</v>
      </c>
      <c r="AD104" s="129">
        <f t="shared" si="42"/>
        <v>9.1</v>
      </c>
      <c r="AE104" s="129">
        <f t="shared" si="42"/>
        <v>9.1</v>
      </c>
      <c r="AF104" s="129">
        <f t="shared" si="42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40"/>
        <v>9.18</v>
      </c>
      <c r="C105" s="130">
        <v>9.18</v>
      </c>
      <c r="D105" s="129">
        <f t="shared" si="41"/>
        <v>9.18</v>
      </c>
      <c r="E105" s="129">
        <f t="shared" si="41"/>
        <v>9.18</v>
      </c>
      <c r="F105" s="129">
        <f t="shared" si="41"/>
        <v>9.18</v>
      </c>
      <c r="G105" s="129">
        <f t="shared" si="41"/>
        <v>9.18</v>
      </c>
      <c r="H105" s="129">
        <f t="shared" si="41"/>
        <v>9.18</v>
      </c>
      <c r="I105" s="129">
        <f t="shared" si="41"/>
        <v>9.18</v>
      </c>
      <c r="J105" s="129">
        <f t="shared" si="41"/>
        <v>9.18</v>
      </c>
      <c r="K105" s="129">
        <f t="shared" si="41"/>
        <v>9.18</v>
      </c>
      <c r="L105" s="129">
        <f t="shared" si="41"/>
        <v>9.18</v>
      </c>
      <c r="M105" s="129">
        <f t="shared" si="41"/>
        <v>9.18</v>
      </c>
      <c r="N105" s="129">
        <f t="shared" si="41"/>
        <v>9.18</v>
      </c>
      <c r="O105" s="129">
        <f t="shared" si="41"/>
        <v>9.18</v>
      </c>
      <c r="P105" s="129">
        <f t="shared" si="41"/>
        <v>9.18</v>
      </c>
      <c r="Q105" s="129">
        <f t="shared" si="41"/>
        <v>9.18</v>
      </c>
      <c r="R105" s="129">
        <f t="shared" si="41"/>
        <v>9.18</v>
      </c>
      <c r="S105" s="129">
        <f t="shared" si="41"/>
        <v>9.18</v>
      </c>
      <c r="T105" s="129">
        <f t="shared" si="42"/>
        <v>9.18</v>
      </c>
      <c r="U105" s="129">
        <f t="shared" si="42"/>
        <v>9.18</v>
      </c>
      <c r="V105" s="129">
        <f t="shared" si="42"/>
        <v>9.18</v>
      </c>
      <c r="W105" s="129">
        <f t="shared" si="42"/>
        <v>9.18</v>
      </c>
      <c r="X105" s="129">
        <f t="shared" si="42"/>
        <v>9.18</v>
      </c>
      <c r="Y105" s="129">
        <f t="shared" si="42"/>
        <v>9.18</v>
      </c>
      <c r="Z105" s="129">
        <f t="shared" si="42"/>
        <v>9.18</v>
      </c>
      <c r="AA105" s="129">
        <f t="shared" si="42"/>
        <v>9.18</v>
      </c>
      <c r="AB105" s="129">
        <f t="shared" si="42"/>
        <v>9.18</v>
      </c>
      <c r="AC105" s="129">
        <f t="shared" si="42"/>
        <v>9.18</v>
      </c>
      <c r="AD105" s="129">
        <f t="shared" si="42"/>
        <v>9.18</v>
      </c>
      <c r="AE105" s="129">
        <f t="shared" si="42"/>
        <v>9.18</v>
      </c>
      <c r="AF105" s="129">
        <f t="shared" si="42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40"/>
        <v>7</v>
      </c>
      <c r="C106" s="130">
        <v>7</v>
      </c>
      <c r="D106" s="129">
        <f t="shared" si="41"/>
        <v>7</v>
      </c>
      <c r="E106" s="129">
        <f t="shared" si="41"/>
        <v>7</v>
      </c>
      <c r="F106" s="129">
        <f t="shared" si="41"/>
        <v>7</v>
      </c>
      <c r="G106" s="129">
        <f t="shared" si="41"/>
        <v>7</v>
      </c>
      <c r="H106" s="129">
        <f t="shared" si="41"/>
        <v>7</v>
      </c>
      <c r="I106" s="129">
        <f t="shared" si="41"/>
        <v>7</v>
      </c>
      <c r="J106" s="129">
        <f t="shared" si="41"/>
        <v>7</v>
      </c>
      <c r="K106" s="129">
        <f t="shared" si="41"/>
        <v>7</v>
      </c>
      <c r="L106" s="129">
        <f t="shared" si="41"/>
        <v>7</v>
      </c>
      <c r="M106" s="129">
        <f t="shared" si="41"/>
        <v>7</v>
      </c>
      <c r="N106" s="129">
        <f t="shared" si="41"/>
        <v>7</v>
      </c>
      <c r="O106" s="129">
        <f t="shared" si="41"/>
        <v>7</v>
      </c>
      <c r="P106" s="129">
        <f t="shared" si="41"/>
        <v>7</v>
      </c>
      <c r="Q106" s="129">
        <f t="shared" si="41"/>
        <v>7</v>
      </c>
      <c r="R106" s="129">
        <f t="shared" si="41"/>
        <v>7</v>
      </c>
      <c r="S106" s="129">
        <f t="shared" si="41"/>
        <v>7</v>
      </c>
      <c r="T106" s="129">
        <f t="shared" si="42"/>
        <v>7</v>
      </c>
      <c r="U106" s="129">
        <f t="shared" si="42"/>
        <v>7</v>
      </c>
      <c r="V106" s="129">
        <f t="shared" si="42"/>
        <v>7</v>
      </c>
      <c r="W106" s="129">
        <f t="shared" si="42"/>
        <v>7</v>
      </c>
      <c r="X106" s="129">
        <f t="shared" si="42"/>
        <v>7</v>
      </c>
      <c r="Y106" s="129">
        <f t="shared" si="42"/>
        <v>7</v>
      </c>
      <c r="Z106" s="129">
        <f t="shared" si="42"/>
        <v>7</v>
      </c>
      <c r="AA106" s="129">
        <f t="shared" si="42"/>
        <v>7</v>
      </c>
      <c r="AB106" s="129">
        <f t="shared" si="42"/>
        <v>7</v>
      </c>
      <c r="AC106" s="129">
        <f t="shared" si="42"/>
        <v>7</v>
      </c>
      <c r="AD106" s="129">
        <f t="shared" si="42"/>
        <v>7</v>
      </c>
      <c r="AE106" s="129">
        <f t="shared" si="42"/>
        <v>7</v>
      </c>
      <c r="AF106" s="129">
        <f t="shared" si="42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43">C108</f>
        <v>2.25</v>
      </c>
      <c r="E108" s="129">
        <f t="shared" si="43"/>
        <v>2.25</v>
      </c>
      <c r="F108" s="129">
        <f t="shared" si="43"/>
        <v>2.25</v>
      </c>
      <c r="G108" s="129">
        <f t="shared" si="43"/>
        <v>2.25</v>
      </c>
      <c r="H108" s="129">
        <f t="shared" si="43"/>
        <v>2.25</v>
      </c>
      <c r="I108" s="129">
        <f t="shared" si="43"/>
        <v>2.25</v>
      </c>
      <c r="J108" s="129">
        <f t="shared" si="43"/>
        <v>2.25</v>
      </c>
      <c r="K108" s="129">
        <f t="shared" si="43"/>
        <v>2.25</v>
      </c>
      <c r="L108" s="129">
        <f t="shared" si="43"/>
        <v>2.25</v>
      </c>
      <c r="M108" s="129">
        <f t="shared" si="43"/>
        <v>2.25</v>
      </c>
      <c r="N108" s="129">
        <f t="shared" si="43"/>
        <v>2.25</v>
      </c>
      <c r="O108" s="129">
        <f t="shared" si="43"/>
        <v>2.25</v>
      </c>
      <c r="P108" s="129">
        <f t="shared" si="43"/>
        <v>2.25</v>
      </c>
      <c r="Q108" s="129">
        <f t="shared" si="43"/>
        <v>2.25</v>
      </c>
      <c r="R108" s="129">
        <f t="shared" si="43"/>
        <v>2.25</v>
      </c>
      <c r="S108" s="129">
        <f t="shared" si="43"/>
        <v>2.25</v>
      </c>
      <c r="T108" s="129">
        <f t="shared" ref="T108:AF109" si="44">S108</f>
        <v>2.25</v>
      </c>
      <c r="U108" s="129">
        <f t="shared" si="44"/>
        <v>2.25</v>
      </c>
      <c r="V108" s="129">
        <f t="shared" si="44"/>
        <v>2.25</v>
      </c>
      <c r="W108" s="129">
        <f t="shared" si="44"/>
        <v>2.25</v>
      </c>
      <c r="X108" s="129">
        <f t="shared" si="44"/>
        <v>2.25</v>
      </c>
      <c r="Y108" s="129">
        <f t="shared" si="44"/>
        <v>2.25</v>
      </c>
      <c r="Z108" s="129">
        <f t="shared" si="44"/>
        <v>2.25</v>
      </c>
      <c r="AA108" s="129">
        <f t="shared" si="44"/>
        <v>2.25</v>
      </c>
      <c r="AB108" s="129">
        <f t="shared" si="44"/>
        <v>2.25</v>
      </c>
      <c r="AC108" s="129">
        <f t="shared" si="44"/>
        <v>2.25</v>
      </c>
      <c r="AD108" s="129">
        <f t="shared" si="44"/>
        <v>2.25</v>
      </c>
      <c r="AE108" s="129">
        <f t="shared" si="44"/>
        <v>2.25</v>
      </c>
      <c r="AF108" s="129">
        <f t="shared" si="44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43"/>
        <v>1.64</v>
      </c>
      <c r="E109" s="129">
        <f t="shared" si="43"/>
        <v>1.64</v>
      </c>
      <c r="F109" s="129">
        <f t="shared" si="43"/>
        <v>1.64</v>
      </c>
      <c r="G109" s="129">
        <f t="shared" si="43"/>
        <v>1.64</v>
      </c>
      <c r="H109" s="129">
        <f t="shared" si="43"/>
        <v>1.64</v>
      </c>
      <c r="I109" s="129">
        <f t="shared" si="43"/>
        <v>1.64</v>
      </c>
      <c r="J109" s="129">
        <f t="shared" si="43"/>
        <v>1.64</v>
      </c>
      <c r="K109" s="129">
        <f t="shared" si="43"/>
        <v>1.64</v>
      </c>
      <c r="L109" s="129">
        <f t="shared" si="43"/>
        <v>1.64</v>
      </c>
      <c r="M109" s="129">
        <f t="shared" si="43"/>
        <v>1.64</v>
      </c>
      <c r="N109" s="129">
        <f t="shared" si="43"/>
        <v>1.64</v>
      </c>
      <c r="O109" s="129">
        <f t="shared" si="43"/>
        <v>1.64</v>
      </c>
      <c r="P109" s="129">
        <f t="shared" si="43"/>
        <v>1.64</v>
      </c>
      <c r="Q109" s="129">
        <f t="shared" si="43"/>
        <v>1.64</v>
      </c>
      <c r="R109" s="129">
        <f t="shared" si="43"/>
        <v>1.64</v>
      </c>
      <c r="S109" s="129">
        <f t="shared" si="43"/>
        <v>1.64</v>
      </c>
      <c r="T109" s="129">
        <f t="shared" si="44"/>
        <v>1.64</v>
      </c>
      <c r="U109" s="129">
        <f t="shared" si="44"/>
        <v>1.64</v>
      </c>
      <c r="V109" s="129">
        <f t="shared" si="44"/>
        <v>1.64</v>
      </c>
      <c r="W109" s="129">
        <f t="shared" si="44"/>
        <v>1.64</v>
      </c>
      <c r="X109" s="129">
        <f t="shared" si="44"/>
        <v>1.64</v>
      </c>
      <c r="Y109" s="129">
        <f t="shared" si="44"/>
        <v>1.64</v>
      </c>
      <c r="Z109" s="129">
        <f t="shared" si="44"/>
        <v>1.64</v>
      </c>
      <c r="AA109" s="129">
        <f t="shared" si="44"/>
        <v>1.64</v>
      </c>
      <c r="AB109" s="129">
        <f t="shared" si="44"/>
        <v>1.64</v>
      </c>
      <c r="AC109" s="129">
        <f t="shared" si="44"/>
        <v>1.64</v>
      </c>
      <c r="AD109" s="129">
        <f t="shared" si="44"/>
        <v>1.64</v>
      </c>
      <c r="AE109" s="129">
        <f t="shared" si="44"/>
        <v>1.64</v>
      </c>
      <c r="AF109" s="129">
        <f t="shared" si="44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45">AF111</f>
        <v>1.62</v>
      </c>
      <c r="C111" s="130">
        <v>1.62</v>
      </c>
      <c r="D111" s="129">
        <f t="shared" ref="D111:S118" si="46">C111</f>
        <v>1.62</v>
      </c>
      <c r="E111" s="129">
        <f t="shared" si="46"/>
        <v>1.62</v>
      </c>
      <c r="F111" s="129">
        <f t="shared" si="46"/>
        <v>1.62</v>
      </c>
      <c r="G111" s="129">
        <f t="shared" si="46"/>
        <v>1.62</v>
      </c>
      <c r="H111" s="129">
        <f t="shared" si="46"/>
        <v>1.62</v>
      </c>
      <c r="I111" s="129">
        <f t="shared" si="46"/>
        <v>1.62</v>
      </c>
      <c r="J111" s="129">
        <f t="shared" si="46"/>
        <v>1.62</v>
      </c>
      <c r="K111" s="129">
        <f t="shared" si="46"/>
        <v>1.62</v>
      </c>
      <c r="L111" s="129">
        <f t="shared" si="46"/>
        <v>1.62</v>
      </c>
      <c r="M111" s="129">
        <f t="shared" si="46"/>
        <v>1.62</v>
      </c>
      <c r="N111" s="129">
        <f t="shared" si="46"/>
        <v>1.62</v>
      </c>
      <c r="O111" s="129">
        <f t="shared" si="46"/>
        <v>1.62</v>
      </c>
      <c r="P111" s="129">
        <f t="shared" si="46"/>
        <v>1.62</v>
      </c>
      <c r="Q111" s="129">
        <f t="shared" si="46"/>
        <v>1.62</v>
      </c>
      <c r="R111" s="129">
        <f t="shared" si="46"/>
        <v>1.62</v>
      </c>
      <c r="S111" s="129">
        <f t="shared" si="46"/>
        <v>1.62</v>
      </c>
      <c r="T111" s="129">
        <f t="shared" ref="T111:AF126" si="47">S111</f>
        <v>1.62</v>
      </c>
      <c r="U111" s="129">
        <f t="shared" si="47"/>
        <v>1.62</v>
      </c>
      <c r="V111" s="129">
        <f t="shared" si="47"/>
        <v>1.62</v>
      </c>
      <c r="W111" s="129">
        <f t="shared" si="47"/>
        <v>1.62</v>
      </c>
      <c r="X111" s="129">
        <f t="shared" si="47"/>
        <v>1.62</v>
      </c>
      <c r="Y111" s="129">
        <f t="shared" si="47"/>
        <v>1.62</v>
      </c>
      <c r="Z111" s="129">
        <f t="shared" si="47"/>
        <v>1.62</v>
      </c>
      <c r="AA111" s="129">
        <f t="shared" si="47"/>
        <v>1.62</v>
      </c>
      <c r="AB111" s="129">
        <f t="shared" si="47"/>
        <v>1.62</v>
      </c>
      <c r="AC111" s="129">
        <f t="shared" si="47"/>
        <v>1.62</v>
      </c>
      <c r="AD111" s="129">
        <f t="shared" si="47"/>
        <v>1.62</v>
      </c>
      <c r="AE111" s="129">
        <f t="shared" si="47"/>
        <v>1.62</v>
      </c>
      <c r="AF111" s="129">
        <f t="shared" si="47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45"/>
        <v>8.36</v>
      </c>
      <c r="C112" s="130">
        <v>8.36</v>
      </c>
      <c r="D112" s="129">
        <f t="shared" si="46"/>
        <v>8.36</v>
      </c>
      <c r="E112" s="129">
        <f t="shared" si="46"/>
        <v>8.36</v>
      </c>
      <c r="F112" s="129">
        <f t="shared" si="46"/>
        <v>8.36</v>
      </c>
      <c r="G112" s="129">
        <f t="shared" si="46"/>
        <v>8.36</v>
      </c>
      <c r="H112" s="129">
        <f t="shared" si="46"/>
        <v>8.36</v>
      </c>
      <c r="I112" s="129">
        <f t="shared" si="46"/>
        <v>8.36</v>
      </c>
      <c r="J112" s="129">
        <f t="shared" si="46"/>
        <v>8.36</v>
      </c>
      <c r="K112" s="129">
        <f t="shared" si="46"/>
        <v>8.36</v>
      </c>
      <c r="L112" s="129">
        <f t="shared" si="46"/>
        <v>8.36</v>
      </c>
      <c r="M112" s="129">
        <f t="shared" si="46"/>
        <v>8.36</v>
      </c>
      <c r="N112" s="129">
        <f t="shared" si="46"/>
        <v>8.36</v>
      </c>
      <c r="O112" s="129">
        <f t="shared" si="46"/>
        <v>8.36</v>
      </c>
      <c r="P112" s="129">
        <f t="shared" si="46"/>
        <v>8.36</v>
      </c>
      <c r="Q112" s="129">
        <f t="shared" si="46"/>
        <v>8.36</v>
      </c>
      <c r="R112" s="129">
        <f t="shared" si="46"/>
        <v>8.36</v>
      </c>
      <c r="S112" s="129">
        <f t="shared" si="46"/>
        <v>8.36</v>
      </c>
      <c r="T112" s="129">
        <f t="shared" si="47"/>
        <v>8.36</v>
      </c>
      <c r="U112" s="129">
        <f t="shared" si="47"/>
        <v>8.36</v>
      </c>
      <c r="V112" s="129">
        <f t="shared" si="47"/>
        <v>8.36</v>
      </c>
      <c r="W112" s="129">
        <f t="shared" si="47"/>
        <v>8.36</v>
      </c>
      <c r="X112" s="129">
        <f t="shared" si="47"/>
        <v>8.36</v>
      </c>
      <c r="Y112" s="129">
        <f t="shared" si="47"/>
        <v>8.36</v>
      </c>
      <c r="Z112" s="129">
        <f t="shared" si="47"/>
        <v>8.36</v>
      </c>
      <c r="AA112" s="129">
        <f t="shared" si="47"/>
        <v>8.36</v>
      </c>
      <c r="AB112" s="129">
        <f t="shared" si="47"/>
        <v>8.36</v>
      </c>
      <c r="AC112" s="129">
        <f t="shared" si="47"/>
        <v>8.36</v>
      </c>
      <c r="AD112" s="129">
        <f t="shared" si="47"/>
        <v>8.36</v>
      </c>
      <c r="AE112" s="129">
        <f t="shared" si="47"/>
        <v>8.36</v>
      </c>
      <c r="AF112" s="129">
        <f t="shared" si="47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45"/>
        <v>5.4</v>
      </c>
      <c r="C113" s="130">
        <v>8</v>
      </c>
      <c r="D113" s="129">
        <f t="shared" si="46"/>
        <v>8</v>
      </c>
      <c r="E113" s="129">
        <f t="shared" si="46"/>
        <v>8</v>
      </c>
      <c r="F113" s="129">
        <f t="shared" si="46"/>
        <v>8</v>
      </c>
      <c r="G113" s="129">
        <f t="shared" si="46"/>
        <v>8</v>
      </c>
      <c r="H113" s="129">
        <f t="shared" si="46"/>
        <v>8</v>
      </c>
      <c r="I113" s="129">
        <f t="shared" si="46"/>
        <v>8</v>
      </c>
      <c r="J113" s="129">
        <v>5.4</v>
      </c>
      <c r="K113" s="129">
        <f t="shared" si="46"/>
        <v>5.4</v>
      </c>
      <c r="L113" s="129">
        <f t="shared" si="46"/>
        <v>5.4</v>
      </c>
      <c r="M113" s="129">
        <f t="shared" si="46"/>
        <v>5.4</v>
      </c>
      <c r="N113" s="129">
        <f t="shared" si="46"/>
        <v>5.4</v>
      </c>
      <c r="O113" s="129">
        <f t="shared" si="46"/>
        <v>5.4</v>
      </c>
      <c r="P113" s="129">
        <f t="shared" si="46"/>
        <v>5.4</v>
      </c>
      <c r="Q113" s="129">
        <f t="shared" si="46"/>
        <v>5.4</v>
      </c>
      <c r="R113" s="129">
        <f t="shared" si="46"/>
        <v>5.4</v>
      </c>
      <c r="S113" s="129">
        <f t="shared" si="46"/>
        <v>5.4</v>
      </c>
      <c r="T113" s="129">
        <f t="shared" si="47"/>
        <v>5.4</v>
      </c>
      <c r="U113" s="129">
        <f t="shared" si="47"/>
        <v>5.4</v>
      </c>
      <c r="V113" s="129">
        <f t="shared" si="47"/>
        <v>5.4</v>
      </c>
      <c r="W113" s="129">
        <f t="shared" si="47"/>
        <v>5.4</v>
      </c>
      <c r="X113" s="129">
        <f t="shared" si="47"/>
        <v>5.4</v>
      </c>
      <c r="Y113" s="129">
        <f t="shared" si="47"/>
        <v>5.4</v>
      </c>
      <c r="Z113" s="129">
        <f t="shared" si="47"/>
        <v>5.4</v>
      </c>
      <c r="AA113" s="129">
        <f t="shared" si="47"/>
        <v>5.4</v>
      </c>
      <c r="AB113" s="129">
        <f t="shared" si="47"/>
        <v>5.4</v>
      </c>
      <c r="AC113" s="129">
        <f t="shared" si="47"/>
        <v>5.4</v>
      </c>
      <c r="AD113" s="129">
        <f t="shared" si="47"/>
        <v>5.4</v>
      </c>
      <c r="AE113" s="129">
        <f t="shared" si="47"/>
        <v>5.4</v>
      </c>
      <c r="AF113" s="129">
        <f t="shared" si="47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45"/>
        <v>6.57</v>
      </c>
      <c r="C114" s="130">
        <v>6.57</v>
      </c>
      <c r="D114" s="129">
        <f t="shared" si="46"/>
        <v>6.57</v>
      </c>
      <c r="E114" s="129">
        <f t="shared" si="46"/>
        <v>6.57</v>
      </c>
      <c r="F114" s="129">
        <f t="shared" si="46"/>
        <v>6.57</v>
      </c>
      <c r="G114" s="129">
        <f t="shared" si="46"/>
        <v>6.57</v>
      </c>
      <c r="H114" s="129">
        <f t="shared" si="46"/>
        <v>6.57</v>
      </c>
      <c r="I114" s="129">
        <f t="shared" si="46"/>
        <v>6.57</v>
      </c>
      <c r="J114" s="129">
        <f t="shared" si="46"/>
        <v>6.57</v>
      </c>
      <c r="K114" s="129">
        <f t="shared" si="46"/>
        <v>6.57</v>
      </c>
      <c r="L114" s="129">
        <f t="shared" si="46"/>
        <v>6.57</v>
      </c>
      <c r="M114" s="129">
        <f t="shared" si="46"/>
        <v>6.57</v>
      </c>
      <c r="N114" s="129">
        <f t="shared" si="46"/>
        <v>6.57</v>
      </c>
      <c r="O114" s="129">
        <f t="shared" si="46"/>
        <v>6.57</v>
      </c>
      <c r="P114" s="129">
        <f t="shared" si="46"/>
        <v>6.57</v>
      </c>
      <c r="Q114" s="129">
        <f t="shared" si="46"/>
        <v>6.57</v>
      </c>
      <c r="R114" s="129">
        <f t="shared" si="46"/>
        <v>6.57</v>
      </c>
      <c r="S114" s="129">
        <f t="shared" si="46"/>
        <v>6.57</v>
      </c>
      <c r="T114" s="129">
        <f t="shared" si="47"/>
        <v>6.57</v>
      </c>
      <c r="U114" s="129">
        <f t="shared" si="47"/>
        <v>6.57</v>
      </c>
      <c r="V114" s="129">
        <f t="shared" si="47"/>
        <v>6.57</v>
      </c>
      <c r="W114" s="129">
        <f t="shared" si="47"/>
        <v>6.57</v>
      </c>
      <c r="X114" s="129">
        <f t="shared" si="47"/>
        <v>6.57</v>
      </c>
      <c r="Y114" s="129">
        <f t="shared" si="47"/>
        <v>6.57</v>
      </c>
      <c r="Z114" s="129">
        <f t="shared" si="47"/>
        <v>6.57</v>
      </c>
      <c r="AA114" s="129">
        <f t="shared" si="47"/>
        <v>6.57</v>
      </c>
      <c r="AB114" s="129">
        <f t="shared" si="47"/>
        <v>6.57</v>
      </c>
      <c r="AC114" s="129">
        <f t="shared" si="47"/>
        <v>6.57</v>
      </c>
      <c r="AD114" s="129">
        <f t="shared" si="47"/>
        <v>6.57</v>
      </c>
      <c r="AE114" s="129">
        <f t="shared" si="47"/>
        <v>6.57</v>
      </c>
      <c r="AF114" s="129">
        <f t="shared" si="47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45"/>
        <v>3.43</v>
      </c>
      <c r="C115" s="130">
        <v>3.43</v>
      </c>
      <c r="D115" s="129">
        <f t="shared" si="46"/>
        <v>3.43</v>
      </c>
      <c r="E115" s="129">
        <f t="shared" si="46"/>
        <v>3.43</v>
      </c>
      <c r="F115" s="129">
        <f t="shared" si="46"/>
        <v>3.43</v>
      </c>
      <c r="G115" s="129">
        <f t="shared" si="46"/>
        <v>3.43</v>
      </c>
      <c r="H115" s="129">
        <f t="shared" si="46"/>
        <v>3.43</v>
      </c>
      <c r="I115" s="129">
        <f t="shared" si="46"/>
        <v>3.43</v>
      </c>
      <c r="J115" s="129">
        <f t="shared" si="46"/>
        <v>3.43</v>
      </c>
      <c r="K115" s="129">
        <f t="shared" si="46"/>
        <v>3.43</v>
      </c>
      <c r="L115" s="129">
        <f t="shared" si="46"/>
        <v>3.43</v>
      </c>
      <c r="M115" s="129">
        <f t="shared" si="46"/>
        <v>3.43</v>
      </c>
      <c r="N115" s="129">
        <f t="shared" si="46"/>
        <v>3.43</v>
      </c>
      <c r="O115" s="129">
        <f t="shared" si="46"/>
        <v>3.43</v>
      </c>
      <c r="P115" s="129">
        <f t="shared" si="46"/>
        <v>3.43</v>
      </c>
      <c r="Q115" s="129">
        <f t="shared" si="46"/>
        <v>3.43</v>
      </c>
      <c r="R115" s="129">
        <f t="shared" si="46"/>
        <v>3.43</v>
      </c>
      <c r="S115" s="129">
        <f t="shared" si="46"/>
        <v>3.43</v>
      </c>
      <c r="T115" s="129">
        <f t="shared" si="47"/>
        <v>3.43</v>
      </c>
      <c r="U115" s="129">
        <f t="shared" si="47"/>
        <v>3.43</v>
      </c>
      <c r="V115" s="129">
        <f t="shared" si="47"/>
        <v>3.43</v>
      </c>
      <c r="W115" s="129">
        <f t="shared" si="47"/>
        <v>3.43</v>
      </c>
      <c r="X115" s="129">
        <f t="shared" si="47"/>
        <v>3.43</v>
      </c>
      <c r="Y115" s="129">
        <f t="shared" si="47"/>
        <v>3.43</v>
      </c>
      <c r="Z115" s="129">
        <f t="shared" si="47"/>
        <v>3.43</v>
      </c>
      <c r="AA115" s="129">
        <f t="shared" si="47"/>
        <v>3.43</v>
      </c>
      <c r="AB115" s="129">
        <f t="shared" si="47"/>
        <v>3.43</v>
      </c>
      <c r="AC115" s="129">
        <f t="shared" si="47"/>
        <v>3.43</v>
      </c>
      <c r="AD115" s="129">
        <f t="shared" si="47"/>
        <v>3.43</v>
      </c>
      <c r="AE115" s="129">
        <f t="shared" si="47"/>
        <v>3.43</v>
      </c>
      <c r="AF115" s="129">
        <f t="shared" si="47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45"/>
        <v>2.96</v>
      </c>
      <c r="C116" s="130">
        <v>2.96</v>
      </c>
      <c r="D116" s="129">
        <f t="shared" si="46"/>
        <v>2.96</v>
      </c>
      <c r="E116" s="129">
        <f t="shared" si="46"/>
        <v>2.96</v>
      </c>
      <c r="F116" s="129">
        <f t="shared" si="46"/>
        <v>2.96</v>
      </c>
      <c r="G116" s="129">
        <f t="shared" si="46"/>
        <v>2.96</v>
      </c>
      <c r="H116" s="129">
        <f t="shared" si="46"/>
        <v>2.96</v>
      </c>
      <c r="I116" s="129">
        <f t="shared" si="46"/>
        <v>2.96</v>
      </c>
      <c r="J116" s="129">
        <f t="shared" si="46"/>
        <v>2.96</v>
      </c>
      <c r="K116" s="129">
        <f t="shared" si="46"/>
        <v>2.96</v>
      </c>
      <c r="L116" s="129">
        <f t="shared" si="46"/>
        <v>2.96</v>
      </c>
      <c r="M116" s="129">
        <f t="shared" si="46"/>
        <v>2.96</v>
      </c>
      <c r="N116" s="129">
        <f t="shared" si="46"/>
        <v>2.96</v>
      </c>
      <c r="O116" s="129">
        <f t="shared" si="46"/>
        <v>2.96</v>
      </c>
      <c r="P116" s="129">
        <f t="shared" si="46"/>
        <v>2.96</v>
      </c>
      <c r="Q116" s="129">
        <f t="shared" si="46"/>
        <v>2.96</v>
      </c>
      <c r="R116" s="129">
        <f t="shared" si="46"/>
        <v>2.96</v>
      </c>
      <c r="S116" s="129">
        <f t="shared" si="46"/>
        <v>2.96</v>
      </c>
      <c r="T116" s="129">
        <f t="shared" si="47"/>
        <v>2.96</v>
      </c>
      <c r="U116" s="129">
        <f t="shared" si="47"/>
        <v>2.96</v>
      </c>
      <c r="V116" s="129">
        <f t="shared" si="47"/>
        <v>2.96</v>
      </c>
      <c r="W116" s="129">
        <f t="shared" si="47"/>
        <v>2.96</v>
      </c>
      <c r="X116" s="129">
        <f t="shared" si="47"/>
        <v>2.96</v>
      </c>
      <c r="Y116" s="129">
        <f t="shared" si="47"/>
        <v>2.96</v>
      </c>
      <c r="Z116" s="129">
        <f t="shared" si="47"/>
        <v>2.96</v>
      </c>
      <c r="AA116" s="129">
        <f t="shared" si="47"/>
        <v>2.96</v>
      </c>
      <c r="AB116" s="129">
        <f t="shared" si="47"/>
        <v>2.96</v>
      </c>
      <c r="AC116" s="129">
        <f t="shared" si="47"/>
        <v>2.96</v>
      </c>
      <c r="AD116" s="129">
        <f t="shared" si="47"/>
        <v>2.96</v>
      </c>
      <c r="AE116" s="129">
        <f t="shared" si="47"/>
        <v>2.96</v>
      </c>
      <c r="AF116" s="129">
        <f t="shared" si="47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45"/>
        <v>8</v>
      </c>
      <c r="C117" s="130">
        <v>8</v>
      </c>
      <c r="D117" s="129">
        <f t="shared" si="46"/>
        <v>8</v>
      </c>
      <c r="E117" s="129">
        <f t="shared" si="46"/>
        <v>8</v>
      </c>
      <c r="F117" s="129">
        <f t="shared" si="46"/>
        <v>8</v>
      </c>
      <c r="G117" s="129">
        <f t="shared" si="46"/>
        <v>8</v>
      </c>
      <c r="H117" s="129">
        <f t="shared" si="46"/>
        <v>8</v>
      </c>
      <c r="I117" s="129">
        <f t="shared" si="46"/>
        <v>8</v>
      </c>
      <c r="J117" s="129">
        <f t="shared" si="46"/>
        <v>8</v>
      </c>
      <c r="K117" s="129">
        <f t="shared" si="46"/>
        <v>8</v>
      </c>
      <c r="L117" s="129">
        <f t="shared" si="46"/>
        <v>8</v>
      </c>
      <c r="M117" s="129">
        <f t="shared" si="46"/>
        <v>8</v>
      </c>
      <c r="N117" s="129">
        <f t="shared" si="46"/>
        <v>8</v>
      </c>
      <c r="O117" s="129">
        <f t="shared" si="46"/>
        <v>8</v>
      </c>
      <c r="P117" s="129">
        <f t="shared" si="46"/>
        <v>8</v>
      </c>
      <c r="Q117" s="129">
        <f t="shared" si="46"/>
        <v>8</v>
      </c>
      <c r="R117" s="129">
        <f t="shared" si="46"/>
        <v>8</v>
      </c>
      <c r="S117" s="129">
        <f t="shared" si="46"/>
        <v>8</v>
      </c>
      <c r="T117" s="129">
        <f t="shared" si="47"/>
        <v>8</v>
      </c>
      <c r="U117" s="129">
        <f t="shared" si="47"/>
        <v>8</v>
      </c>
      <c r="V117" s="129">
        <f t="shared" si="47"/>
        <v>8</v>
      </c>
      <c r="W117" s="129">
        <f t="shared" si="47"/>
        <v>8</v>
      </c>
      <c r="X117" s="129">
        <f t="shared" si="47"/>
        <v>8</v>
      </c>
      <c r="Y117" s="129">
        <f t="shared" si="47"/>
        <v>8</v>
      </c>
      <c r="Z117" s="129">
        <f t="shared" si="47"/>
        <v>8</v>
      </c>
      <c r="AA117" s="129">
        <f t="shared" si="47"/>
        <v>8</v>
      </c>
      <c r="AB117" s="129">
        <f t="shared" si="47"/>
        <v>8</v>
      </c>
      <c r="AC117" s="129">
        <f t="shared" si="47"/>
        <v>8</v>
      </c>
      <c r="AD117" s="129">
        <f t="shared" si="47"/>
        <v>8</v>
      </c>
      <c r="AE117" s="129">
        <f t="shared" si="47"/>
        <v>8</v>
      </c>
      <c r="AF117" s="129">
        <f t="shared" si="47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45"/>
        <v>7</v>
      </c>
      <c r="C118" s="130">
        <v>7</v>
      </c>
      <c r="D118" s="129">
        <f>C118</f>
        <v>7</v>
      </c>
      <c r="E118" s="129">
        <f t="shared" si="46"/>
        <v>7</v>
      </c>
      <c r="F118" s="129">
        <f t="shared" si="46"/>
        <v>7</v>
      </c>
      <c r="G118" s="129">
        <f t="shared" si="46"/>
        <v>7</v>
      </c>
      <c r="H118" s="129">
        <f t="shared" si="46"/>
        <v>7</v>
      </c>
      <c r="I118" s="129">
        <f t="shared" si="46"/>
        <v>7</v>
      </c>
      <c r="J118" s="129">
        <f t="shared" si="46"/>
        <v>7</v>
      </c>
      <c r="K118" s="129">
        <f t="shared" si="46"/>
        <v>7</v>
      </c>
      <c r="L118" s="129">
        <f t="shared" si="46"/>
        <v>7</v>
      </c>
      <c r="M118" s="129">
        <f t="shared" si="46"/>
        <v>7</v>
      </c>
      <c r="N118" s="129">
        <f t="shared" si="46"/>
        <v>7</v>
      </c>
      <c r="O118" s="129">
        <f t="shared" si="46"/>
        <v>7</v>
      </c>
      <c r="P118" s="129">
        <f t="shared" si="46"/>
        <v>7</v>
      </c>
      <c r="Q118" s="129">
        <f t="shared" si="46"/>
        <v>7</v>
      </c>
      <c r="R118" s="129">
        <f t="shared" si="46"/>
        <v>7</v>
      </c>
      <c r="S118" s="129">
        <f t="shared" si="46"/>
        <v>7</v>
      </c>
      <c r="T118" s="129">
        <f t="shared" si="47"/>
        <v>7</v>
      </c>
      <c r="U118" s="129">
        <f t="shared" si="47"/>
        <v>7</v>
      </c>
      <c r="V118" s="129">
        <f t="shared" si="47"/>
        <v>7</v>
      </c>
      <c r="W118" s="129">
        <f t="shared" si="47"/>
        <v>7</v>
      </c>
      <c r="X118" s="129">
        <f t="shared" si="47"/>
        <v>7</v>
      </c>
      <c r="Y118" s="129">
        <f t="shared" si="47"/>
        <v>7</v>
      </c>
      <c r="Z118" s="129">
        <f t="shared" si="47"/>
        <v>7</v>
      </c>
      <c r="AA118" s="129">
        <f t="shared" si="47"/>
        <v>7</v>
      </c>
      <c r="AB118" s="129">
        <f t="shared" si="47"/>
        <v>7</v>
      </c>
      <c r="AC118" s="129">
        <f t="shared" si="47"/>
        <v>7</v>
      </c>
      <c r="AD118" s="129">
        <f t="shared" si="47"/>
        <v>7</v>
      </c>
      <c r="AE118" s="129">
        <f t="shared" si="47"/>
        <v>7</v>
      </c>
      <c r="AF118" s="129">
        <f t="shared" si="47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45"/>
        <v>3.47</v>
      </c>
      <c r="C119" s="130">
        <v>3.47</v>
      </c>
      <c r="D119" s="129">
        <f t="shared" ref="D119:S128" si="48">C119</f>
        <v>3.47</v>
      </c>
      <c r="E119" s="129">
        <f t="shared" si="48"/>
        <v>3.47</v>
      </c>
      <c r="F119" s="129">
        <f t="shared" si="48"/>
        <v>3.47</v>
      </c>
      <c r="G119" s="129">
        <f t="shared" si="48"/>
        <v>3.47</v>
      </c>
      <c r="H119" s="129">
        <f t="shared" si="48"/>
        <v>3.47</v>
      </c>
      <c r="I119" s="129">
        <f t="shared" si="48"/>
        <v>3.47</v>
      </c>
      <c r="J119" s="129">
        <f t="shared" si="48"/>
        <v>3.47</v>
      </c>
      <c r="K119" s="129">
        <f t="shared" si="48"/>
        <v>3.47</v>
      </c>
      <c r="L119" s="129">
        <f t="shared" si="48"/>
        <v>3.47</v>
      </c>
      <c r="M119" s="129">
        <f t="shared" si="48"/>
        <v>3.47</v>
      </c>
      <c r="N119" s="129">
        <f t="shared" si="48"/>
        <v>3.47</v>
      </c>
      <c r="O119" s="129">
        <f t="shared" si="48"/>
        <v>3.47</v>
      </c>
      <c r="P119" s="129">
        <f t="shared" si="48"/>
        <v>3.47</v>
      </c>
      <c r="Q119" s="129">
        <f t="shared" si="48"/>
        <v>3.47</v>
      </c>
      <c r="R119" s="129">
        <f t="shared" si="48"/>
        <v>3.47</v>
      </c>
      <c r="S119" s="129">
        <f t="shared" si="48"/>
        <v>3.47</v>
      </c>
      <c r="T119" s="129">
        <f t="shared" si="47"/>
        <v>3.47</v>
      </c>
      <c r="U119" s="129">
        <f t="shared" si="47"/>
        <v>3.47</v>
      </c>
      <c r="V119" s="129">
        <f t="shared" si="47"/>
        <v>3.47</v>
      </c>
      <c r="W119" s="129">
        <f t="shared" si="47"/>
        <v>3.47</v>
      </c>
      <c r="X119" s="129">
        <f t="shared" si="47"/>
        <v>3.47</v>
      </c>
      <c r="Y119" s="129">
        <f t="shared" si="47"/>
        <v>3.47</v>
      </c>
      <c r="Z119" s="129">
        <f t="shared" si="47"/>
        <v>3.47</v>
      </c>
      <c r="AA119" s="129">
        <f t="shared" si="47"/>
        <v>3.47</v>
      </c>
      <c r="AB119" s="129">
        <f t="shared" si="47"/>
        <v>3.47</v>
      </c>
      <c r="AC119" s="129">
        <f t="shared" si="47"/>
        <v>3.47</v>
      </c>
      <c r="AD119" s="129">
        <f t="shared" si="47"/>
        <v>3.47</v>
      </c>
      <c r="AE119" s="129">
        <f t="shared" si="47"/>
        <v>3.47</v>
      </c>
      <c r="AF119" s="129">
        <f t="shared" si="47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45"/>
        <v>2.1</v>
      </c>
      <c r="C120" s="130">
        <v>2.1</v>
      </c>
      <c r="D120" s="129">
        <f t="shared" si="48"/>
        <v>2.1</v>
      </c>
      <c r="E120" s="129">
        <f t="shared" si="48"/>
        <v>2.1</v>
      </c>
      <c r="F120" s="129">
        <f t="shared" si="48"/>
        <v>2.1</v>
      </c>
      <c r="G120" s="129">
        <f t="shared" si="48"/>
        <v>2.1</v>
      </c>
      <c r="H120" s="129">
        <f t="shared" si="48"/>
        <v>2.1</v>
      </c>
      <c r="I120" s="129">
        <f t="shared" si="48"/>
        <v>2.1</v>
      </c>
      <c r="J120" s="129">
        <f t="shared" si="48"/>
        <v>2.1</v>
      </c>
      <c r="K120" s="129">
        <f t="shared" si="48"/>
        <v>2.1</v>
      </c>
      <c r="L120" s="129">
        <f t="shared" si="48"/>
        <v>2.1</v>
      </c>
      <c r="M120" s="129">
        <f t="shared" si="48"/>
        <v>2.1</v>
      </c>
      <c r="N120" s="129">
        <f t="shared" si="48"/>
        <v>2.1</v>
      </c>
      <c r="O120" s="129">
        <f t="shared" si="48"/>
        <v>2.1</v>
      </c>
      <c r="P120" s="129">
        <f t="shared" si="48"/>
        <v>2.1</v>
      </c>
      <c r="Q120" s="129">
        <f t="shared" si="48"/>
        <v>2.1</v>
      </c>
      <c r="R120" s="129">
        <f t="shared" si="48"/>
        <v>2.1</v>
      </c>
      <c r="S120" s="129">
        <f t="shared" si="48"/>
        <v>2.1</v>
      </c>
      <c r="T120" s="129">
        <f t="shared" si="47"/>
        <v>2.1</v>
      </c>
      <c r="U120" s="129">
        <f t="shared" si="47"/>
        <v>2.1</v>
      </c>
      <c r="V120" s="129">
        <f t="shared" si="47"/>
        <v>2.1</v>
      </c>
      <c r="W120" s="129">
        <f t="shared" si="47"/>
        <v>2.1</v>
      </c>
      <c r="X120" s="129">
        <f t="shared" si="47"/>
        <v>2.1</v>
      </c>
      <c r="Y120" s="129">
        <f t="shared" si="47"/>
        <v>2.1</v>
      </c>
      <c r="Z120" s="129">
        <f t="shared" si="47"/>
        <v>2.1</v>
      </c>
      <c r="AA120" s="129">
        <f t="shared" si="47"/>
        <v>2.1</v>
      </c>
      <c r="AB120" s="129">
        <f t="shared" si="47"/>
        <v>2.1</v>
      </c>
      <c r="AC120" s="129">
        <f t="shared" si="47"/>
        <v>2.1</v>
      </c>
      <c r="AD120" s="129">
        <f t="shared" si="47"/>
        <v>2.1</v>
      </c>
      <c r="AE120" s="129">
        <f t="shared" si="47"/>
        <v>2.1</v>
      </c>
      <c r="AF120" s="129">
        <f t="shared" si="47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45"/>
        <v>9.3000000000000007</v>
      </c>
      <c r="C121" s="130">
        <v>9.3000000000000007</v>
      </c>
      <c r="D121" s="129">
        <f t="shared" si="48"/>
        <v>9.3000000000000007</v>
      </c>
      <c r="E121" s="129">
        <f t="shared" si="48"/>
        <v>9.3000000000000007</v>
      </c>
      <c r="F121" s="129">
        <f t="shared" si="48"/>
        <v>9.3000000000000007</v>
      </c>
      <c r="G121" s="129">
        <f t="shared" si="48"/>
        <v>9.3000000000000007</v>
      </c>
      <c r="H121" s="129">
        <f t="shared" si="48"/>
        <v>9.3000000000000007</v>
      </c>
      <c r="I121" s="129">
        <f t="shared" si="48"/>
        <v>9.3000000000000007</v>
      </c>
      <c r="J121" s="129">
        <f t="shared" si="48"/>
        <v>9.3000000000000007</v>
      </c>
      <c r="K121" s="129">
        <f t="shared" si="48"/>
        <v>9.3000000000000007</v>
      </c>
      <c r="L121" s="129">
        <f t="shared" si="48"/>
        <v>9.3000000000000007</v>
      </c>
      <c r="M121" s="129">
        <f t="shared" si="48"/>
        <v>9.3000000000000007</v>
      </c>
      <c r="N121" s="129">
        <f t="shared" si="48"/>
        <v>9.3000000000000007</v>
      </c>
      <c r="O121" s="129">
        <f t="shared" si="48"/>
        <v>9.3000000000000007</v>
      </c>
      <c r="P121" s="129">
        <f t="shared" si="48"/>
        <v>9.3000000000000007</v>
      </c>
      <c r="Q121" s="129">
        <f t="shared" si="48"/>
        <v>9.3000000000000007</v>
      </c>
      <c r="R121" s="129">
        <f t="shared" si="48"/>
        <v>9.3000000000000007</v>
      </c>
      <c r="S121" s="129">
        <f t="shared" si="48"/>
        <v>9.3000000000000007</v>
      </c>
      <c r="T121" s="129">
        <f t="shared" si="47"/>
        <v>9.3000000000000007</v>
      </c>
      <c r="U121" s="129">
        <f t="shared" si="47"/>
        <v>9.3000000000000007</v>
      </c>
      <c r="V121" s="129">
        <f t="shared" si="47"/>
        <v>9.3000000000000007</v>
      </c>
      <c r="W121" s="129">
        <f t="shared" si="47"/>
        <v>9.3000000000000007</v>
      </c>
      <c r="X121" s="129">
        <f t="shared" si="47"/>
        <v>9.3000000000000007</v>
      </c>
      <c r="Y121" s="129">
        <f t="shared" si="47"/>
        <v>9.3000000000000007</v>
      </c>
      <c r="Z121" s="129">
        <f t="shared" si="47"/>
        <v>9.3000000000000007</v>
      </c>
      <c r="AA121" s="129">
        <f t="shared" si="47"/>
        <v>9.3000000000000007</v>
      </c>
      <c r="AB121" s="129">
        <f t="shared" si="47"/>
        <v>9.3000000000000007</v>
      </c>
      <c r="AC121" s="129">
        <f t="shared" si="47"/>
        <v>9.3000000000000007</v>
      </c>
      <c r="AD121" s="129">
        <f t="shared" si="47"/>
        <v>9.3000000000000007</v>
      </c>
      <c r="AE121" s="129">
        <f t="shared" si="47"/>
        <v>9.3000000000000007</v>
      </c>
      <c r="AF121" s="129">
        <f t="shared" si="47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45"/>
        <v>0</v>
      </c>
      <c r="C122" s="130">
        <v>0</v>
      </c>
      <c r="D122" s="129">
        <f t="shared" si="48"/>
        <v>0</v>
      </c>
      <c r="E122" s="129">
        <f t="shared" si="48"/>
        <v>0</v>
      </c>
      <c r="F122" s="129">
        <f t="shared" si="48"/>
        <v>0</v>
      </c>
      <c r="G122" s="129">
        <f t="shared" si="48"/>
        <v>0</v>
      </c>
      <c r="H122" s="129">
        <f t="shared" si="48"/>
        <v>0</v>
      </c>
      <c r="I122" s="129">
        <f t="shared" si="48"/>
        <v>0</v>
      </c>
      <c r="J122" s="129">
        <f t="shared" si="48"/>
        <v>0</v>
      </c>
      <c r="K122" s="129">
        <f t="shared" si="48"/>
        <v>0</v>
      </c>
      <c r="L122" s="129">
        <f t="shared" si="48"/>
        <v>0</v>
      </c>
      <c r="M122" s="129">
        <f t="shared" si="48"/>
        <v>0</v>
      </c>
      <c r="N122" s="129">
        <f t="shared" si="48"/>
        <v>0</v>
      </c>
      <c r="O122" s="129">
        <f t="shared" si="48"/>
        <v>0</v>
      </c>
      <c r="P122" s="129">
        <f t="shared" si="48"/>
        <v>0</v>
      </c>
      <c r="Q122" s="129">
        <f t="shared" si="48"/>
        <v>0</v>
      </c>
      <c r="R122" s="129">
        <f t="shared" si="48"/>
        <v>0</v>
      </c>
      <c r="S122" s="129">
        <f t="shared" si="48"/>
        <v>0</v>
      </c>
      <c r="T122" s="129">
        <f t="shared" si="47"/>
        <v>0</v>
      </c>
      <c r="U122" s="129">
        <f t="shared" si="47"/>
        <v>0</v>
      </c>
      <c r="V122" s="129">
        <f t="shared" si="47"/>
        <v>0</v>
      </c>
      <c r="W122" s="129">
        <f t="shared" si="47"/>
        <v>0</v>
      </c>
      <c r="X122" s="129">
        <f t="shared" si="47"/>
        <v>0</v>
      </c>
      <c r="Y122" s="129">
        <f t="shared" si="47"/>
        <v>0</v>
      </c>
      <c r="Z122" s="129">
        <f t="shared" si="47"/>
        <v>0</v>
      </c>
      <c r="AA122" s="129">
        <f t="shared" si="47"/>
        <v>0</v>
      </c>
      <c r="AB122" s="129">
        <f t="shared" si="47"/>
        <v>0</v>
      </c>
      <c r="AC122" s="129">
        <f t="shared" si="47"/>
        <v>0</v>
      </c>
      <c r="AD122" s="129">
        <f t="shared" si="47"/>
        <v>0</v>
      </c>
      <c r="AE122" s="129">
        <f t="shared" si="47"/>
        <v>0</v>
      </c>
      <c r="AF122" s="129">
        <f t="shared" si="47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45"/>
        <v>0</v>
      </c>
      <c r="C123" s="130">
        <v>0</v>
      </c>
      <c r="D123" s="129">
        <f t="shared" si="48"/>
        <v>0</v>
      </c>
      <c r="E123" s="129">
        <f t="shared" si="48"/>
        <v>0</v>
      </c>
      <c r="F123" s="129">
        <f t="shared" si="48"/>
        <v>0</v>
      </c>
      <c r="G123" s="129">
        <f t="shared" si="48"/>
        <v>0</v>
      </c>
      <c r="H123" s="129">
        <f t="shared" si="48"/>
        <v>0</v>
      </c>
      <c r="I123" s="129">
        <f t="shared" si="48"/>
        <v>0</v>
      </c>
      <c r="J123" s="129">
        <f t="shared" si="48"/>
        <v>0</v>
      </c>
      <c r="K123" s="129">
        <f t="shared" si="48"/>
        <v>0</v>
      </c>
      <c r="L123" s="129">
        <f t="shared" si="48"/>
        <v>0</v>
      </c>
      <c r="M123" s="129">
        <f t="shared" si="48"/>
        <v>0</v>
      </c>
      <c r="N123" s="129">
        <f t="shared" si="48"/>
        <v>0</v>
      </c>
      <c r="O123" s="129">
        <f t="shared" si="48"/>
        <v>0</v>
      </c>
      <c r="P123" s="129">
        <f t="shared" si="48"/>
        <v>0</v>
      </c>
      <c r="Q123" s="129">
        <f t="shared" si="48"/>
        <v>0</v>
      </c>
      <c r="R123" s="129">
        <f t="shared" si="48"/>
        <v>0</v>
      </c>
      <c r="S123" s="129">
        <f t="shared" si="48"/>
        <v>0</v>
      </c>
      <c r="T123" s="129">
        <f t="shared" si="47"/>
        <v>0</v>
      </c>
      <c r="U123" s="129">
        <f t="shared" si="47"/>
        <v>0</v>
      </c>
      <c r="V123" s="129">
        <f t="shared" si="47"/>
        <v>0</v>
      </c>
      <c r="W123" s="129">
        <f t="shared" si="47"/>
        <v>0</v>
      </c>
      <c r="X123" s="129">
        <f t="shared" si="47"/>
        <v>0</v>
      </c>
      <c r="Y123" s="129">
        <f t="shared" si="47"/>
        <v>0</v>
      </c>
      <c r="Z123" s="129">
        <f t="shared" si="47"/>
        <v>0</v>
      </c>
      <c r="AA123" s="129">
        <f t="shared" si="47"/>
        <v>0</v>
      </c>
      <c r="AB123" s="129">
        <f t="shared" si="47"/>
        <v>0</v>
      </c>
      <c r="AC123" s="129">
        <f t="shared" si="47"/>
        <v>0</v>
      </c>
      <c r="AD123" s="129">
        <f t="shared" si="47"/>
        <v>0</v>
      </c>
      <c r="AE123" s="129">
        <f t="shared" si="47"/>
        <v>0</v>
      </c>
      <c r="AF123" s="129">
        <f t="shared" si="47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45"/>
        <v>5</v>
      </c>
      <c r="C124" s="130">
        <v>5</v>
      </c>
      <c r="D124" s="129">
        <f t="shared" si="48"/>
        <v>5</v>
      </c>
      <c r="E124" s="129">
        <f t="shared" si="48"/>
        <v>5</v>
      </c>
      <c r="F124" s="129">
        <f t="shared" si="48"/>
        <v>5</v>
      </c>
      <c r="G124" s="129">
        <f t="shared" si="48"/>
        <v>5</v>
      </c>
      <c r="H124" s="129">
        <f t="shared" si="48"/>
        <v>5</v>
      </c>
      <c r="I124" s="129">
        <f t="shared" si="48"/>
        <v>5</v>
      </c>
      <c r="J124" s="129">
        <f t="shared" si="48"/>
        <v>5</v>
      </c>
      <c r="K124" s="129">
        <f t="shared" si="48"/>
        <v>5</v>
      </c>
      <c r="L124" s="129">
        <f t="shared" si="48"/>
        <v>5</v>
      </c>
      <c r="M124" s="129">
        <f t="shared" si="48"/>
        <v>5</v>
      </c>
      <c r="N124" s="129">
        <f t="shared" si="48"/>
        <v>5</v>
      </c>
      <c r="O124" s="129">
        <f t="shared" si="48"/>
        <v>5</v>
      </c>
      <c r="P124" s="129">
        <f t="shared" si="48"/>
        <v>5</v>
      </c>
      <c r="Q124" s="129">
        <f t="shared" si="48"/>
        <v>5</v>
      </c>
      <c r="R124" s="129">
        <f t="shared" si="48"/>
        <v>5</v>
      </c>
      <c r="S124" s="129">
        <f t="shared" si="48"/>
        <v>5</v>
      </c>
      <c r="T124" s="129">
        <f t="shared" si="47"/>
        <v>5</v>
      </c>
      <c r="U124" s="129">
        <f t="shared" si="47"/>
        <v>5</v>
      </c>
      <c r="V124" s="129">
        <f t="shared" si="47"/>
        <v>5</v>
      </c>
      <c r="W124" s="129">
        <f t="shared" si="47"/>
        <v>5</v>
      </c>
      <c r="X124" s="129">
        <f t="shared" si="47"/>
        <v>5</v>
      </c>
      <c r="Y124" s="129">
        <f t="shared" si="47"/>
        <v>5</v>
      </c>
      <c r="Z124" s="129">
        <f t="shared" si="47"/>
        <v>5</v>
      </c>
      <c r="AA124" s="129">
        <f t="shared" si="47"/>
        <v>5</v>
      </c>
      <c r="AB124" s="129">
        <f t="shared" si="47"/>
        <v>5</v>
      </c>
      <c r="AC124" s="129">
        <f t="shared" si="47"/>
        <v>5</v>
      </c>
      <c r="AD124" s="129">
        <f t="shared" si="47"/>
        <v>5</v>
      </c>
      <c r="AE124" s="129">
        <f t="shared" si="47"/>
        <v>5</v>
      </c>
      <c r="AF124" s="129">
        <f t="shared" si="47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45"/>
        <v>1</v>
      </c>
      <c r="C125" s="130">
        <v>1</v>
      </c>
      <c r="D125" s="129">
        <f t="shared" si="48"/>
        <v>1</v>
      </c>
      <c r="E125" s="129">
        <f t="shared" si="48"/>
        <v>1</v>
      </c>
      <c r="F125" s="129">
        <f t="shared" si="48"/>
        <v>1</v>
      </c>
      <c r="G125" s="129">
        <f t="shared" si="48"/>
        <v>1</v>
      </c>
      <c r="H125" s="129">
        <f t="shared" si="48"/>
        <v>1</v>
      </c>
      <c r="I125" s="129">
        <f t="shared" si="48"/>
        <v>1</v>
      </c>
      <c r="J125" s="129">
        <f t="shared" si="48"/>
        <v>1</v>
      </c>
      <c r="K125" s="129">
        <f t="shared" si="48"/>
        <v>1</v>
      </c>
      <c r="L125" s="129">
        <f t="shared" si="48"/>
        <v>1</v>
      </c>
      <c r="M125" s="129">
        <f t="shared" si="48"/>
        <v>1</v>
      </c>
      <c r="N125" s="129">
        <f t="shared" si="48"/>
        <v>1</v>
      </c>
      <c r="O125" s="129">
        <f t="shared" si="48"/>
        <v>1</v>
      </c>
      <c r="P125" s="129">
        <f t="shared" si="48"/>
        <v>1</v>
      </c>
      <c r="Q125" s="129">
        <f t="shared" si="48"/>
        <v>1</v>
      </c>
      <c r="R125" s="129">
        <f t="shared" si="48"/>
        <v>1</v>
      </c>
      <c r="S125" s="129">
        <f t="shared" si="48"/>
        <v>1</v>
      </c>
      <c r="T125" s="129">
        <f t="shared" si="47"/>
        <v>1</v>
      </c>
      <c r="U125" s="129">
        <f t="shared" si="47"/>
        <v>1</v>
      </c>
      <c r="V125" s="129">
        <f t="shared" si="47"/>
        <v>1</v>
      </c>
      <c r="W125" s="129">
        <f t="shared" si="47"/>
        <v>1</v>
      </c>
      <c r="X125" s="129">
        <f t="shared" si="47"/>
        <v>1</v>
      </c>
      <c r="Y125" s="129">
        <f t="shared" si="47"/>
        <v>1</v>
      </c>
      <c r="Z125" s="129">
        <f t="shared" si="47"/>
        <v>1</v>
      </c>
      <c r="AA125" s="129">
        <f t="shared" si="47"/>
        <v>1</v>
      </c>
      <c r="AB125" s="129">
        <f t="shared" si="47"/>
        <v>1</v>
      </c>
      <c r="AC125" s="129">
        <f t="shared" si="47"/>
        <v>1</v>
      </c>
      <c r="AD125" s="129">
        <f t="shared" si="47"/>
        <v>1</v>
      </c>
      <c r="AE125" s="129">
        <f t="shared" si="47"/>
        <v>1</v>
      </c>
      <c r="AF125" s="129">
        <f t="shared" si="47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45"/>
        <v>1.58</v>
      </c>
      <c r="C126" s="130">
        <v>1.58</v>
      </c>
      <c r="D126" s="129">
        <f t="shared" si="48"/>
        <v>1.58</v>
      </c>
      <c r="E126" s="129">
        <f t="shared" si="48"/>
        <v>1.58</v>
      </c>
      <c r="F126" s="129">
        <f t="shared" si="48"/>
        <v>1.58</v>
      </c>
      <c r="G126" s="129">
        <f t="shared" si="48"/>
        <v>1.58</v>
      </c>
      <c r="H126" s="129">
        <f t="shared" si="48"/>
        <v>1.58</v>
      </c>
      <c r="I126" s="129">
        <f t="shared" si="48"/>
        <v>1.58</v>
      </c>
      <c r="J126" s="129">
        <f t="shared" si="48"/>
        <v>1.58</v>
      </c>
      <c r="K126" s="129">
        <f t="shared" si="48"/>
        <v>1.58</v>
      </c>
      <c r="L126" s="129">
        <f t="shared" si="48"/>
        <v>1.58</v>
      </c>
      <c r="M126" s="129">
        <f t="shared" si="48"/>
        <v>1.58</v>
      </c>
      <c r="N126" s="129">
        <f t="shared" si="48"/>
        <v>1.58</v>
      </c>
      <c r="O126" s="129">
        <f t="shared" si="48"/>
        <v>1.58</v>
      </c>
      <c r="P126" s="129">
        <f t="shared" si="48"/>
        <v>1.58</v>
      </c>
      <c r="Q126" s="129">
        <f t="shared" si="48"/>
        <v>1.58</v>
      </c>
      <c r="R126" s="129">
        <f t="shared" si="48"/>
        <v>1.58</v>
      </c>
      <c r="S126" s="129">
        <f t="shared" si="48"/>
        <v>1.58</v>
      </c>
      <c r="T126" s="129">
        <f t="shared" si="47"/>
        <v>1.58</v>
      </c>
      <c r="U126" s="129">
        <f t="shared" si="47"/>
        <v>1.58</v>
      </c>
      <c r="V126" s="129">
        <f t="shared" si="47"/>
        <v>1.58</v>
      </c>
      <c r="W126" s="129">
        <f t="shared" si="47"/>
        <v>1.58</v>
      </c>
      <c r="X126" s="129">
        <f t="shared" si="47"/>
        <v>1.58</v>
      </c>
      <c r="Y126" s="129">
        <f t="shared" si="47"/>
        <v>1.58</v>
      </c>
      <c r="Z126" s="129">
        <f t="shared" si="47"/>
        <v>1.58</v>
      </c>
      <c r="AA126" s="129">
        <f t="shared" si="47"/>
        <v>1.58</v>
      </c>
      <c r="AB126" s="129">
        <f t="shared" si="47"/>
        <v>1.58</v>
      </c>
      <c r="AC126" s="129">
        <f t="shared" si="47"/>
        <v>1.58</v>
      </c>
      <c r="AD126" s="129">
        <f t="shared" si="47"/>
        <v>1.58</v>
      </c>
      <c r="AE126" s="129">
        <f t="shared" si="47"/>
        <v>1.58</v>
      </c>
      <c r="AF126" s="129">
        <f t="shared" si="47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45"/>
        <v>1.46</v>
      </c>
      <c r="C127" s="130">
        <v>1.46</v>
      </c>
      <c r="D127" s="129">
        <f t="shared" si="48"/>
        <v>1.46</v>
      </c>
      <c r="E127" s="129">
        <f t="shared" si="48"/>
        <v>1.46</v>
      </c>
      <c r="F127" s="129">
        <f t="shared" si="48"/>
        <v>1.46</v>
      </c>
      <c r="G127" s="129">
        <f t="shared" si="48"/>
        <v>1.46</v>
      </c>
      <c r="H127" s="129">
        <f t="shared" si="48"/>
        <v>1.46</v>
      </c>
      <c r="I127" s="129">
        <f t="shared" si="48"/>
        <v>1.46</v>
      </c>
      <c r="J127" s="129">
        <f t="shared" si="48"/>
        <v>1.46</v>
      </c>
      <c r="K127" s="129">
        <f t="shared" si="48"/>
        <v>1.46</v>
      </c>
      <c r="L127" s="129">
        <f t="shared" si="48"/>
        <v>1.46</v>
      </c>
      <c r="M127" s="129">
        <f t="shared" si="48"/>
        <v>1.46</v>
      </c>
      <c r="N127" s="129">
        <f t="shared" si="48"/>
        <v>1.46</v>
      </c>
      <c r="O127" s="129">
        <f t="shared" si="48"/>
        <v>1.46</v>
      </c>
      <c r="P127" s="129">
        <f t="shared" si="48"/>
        <v>1.46</v>
      </c>
      <c r="Q127" s="129">
        <f t="shared" si="48"/>
        <v>1.46</v>
      </c>
      <c r="R127" s="129">
        <f t="shared" si="48"/>
        <v>1.46</v>
      </c>
      <c r="S127" s="129">
        <f t="shared" si="48"/>
        <v>1.46</v>
      </c>
      <c r="T127" s="129">
        <f t="shared" ref="T127:AF128" si="49">S127</f>
        <v>1.46</v>
      </c>
      <c r="U127" s="129">
        <f t="shared" si="49"/>
        <v>1.46</v>
      </c>
      <c r="V127" s="129">
        <f t="shared" si="49"/>
        <v>1.46</v>
      </c>
      <c r="W127" s="129">
        <f t="shared" si="49"/>
        <v>1.46</v>
      </c>
      <c r="X127" s="129">
        <f t="shared" si="49"/>
        <v>1.46</v>
      </c>
      <c r="Y127" s="129">
        <f t="shared" si="49"/>
        <v>1.46</v>
      </c>
      <c r="Z127" s="129">
        <f t="shared" si="49"/>
        <v>1.46</v>
      </c>
      <c r="AA127" s="129">
        <f t="shared" si="49"/>
        <v>1.46</v>
      </c>
      <c r="AB127" s="129">
        <f t="shared" si="49"/>
        <v>1.46</v>
      </c>
      <c r="AC127" s="129">
        <f t="shared" si="49"/>
        <v>1.46</v>
      </c>
      <c r="AD127" s="129">
        <f t="shared" si="49"/>
        <v>1.46</v>
      </c>
      <c r="AE127" s="129">
        <f t="shared" si="49"/>
        <v>1.46</v>
      </c>
      <c r="AF127" s="129">
        <f t="shared" si="49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45"/>
        <v>1.48</v>
      </c>
      <c r="C128" s="130">
        <v>1.48</v>
      </c>
      <c r="D128" s="129">
        <f t="shared" si="48"/>
        <v>1.48</v>
      </c>
      <c r="E128" s="129">
        <f t="shared" si="48"/>
        <v>1.48</v>
      </c>
      <c r="F128" s="129">
        <f t="shared" si="48"/>
        <v>1.48</v>
      </c>
      <c r="G128" s="129">
        <f t="shared" si="48"/>
        <v>1.48</v>
      </c>
      <c r="H128" s="129">
        <f t="shared" si="48"/>
        <v>1.48</v>
      </c>
      <c r="I128" s="129">
        <f t="shared" si="48"/>
        <v>1.48</v>
      </c>
      <c r="J128" s="129">
        <f t="shared" si="48"/>
        <v>1.48</v>
      </c>
      <c r="K128" s="129">
        <f t="shared" si="48"/>
        <v>1.48</v>
      </c>
      <c r="L128" s="129">
        <f t="shared" si="48"/>
        <v>1.48</v>
      </c>
      <c r="M128" s="129">
        <f t="shared" si="48"/>
        <v>1.48</v>
      </c>
      <c r="N128" s="129">
        <f t="shared" si="48"/>
        <v>1.48</v>
      </c>
      <c r="O128" s="129">
        <f t="shared" si="48"/>
        <v>1.48</v>
      </c>
      <c r="P128" s="129">
        <f t="shared" si="48"/>
        <v>1.48</v>
      </c>
      <c r="Q128" s="129">
        <f t="shared" si="48"/>
        <v>1.48</v>
      </c>
      <c r="R128" s="129">
        <f t="shared" si="48"/>
        <v>1.48</v>
      </c>
      <c r="S128" s="129">
        <f t="shared" si="48"/>
        <v>1.48</v>
      </c>
      <c r="T128" s="129">
        <f t="shared" si="49"/>
        <v>1.48</v>
      </c>
      <c r="U128" s="129">
        <f t="shared" si="49"/>
        <v>1.48</v>
      </c>
      <c r="V128" s="129">
        <f t="shared" si="49"/>
        <v>1.48</v>
      </c>
      <c r="W128" s="129">
        <f t="shared" si="49"/>
        <v>1.48</v>
      </c>
      <c r="X128" s="129">
        <f t="shared" si="49"/>
        <v>1.48</v>
      </c>
      <c r="Y128" s="129">
        <f t="shared" si="49"/>
        <v>1.48</v>
      </c>
      <c r="Z128" s="129">
        <f t="shared" si="49"/>
        <v>1.48</v>
      </c>
      <c r="AA128" s="129">
        <f t="shared" si="49"/>
        <v>1.48</v>
      </c>
      <c r="AB128" s="129">
        <f t="shared" si="49"/>
        <v>1.48</v>
      </c>
      <c r="AC128" s="129">
        <f t="shared" si="49"/>
        <v>1.48</v>
      </c>
      <c r="AD128" s="129">
        <f t="shared" si="49"/>
        <v>1.48</v>
      </c>
      <c r="AE128" s="129">
        <f t="shared" si="49"/>
        <v>1.48</v>
      </c>
      <c r="AF128" s="129">
        <f t="shared" si="49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50">AF130</f>
        <v>2.2000000000000002</v>
      </c>
      <c r="C130" s="130">
        <v>2.2000000000000002</v>
      </c>
      <c r="D130" s="129">
        <f t="shared" ref="D130:S137" si="51">C130</f>
        <v>2.2000000000000002</v>
      </c>
      <c r="E130" s="129">
        <f t="shared" si="51"/>
        <v>2.2000000000000002</v>
      </c>
      <c r="F130" s="129">
        <f t="shared" si="51"/>
        <v>2.2000000000000002</v>
      </c>
      <c r="G130" s="129">
        <f t="shared" si="51"/>
        <v>2.2000000000000002</v>
      </c>
      <c r="H130" s="129">
        <f t="shared" si="51"/>
        <v>2.2000000000000002</v>
      </c>
      <c r="I130" s="129">
        <f t="shared" si="51"/>
        <v>2.2000000000000002</v>
      </c>
      <c r="J130" s="129">
        <f t="shared" si="51"/>
        <v>2.2000000000000002</v>
      </c>
      <c r="K130" s="129">
        <f t="shared" si="51"/>
        <v>2.2000000000000002</v>
      </c>
      <c r="L130" s="129">
        <f t="shared" si="51"/>
        <v>2.2000000000000002</v>
      </c>
      <c r="M130" s="129">
        <f t="shared" si="51"/>
        <v>2.2000000000000002</v>
      </c>
      <c r="N130" s="129">
        <f t="shared" si="51"/>
        <v>2.2000000000000002</v>
      </c>
      <c r="O130" s="129">
        <f t="shared" si="51"/>
        <v>2.2000000000000002</v>
      </c>
      <c r="P130" s="129">
        <f t="shared" si="51"/>
        <v>2.2000000000000002</v>
      </c>
      <c r="Q130" s="129">
        <f t="shared" si="51"/>
        <v>2.2000000000000002</v>
      </c>
      <c r="R130" s="129">
        <f t="shared" si="51"/>
        <v>2.2000000000000002</v>
      </c>
      <c r="S130" s="129">
        <f t="shared" si="51"/>
        <v>2.2000000000000002</v>
      </c>
      <c r="T130" s="129">
        <f t="shared" ref="T130:AF137" si="52">S130</f>
        <v>2.2000000000000002</v>
      </c>
      <c r="U130" s="129">
        <f t="shared" si="52"/>
        <v>2.2000000000000002</v>
      </c>
      <c r="V130" s="129">
        <f t="shared" si="52"/>
        <v>2.2000000000000002</v>
      </c>
      <c r="W130" s="129">
        <f t="shared" si="52"/>
        <v>2.2000000000000002</v>
      </c>
      <c r="X130" s="129">
        <f t="shared" si="52"/>
        <v>2.2000000000000002</v>
      </c>
      <c r="Y130" s="129">
        <f t="shared" si="52"/>
        <v>2.2000000000000002</v>
      </c>
      <c r="Z130" s="129">
        <f t="shared" si="52"/>
        <v>2.2000000000000002</v>
      </c>
      <c r="AA130" s="129">
        <f t="shared" si="52"/>
        <v>2.2000000000000002</v>
      </c>
      <c r="AB130" s="129">
        <f t="shared" si="52"/>
        <v>2.2000000000000002</v>
      </c>
      <c r="AC130" s="129">
        <f t="shared" si="52"/>
        <v>2.2000000000000002</v>
      </c>
      <c r="AD130" s="129">
        <f t="shared" si="52"/>
        <v>2.2000000000000002</v>
      </c>
      <c r="AE130" s="129">
        <f t="shared" si="52"/>
        <v>2.2000000000000002</v>
      </c>
      <c r="AF130" s="129">
        <f t="shared" si="52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50"/>
        <v>2</v>
      </c>
      <c r="C131" s="130">
        <v>2</v>
      </c>
      <c r="D131" s="129">
        <f t="shared" si="51"/>
        <v>2</v>
      </c>
      <c r="E131" s="129">
        <f t="shared" si="51"/>
        <v>2</v>
      </c>
      <c r="F131" s="129">
        <f t="shared" si="51"/>
        <v>2</v>
      </c>
      <c r="G131" s="129">
        <f t="shared" si="51"/>
        <v>2</v>
      </c>
      <c r="H131" s="129">
        <f t="shared" si="51"/>
        <v>2</v>
      </c>
      <c r="I131" s="129">
        <f t="shared" si="51"/>
        <v>2</v>
      </c>
      <c r="J131" s="129">
        <f t="shared" si="51"/>
        <v>2</v>
      </c>
      <c r="K131" s="129">
        <f t="shared" si="51"/>
        <v>2</v>
      </c>
      <c r="L131" s="129">
        <f t="shared" si="51"/>
        <v>2</v>
      </c>
      <c r="M131" s="129">
        <f t="shared" si="51"/>
        <v>2</v>
      </c>
      <c r="N131" s="129">
        <f t="shared" si="51"/>
        <v>2</v>
      </c>
      <c r="O131" s="129">
        <f t="shared" si="51"/>
        <v>2</v>
      </c>
      <c r="P131" s="129">
        <f t="shared" si="51"/>
        <v>2</v>
      </c>
      <c r="Q131" s="129">
        <f t="shared" si="51"/>
        <v>2</v>
      </c>
      <c r="R131" s="129">
        <f t="shared" si="51"/>
        <v>2</v>
      </c>
      <c r="S131" s="129">
        <f t="shared" si="51"/>
        <v>2</v>
      </c>
      <c r="T131" s="129">
        <f t="shared" si="52"/>
        <v>2</v>
      </c>
      <c r="U131" s="129">
        <f t="shared" si="52"/>
        <v>2</v>
      </c>
      <c r="V131" s="129">
        <f t="shared" si="52"/>
        <v>2</v>
      </c>
      <c r="W131" s="129">
        <f t="shared" si="52"/>
        <v>2</v>
      </c>
      <c r="X131" s="129">
        <f t="shared" si="52"/>
        <v>2</v>
      </c>
      <c r="Y131" s="129">
        <f t="shared" si="52"/>
        <v>2</v>
      </c>
      <c r="Z131" s="129">
        <f t="shared" si="52"/>
        <v>2</v>
      </c>
      <c r="AA131" s="129">
        <f t="shared" si="52"/>
        <v>2</v>
      </c>
      <c r="AB131" s="129">
        <f t="shared" si="52"/>
        <v>2</v>
      </c>
      <c r="AC131" s="129">
        <f t="shared" si="52"/>
        <v>2</v>
      </c>
      <c r="AD131" s="129">
        <f t="shared" si="52"/>
        <v>2</v>
      </c>
      <c r="AE131" s="129">
        <f t="shared" si="52"/>
        <v>2</v>
      </c>
      <c r="AF131" s="129">
        <f t="shared" si="52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50"/>
        <v>1.25</v>
      </c>
      <c r="C132" s="130">
        <v>1.25</v>
      </c>
      <c r="D132" s="129">
        <f t="shared" si="51"/>
        <v>1.25</v>
      </c>
      <c r="E132" s="129">
        <f t="shared" si="51"/>
        <v>1.25</v>
      </c>
      <c r="F132" s="129">
        <f t="shared" si="51"/>
        <v>1.25</v>
      </c>
      <c r="G132" s="129">
        <f t="shared" si="51"/>
        <v>1.25</v>
      </c>
      <c r="H132" s="129">
        <f t="shared" si="51"/>
        <v>1.25</v>
      </c>
      <c r="I132" s="129">
        <f t="shared" si="51"/>
        <v>1.25</v>
      </c>
      <c r="J132" s="129">
        <f t="shared" si="51"/>
        <v>1.25</v>
      </c>
      <c r="K132" s="129">
        <f t="shared" si="51"/>
        <v>1.25</v>
      </c>
      <c r="L132" s="129">
        <f t="shared" si="51"/>
        <v>1.25</v>
      </c>
      <c r="M132" s="129">
        <f t="shared" si="51"/>
        <v>1.25</v>
      </c>
      <c r="N132" s="129">
        <f t="shared" si="51"/>
        <v>1.25</v>
      </c>
      <c r="O132" s="129">
        <f t="shared" si="51"/>
        <v>1.25</v>
      </c>
      <c r="P132" s="129">
        <f t="shared" si="51"/>
        <v>1.25</v>
      </c>
      <c r="Q132" s="129">
        <f t="shared" si="51"/>
        <v>1.25</v>
      </c>
      <c r="R132" s="129">
        <f t="shared" si="51"/>
        <v>1.25</v>
      </c>
      <c r="S132" s="129">
        <f t="shared" si="51"/>
        <v>1.25</v>
      </c>
      <c r="T132" s="129">
        <f t="shared" si="52"/>
        <v>1.25</v>
      </c>
      <c r="U132" s="129">
        <f t="shared" si="52"/>
        <v>1.25</v>
      </c>
      <c r="V132" s="129">
        <f t="shared" si="52"/>
        <v>1.25</v>
      </c>
      <c r="W132" s="129">
        <f t="shared" si="52"/>
        <v>1.25</v>
      </c>
      <c r="X132" s="129">
        <f t="shared" si="52"/>
        <v>1.25</v>
      </c>
      <c r="Y132" s="129">
        <f t="shared" si="52"/>
        <v>1.25</v>
      </c>
      <c r="Z132" s="129">
        <f t="shared" si="52"/>
        <v>1.25</v>
      </c>
      <c r="AA132" s="129">
        <f t="shared" si="52"/>
        <v>1.25</v>
      </c>
      <c r="AB132" s="129">
        <f t="shared" si="52"/>
        <v>1.25</v>
      </c>
      <c r="AC132" s="129">
        <f t="shared" si="52"/>
        <v>1.25</v>
      </c>
      <c r="AD132" s="129">
        <f t="shared" si="52"/>
        <v>1.25</v>
      </c>
      <c r="AE132" s="129">
        <f t="shared" si="52"/>
        <v>1.25</v>
      </c>
      <c r="AF132" s="129">
        <f t="shared" si="52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50"/>
        <v>1.1499999999999999</v>
      </c>
      <c r="C133" s="130">
        <v>1.1499999999999999</v>
      </c>
      <c r="D133" s="129">
        <f t="shared" si="51"/>
        <v>1.1499999999999999</v>
      </c>
      <c r="E133" s="129">
        <f t="shared" si="51"/>
        <v>1.1499999999999999</v>
      </c>
      <c r="F133" s="129">
        <f t="shared" si="51"/>
        <v>1.1499999999999999</v>
      </c>
      <c r="G133" s="129">
        <f t="shared" si="51"/>
        <v>1.1499999999999999</v>
      </c>
      <c r="H133" s="129">
        <f t="shared" si="51"/>
        <v>1.1499999999999999</v>
      </c>
      <c r="I133" s="129">
        <f t="shared" si="51"/>
        <v>1.1499999999999999</v>
      </c>
      <c r="J133" s="129">
        <f t="shared" si="51"/>
        <v>1.1499999999999999</v>
      </c>
      <c r="K133" s="129">
        <f t="shared" si="51"/>
        <v>1.1499999999999999</v>
      </c>
      <c r="L133" s="129">
        <f t="shared" si="51"/>
        <v>1.1499999999999999</v>
      </c>
      <c r="M133" s="129">
        <f t="shared" si="51"/>
        <v>1.1499999999999999</v>
      </c>
      <c r="N133" s="129">
        <f t="shared" si="51"/>
        <v>1.1499999999999999</v>
      </c>
      <c r="O133" s="129">
        <f t="shared" si="51"/>
        <v>1.1499999999999999</v>
      </c>
      <c r="P133" s="129">
        <f t="shared" si="51"/>
        <v>1.1499999999999999</v>
      </c>
      <c r="Q133" s="129">
        <f t="shared" si="51"/>
        <v>1.1499999999999999</v>
      </c>
      <c r="R133" s="129">
        <f t="shared" si="51"/>
        <v>1.1499999999999999</v>
      </c>
      <c r="S133" s="129">
        <f t="shared" si="51"/>
        <v>1.1499999999999999</v>
      </c>
      <c r="T133" s="129">
        <f t="shared" si="52"/>
        <v>1.1499999999999999</v>
      </c>
      <c r="U133" s="129">
        <f t="shared" si="52"/>
        <v>1.1499999999999999</v>
      </c>
      <c r="V133" s="129">
        <f t="shared" si="52"/>
        <v>1.1499999999999999</v>
      </c>
      <c r="W133" s="129">
        <f t="shared" si="52"/>
        <v>1.1499999999999999</v>
      </c>
      <c r="X133" s="129">
        <f t="shared" si="52"/>
        <v>1.1499999999999999</v>
      </c>
      <c r="Y133" s="129">
        <f t="shared" si="52"/>
        <v>1.1499999999999999</v>
      </c>
      <c r="Z133" s="129">
        <f t="shared" si="52"/>
        <v>1.1499999999999999</v>
      </c>
      <c r="AA133" s="129">
        <f t="shared" si="52"/>
        <v>1.1499999999999999</v>
      </c>
      <c r="AB133" s="129">
        <f t="shared" si="52"/>
        <v>1.1499999999999999</v>
      </c>
      <c r="AC133" s="129">
        <f t="shared" si="52"/>
        <v>1.1499999999999999</v>
      </c>
      <c r="AD133" s="129">
        <f t="shared" si="52"/>
        <v>1.1499999999999999</v>
      </c>
      <c r="AE133" s="129">
        <f t="shared" si="52"/>
        <v>1.1499999999999999</v>
      </c>
      <c r="AF133" s="129">
        <f t="shared" si="52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50"/>
        <v>2.133</v>
      </c>
      <c r="C134" s="130">
        <v>2.133</v>
      </c>
      <c r="D134" s="129">
        <f t="shared" si="51"/>
        <v>2.133</v>
      </c>
      <c r="E134" s="129">
        <f t="shared" si="51"/>
        <v>2.133</v>
      </c>
      <c r="F134" s="129">
        <f t="shared" si="51"/>
        <v>2.133</v>
      </c>
      <c r="G134" s="129">
        <f t="shared" si="51"/>
        <v>2.133</v>
      </c>
      <c r="H134" s="129">
        <f t="shared" si="51"/>
        <v>2.133</v>
      </c>
      <c r="I134" s="129">
        <f t="shared" si="51"/>
        <v>2.133</v>
      </c>
      <c r="J134" s="129">
        <f t="shared" si="51"/>
        <v>2.133</v>
      </c>
      <c r="K134" s="129">
        <f t="shared" si="51"/>
        <v>2.133</v>
      </c>
      <c r="L134" s="129">
        <f t="shared" si="51"/>
        <v>2.133</v>
      </c>
      <c r="M134" s="129">
        <f t="shared" si="51"/>
        <v>2.133</v>
      </c>
      <c r="N134" s="129">
        <f t="shared" si="51"/>
        <v>2.133</v>
      </c>
      <c r="O134" s="129">
        <f t="shared" si="51"/>
        <v>2.133</v>
      </c>
      <c r="P134" s="129">
        <f t="shared" si="51"/>
        <v>2.133</v>
      </c>
      <c r="Q134" s="129">
        <f t="shared" si="51"/>
        <v>2.133</v>
      </c>
      <c r="R134" s="129">
        <f t="shared" si="51"/>
        <v>2.133</v>
      </c>
      <c r="S134" s="129">
        <f t="shared" si="51"/>
        <v>2.133</v>
      </c>
      <c r="T134" s="129">
        <f t="shared" si="52"/>
        <v>2.133</v>
      </c>
      <c r="U134" s="129">
        <f t="shared" si="52"/>
        <v>2.133</v>
      </c>
      <c r="V134" s="129">
        <f t="shared" si="52"/>
        <v>2.133</v>
      </c>
      <c r="W134" s="129">
        <f t="shared" si="52"/>
        <v>2.133</v>
      </c>
      <c r="X134" s="129">
        <f t="shared" si="52"/>
        <v>2.133</v>
      </c>
      <c r="Y134" s="129">
        <f t="shared" si="52"/>
        <v>2.133</v>
      </c>
      <c r="Z134" s="129">
        <f t="shared" si="52"/>
        <v>2.133</v>
      </c>
      <c r="AA134" s="129">
        <f t="shared" si="52"/>
        <v>2.133</v>
      </c>
      <c r="AB134" s="129">
        <f t="shared" si="52"/>
        <v>2.133</v>
      </c>
      <c r="AC134" s="129">
        <f t="shared" si="52"/>
        <v>2.133</v>
      </c>
      <c r="AD134" s="129">
        <f t="shared" si="52"/>
        <v>2.133</v>
      </c>
      <c r="AE134" s="129">
        <f t="shared" si="52"/>
        <v>2.133</v>
      </c>
      <c r="AF134" s="129">
        <f t="shared" si="52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50"/>
        <v>2.09</v>
      </c>
      <c r="C135" s="130">
        <v>2.09</v>
      </c>
      <c r="D135" s="129">
        <f t="shared" si="51"/>
        <v>2.09</v>
      </c>
      <c r="E135" s="129">
        <f t="shared" si="51"/>
        <v>2.09</v>
      </c>
      <c r="F135" s="129">
        <f t="shared" si="51"/>
        <v>2.09</v>
      </c>
      <c r="G135" s="129">
        <f t="shared" si="51"/>
        <v>2.09</v>
      </c>
      <c r="H135" s="129">
        <f t="shared" si="51"/>
        <v>2.09</v>
      </c>
      <c r="I135" s="129">
        <f t="shared" si="51"/>
        <v>2.09</v>
      </c>
      <c r="J135" s="129">
        <f t="shared" si="51"/>
        <v>2.09</v>
      </c>
      <c r="K135" s="129">
        <f t="shared" si="51"/>
        <v>2.09</v>
      </c>
      <c r="L135" s="129">
        <f t="shared" si="51"/>
        <v>2.09</v>
      </c>
      <c r="M135" s="129">
        <f t="shared" si="51"/>
        <v>2.09</v>
      </c>
      <c r="N135" s="129">
        <f t="shared" si="51"/>
        <v>2.09</v>
      </c>
      <c r="O135" s="129">
        <f t="shared" si="51"/>
        <v>2.09</v>
      </c>
      <c r="P135" s="129">
        <f t="shared" si="51"/>
        <v>2.09</v>
      </c>
      <c r="Q135" s="129">
        <f t="shared" si="51"/>
        <v>2.09</v>
      </c>
      <c r="R135" s="129">
        <f t="shared" si="51"/>
        <v>2.09</v>
      </c>
      <c r="S135" s="129">
        <f t="shared" si="51"/>
        <v>2.09</v>
      </c>
      <c r="T135" s="129">
        <f t="shared" si="52"/>
        <v>2.09</v>
      </c>
      <c r="U135" s="129">
        <f t="shared" si="52"/>
        <v>2.09</v>
      </c>
      <c r="V135" s="129">
        <f t="shared" si="52"/>
        <v>2.09</v>
      </c>
      <c r="W135" s="129">
        <f t="shared" si="52"/>
        <v>2.09</v>
      </c>
      <c r="X135" s="129">
        <f t="shared" si="52"/>
        <v>2.09</v>
      </c>
      <c r="Y135" s="129">
        <f t="shared" si="52"/>
        <v>2.09</v>
      </c>
      <c r="Z135" s="129">
        <f t="shared" si="52"/>
        <v>2.09</v>
      </c>
      <c r="AA135" s="129">
        <f t="shared" si="52"/>
        <v>2.09</v>
      </c>
      <c r="AB135" s="129">
        <f t="shared" si="52"/>
        <v>2.09</v>
      </c>
      <c r="AC135" s="129">
        <f t="shared" si="52"/>
        <v>2.09</v>
      </c>
      <c r="AD135" s="129">
        <f t="shared" si="52"/>
        <v>2.09</v>
      </c>
      <c r="AE135" s="129">
        <f t="shared" si="52"/>
        <v>2.09</v>
      </c>
      <c r="AF135" s="129">
        <f t="shared" si="52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50"/>
        <v>1.1399999999999999</v>
      </c>
      <c r="C136" s="130">
        <v>1.1399999999999999</v>
      </c>
      <c r="D136" s="129">
        <f t="shared" si="51"/>
        <v>1.1399999999999999</v>
      </c>
      <c r="E136" s="129">
        <f t="shared" si="51"/>
        <v>1.1399999999999999</v>
      </c>
      <c r="F136" s="129">
        <f t="shared" si="51"/>
        <v>1.1399999999999999</v>
      </c>
      <c r="G136" s="129">
        <f t="shared" si="51"/>
        <v>1.1399999999999999</v>
      </c>
      <c r="H136" s="129">
        <f t="shared" si="51"/>
        <v>1.1399999999999999</v>
      </c>
      <c r="I136" s="129">
        <f t="shared" si="51"/>
        <v>1.1399999999999999</v>
      </c>
      <c r="J136" s="129">
        <f t="shared" si="51"/>
        <v>1.1399999999999999</v>
      </c>
      <c r="K136" s="129">
        <f t="shared" si="51"/>
        <v>1.1399999999999999</v>
      </c>
      <c r="L136" s="129">
        <f t="shared" si="51"/>
        <v>1.1399999999999999</v>
      </c>
      <c r="M136" s="129">
        <f t="shared" si="51"/>
        <v>1.1399999999999999</v>
      </c>
      <c r="N136" s="129">
        <f t="shared" si="51"/>
        <v>1.1399999999999999</v>
      </c>
      <c r="O136" s="129">
        <f t="shared" si="51"/>
        <v>1.1399999999999999</v>
      </c>
      <c r="P136" s="129">
        <f t="shared" si="51"/>
        <v>1.1399999999999999</v>
      </c>
      <c r="Q136" s="129">
        <f t="shared" si="51"/>
        <v>1.1399999999999999</v>
      </c>
      <c r="R136" s="129">
        <f t="shared" si="51"/>
        <v>1.1399999999999999</v>
      </c>
      <c r="S136" s="129">
        <f t="shared" si="51"/>
        <v>1.1399999999999999</v>
      </c>
      <c r="T136" s="129">
        <f t="shared" si="52"/>
        <v>1.1399999999999999</v>
      </c>
      <c r="U136" s="129">
        <f t="shared" si="52"/>
        <v>1.1399999999999999</v>
      </c>
      <c r="V136" s="129">
        <f t="shared" si="52"/>
        <v>1.1399999999999999</v>
      </c>
      <c r="W136" s="129">
        <f t="shared" si="52"/>
        <v>1.1399999999999999</v>
      </c>
      <c r="X136" s="129">
        <f t="shared" si="52"/>
        <v>1.1399999999999999</v>
      </c>
      <c r="Y136" s="129">
        <f t="shared" si="52"/>
        <v>1.1399999999999999</v>
      </c>
      <c r="Z136" s="129">
        <f t="shared" si="52"/>
        <v>1.1399999999999999</v>
      </c>
      <c r="AA136" s="129">
        <f t="shared" si="52"/>
        <v>1.1399999999999999</v>
      </c>
      <c r="AB136" s="129">
        <f t="shared" si="52"/>
        <v>1.1399999999999999</v>
      </c>
      <c r="AC136" s="129">
        <f t="shared" si="52"/>
        <v>1.1399999999999999</v>
      </c>
      <c r="AD136" s="129">
        <f t="shared" si="52"/>
        <v>1.1399999999999999</v>
      </c>
      <c r="AE136" s="129">
        <f t="shared" si="52"/>
        <v>1.1399999999999999</v>
      </c>
      <c r="AF136" s="129">
        <f t="shared" si="52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50"/>
        <v>0.82</v>
      </c>
      <c r="C137" s="130">
        <v>0.82</v>
      </c>
      <c r="D137" s="129">
        <f t="shared" si="51"/>
        <v>0.82</v>
      </c>
      <c r="E137" s="129">
        <f t="shared" si="51"/>
        <v>0.82</v>
      </c>
      <c r="F137" s="129">
        <f t="shared" si="51"/>
        <v>0.82</v>
      </c>
      <c r="G137" s="129">
        <f t="shared" si="51"/>
        <v>0.82</v>
      </c>
      <c r="H137" s="129">
        <f t="shared" si="51"/>
        <v>0.82</v>
      </c>
      <c r="I137" s="129">
        <f t="shared" si="51"/>
        <v>0.82</v>
      </c>
      <c r="J137" s="129">
        <f t="shared" si="51"/>
        <v>0.82</v>
      </c>
      <c r="K137" s="129">
        <f t="shared" si="51"/>
        <v>0.82</v>
      </c>
      <c r="L137" s="129">
        <f t="shared" si="51"/>
        <v>0.82</v>
      </c>
      <c r="M137" s="129">
        <f t="shared" si="51"/>
        <v>0.82</v>
      </c>
      <c r="N137" s="129">
        <f t="shared" si="51"/>
        <v>0.82</v>
      </c>
      <c r="O137" s="129">
        <f t="shared" si="51"/>
        <v>0.82</v>
      </c>
      <c r="P137" s="129">
        <f t="shared" si="51"/>
        <v>0.82</v>
      </c>
      <c r="Q137" s="129">
        <f t="shared" si="51"/>
        <v>0.82</v>
      </c>
      <c r="R137" s="129">
        <f t="shared" si="51"/>
        <v>0.82</v>
      </c>
      <c r="S137" s="129">
        <f t="shared" si="51"/>
        <v>0.82</v>
      </c>
      <c r="T137" s="129">
        <f t="shared" si="52"/>
        <v>0.82</v>
      </c>
      <c r="U137" s="129">
        <f t="shared" si="52"/>
        <v>0.82</v>
      </c>
      <c r="V137" s="129">
        <f t="shared" si="52"/>
        <v>0.82</v>
      </c>
      <c r="W137" s="129">
        <f t="shared" si="52"/>
        <v>0.82</v>
      </c>
      <c r="X137" s="129">
        <f t="shared" si="52"/>
        <v>0.82</v>
      </c>
      <c r="Y137" s="129">
        <f t="shared" si="52"/>
        <v>0.82</v>
      </c>
      <c r="Z137" s="129">
        <f t="shared" si="52"/>
        <v>0.82</v>
      </c>
      <c r="AA137" s="129">
        <f t="shared" si="52"/>
        <v>0.82</v>
      </c>
      <c r="AB137" s="129">
        <f t="shared" si="52"/>
        <v>0.82</v>
      </c>
      <c r="AC137" s="129">
        <f t="shared" si="52"/>
        <v>0.82</v>
      </c>
      <c r="AD137" s="129">
        <f t="shared" si="52"/>
        <v>0.82</v>
      </c>
      <c r="AE137" s="129">
        <f t="shared" si="52"/>
        <v>0.82</v>
      </c>
      <c r="AF137" s="129">
        <f t="shared" si="52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53">AF139</f>
        <v>2</v>
      </c>
      <c r="C139" s="130">
        <v>2</v>
      </c>
      <c r="D139" s="129">
        <f t="shared" ref="D139:S145" si="54">C139</f>
        <v>2</v>
      </c>
      <c r="E139" s="129">
        <f t="shared" si="54"/>
        <v>2</v>
      </c>
      <c r="F139" s="129">
        <f t="shared" si="54"/>
        <v>2</v>
      </c>
      <c r="G139" s="129">
        <f t="shared" si="54"/>
        <v>2</v>
      </c>
      <c r="H139" s="129">
        <f t="shared" si="54"/>
        <v>2</v>
      </c>
      <c r="I139" s="129">
        <f t="shared" si="54"/>
        <v>2</v>
      </c>
      <c r="J139" s="129">
        <f t="shared" si="54"/>
        <v>2</v>
      </c>
      <c r="K139" s="129">
        <f t="shared" si="54"/>
        <v>2</v>
      </c>
      <c r="L139" s="129">
        <f t="shared" si="54"/>
        <v>2</v>
      </c>
      <c r="M139" s="129">
        <f t="shared" si="54"/>
        <v>2</v>
      </c>
      <c r="N139" s="129">
        <f t="shared" si="54"/>
        <v>2</v>
      </c>
      <c r="O139" s="129">
        <f t="shared" si="54"/>
        <v>2</v>
      </c>
      <c r="P139" s="129">
        <f t="shared" si="54"/>
        <v>2</v>
      </c>
      <c r="Q139" s="129">
        <f t="shared" si="54"/>
        <v>2</v>
      </c>
      <c r="R139" s="129">
        <f t="shared" si="54"/>
        <v>2</v>
      </c>
      <c r="S139" s="129">
        <f t="shared" si="54"/>
        <v>2</v>
      </c>
      <c r="T139" s="129">
        <f t="shared" ref="T139:AF145" si="55">S139</f>
        <v>2</v>
      </c>
      <c r="U139" s="129">
        <f t="shared" si="55"/>
        <v>2</v>
      </c>
      <c r="V139" s="129">
        <f t="shared" si="55"/>
        <v>2</v>
      </c>
      <c r="W139" s="129">
        <f t="shared" si="55"/>
        <v>2</v>
      </c>
      <c r="X139" s="129">
        <f t="shared" si="55"/>
        <v>2</v>
      </c>
      <c r="Y139" s="129">
        <f t="shared" si="55"/>
        <v>2</v>
      </c>
      <c r="Z139" s="129">
        <f t="shared" si="55"/>
        <v>2</v>
      </c>
      <c r="AA139" s="129">
        <f t="shared" si="55"/>
        <v>2</v>
      </c>
      <c r="AB139" s="129">
        <f t="shared" si="55"/>
        <v>2</v>
      </c>
      <c r="AC139" s="129">
        <f t="shared" si="55"/>
        <v>2</v>
      </c>
      <c r="AD139" s="129">
        <f t="shared" si="55"/>
        <v>2</v>
      </c>
      <c r="AE139" s="129">
        <f t="shared" si="55"/>
        <v>2</v>
      </c>
      <c r="AF139" s="129">
        <f t="shared" si="55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53"/>
        <v>5.61</v>
      </c>
      <c r="C140" s="130">
        <v>5.61</v>
      </c>
      <c r="D140" s="129">
        <f t="shared" si="54"/>
        <v>5.61</v>
      </c>
      <c r="E140" s="129">
        <f t="shared" si="54"/>
        <v>5.61</v>
      </c>
      <c r="F140" s="129">
        <f t="shared" si="54"/>
        <v>5.61</v>
      </c>
      <c r="G140" s="129">
        <f t="shared" si="54"/>
        <v>5.61</v>
      </c>
      <c r="H140" s="129">
        <f t="shared" si="54"/>
        <v>5.61</v>
      </c>
      <c r="I140" s="129">
        <f t="shared" si="54"/>
        <v>5.61</v>
      </c>
      <c r="J140" s="129">
        <f t="shared" si="54"/>
        <v>5.61</v>
      </c>
      <c r="K140" s="129">
        <f t="shared" si="54"/>
        <v>5.61</v>
      </c>
      <c r="L140" s="129">
        <f t="shared" si="54"/>
        <v>5.61</v>
      </c>
      <c r="M140" s="129">
        <f t="shared" si="54"/>
        <v>5.61</v>
      </c>
      <c r="N140" s="129">
        <f t="shared" si="54"/>
        <v>5.61</v>
      </c>
      <c r="O140" s="129">
        <f t="shared" si="54"/>
        <v>5.61</v>
      </c>
      <c r="P140" s="129">
        <f t="shared" si="54"/>
        <v>5.61</v>
      </c>
      <c r="Q140" s="129">
        <f t="shared" si="54"/>
        <v>5.61</v>
      </c>
      <c r="R140" s="129">
        <f t="shared" si="54"/>
        <v>5.61</v>
      </c>
      <c r="S140" s="129">
        <f t="shared" si="54"/>
        <v>5.61</v>
      </c>
      <c r="T140" s="129">
        <f t="shared" si="55"/>
        <v>5.61</v>
      </c>
      <c r="U140" s="129">
        <f t="shared" si="55"/>
        <v>5.61</v>
      </c>
      <c r="V140" s="129">
        <f t="shared" si="55"/>
        <v>5.61</v>
      </c>
      <c r="W140" s="129">
        <f t="shared" si="55"/>
        <v>5.61</v>
      </c>
      <c r="X140" s="129">
        <f t="shared" si="55"/>
        <v>5.61</v>
      </c>
      <c r="Y140" s="129">
        <f t="shared" si="55"/>
        <v>5.61</v>
      </c>
      <c r="Z140" s="129">
        <f t="shared" si="55"/>
        <v>5.61</v>
      </c>
      <c r="AA140" s="129">
        <f t="shared" si="55"/>
        <v>5.61</v>
      </c>
      <c r="AB140" s="129">
        <f t="shared" si="55"/>
        <v>5.61</v>
      </c>
      <c r="AC140" s="129">
        <f t="shared" si="55"/>
        <v>5.61</v>
      </c>
      <c r="AD140" s="129">
        <f t="shared" si="55"/>
        <v>5.61</v>
      </c>
      <c r="AE140" s="129">
        <f t="shared" si="55"/>
        <v>5.61</v>
      </c>
      <c r="AF140" s="129">
        <f t="shared" si="55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53"/>
        <v>1.25</v>
      </c>
      <c r="C141" s="130">
        <v>1.25</v>
      </c>
      <c r="D141" s="129">
        <f t="shared" si="54"/>
        <v>1.25</v>
      </c>
      <c r="E141" s="129">
        <f t="shared" si="54"/>
        <v>1.25</v>
      </c>
      <c r="F141" s="129">
        <f t="shared" si="54"/>
        <v>1.25</v>
      </c>
      <c r="G141" s="129">
        <f t="shared" si="54"/>
        <v>1.25</v>
      </c>
      <c r="H141" s="129">
        <f t="shared" si="54"/>
        <v>1.25</v>
      </c>
      <c r="I141" s="129">
        <f t="shared" si="54"/>
        <v>1.25</v>
      </c>
      <c r="J141" s="129">
        <f t="shared" si="54"/>
        <v>1.25</v>
      </c>
      <c r="K141" s="129">
        <f t="shared" si="54"/>
        <v>1.25</v>
      </c>
      <c r="L141" s="129">
        <f t="shared" si="54"/>
        <v>1.25</v>
      </c>
      <c r="M141" s="129">
        <f t="shared" si="54"/>
        <v>1.25</v>
      </c>
      <c r="N141" s="129">
        <f t="shared" si="54"/>
        <v>1.25</v>
      </c>
      <c r="O141" s="129">
        <f t="shared" si="54"/>
        <v>1.25</v>
      </c>
      <c r="P141" s="129">
        <f t="shared" si="54"/>
        <v>1.25</v>
      </c>
      <c r="Q141" s="129">
        <f t="shared" si="54"/>
        <v>1.25</v>
      </c>
      <c r="R141" s="129">
        <f t="shared" si="54"/>
        <v>1.25</v>
      </c>
      <c r="S141" s="129">
        <f t="shared" si="54"/>
        <v>1.25</v>
      </c>
      <c r="T141" s="129">
        <f t="shared" si="55"/>
        <v>1.25</v>
      </c>
      <c r="U141" s="129">
        <f t="shared" si="55"/>
        <v>1.25</v>
      </c>
      <c r="V141" s="129">
        <f t="shared" si="55"/>
        <v>1.25</v>
      </c>
      <c r="W141" s="129">
        <f t="shared" si="55"/>
        <v>1.25</v>
      </c>
      <c r="X141" s="129">
        <f t="shared" si="55"/>
        <v>1.25</v>
      </c>
      <c r="Y141" s="129">
        <f t="shared" si="55"/>
        <v>1.25</v>
      </c>
      <c r="Z141" s="129">
        <f t="shared" si="55"/>
        <v>1.25</v>
      </c>
      <c r="AA141" s="129">
        <f t="shared" si="55"/>
        <v>1.25</v>
      </c>
      <c r="AB141" s="129">
        <f t="shared" si="55"/>
        <v>1.25</v>
      </c>
      <c r="AC141" s="129">
        <f t="shared" si="55"/>
        <v>1.25</v>
      </c>
      <c r="AD141" s="129">
        <f t="shared" si="55"/>
        <v>1.25</v>
      </c>
      <c r="AE141" s="129">
        <f t="shared" si="55"/>
        <v>1.25</v>
      </c>
      <c r="AF141" s="129">
        <f t="shared" si="55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53"/>
        <v>1.25</v>
      </c>
      <c r="C142" s="130">
        <v>1.25</v>
      </c>
      <c r="D142" s="129">
        <f t="shared" si="54"/>
        <v>1.25</v>
      </c>
      <c r="E142" s="129">
        <f t="shared" si="54"/>
        <v>1.25</v>
      </c>
      <c r="F142" s="129">
        <f t="shared" si="54"/>
        <v>1.25</v>
      </c>
      <c r="G142" s="129">
        <f t="shared" si="54"/>
        <v>1.25</v>
      </c>
      <c r="H142" s="129">
        <f t="shared" si="54"/>
        <v>1.25</v>
      </c>
      <c r="I142" s="129">
        <f t="shared" si="54"/>
        <v>1.25</v>
      </c>
      <c r="J142" s="129">
        <f t="shared" si="54"/>
        <v>1.25</v>
      </c>
      <c r="K142" s="129">
        <f t="shared" si="54"/>
        <v>1.25</v>
      </c>
      <c r="L142" s="129">
        <f t="shared" si="54"/>
        <v>1.25</v>
      </c>
      <c r="M142" s="129">
        <f t="shared" si="54"/>
        <v>1.25</v>
      </c>
      <c r="N142" s="129">
        <f t="shared" si="54"/>
        <v>1.25</v>
      </c>
      <c r="O142" s="129">
        <f t="shared" si="54"/>
        <v>1.25</v>
      </c>
      <c r="P142" s="129">
        <f t="shared" si="54"/>
        <v>1.25</v>
      </c>
      <c r="Q142" s="129">
        <f t="shared" si="54"/>
        <v>1.25</v>
      </c>
      <c r="R142" s="129">
        <f t="shared" si="54"/>
        <v>1.25</v>
      </c>
      <c r="S142" s="129">
        <f t="shared" si="54"/>
        <v>1.25</v>
      </c>
      <c r="T142" s="129">
        <f t="shared" si="55"/>
        <v>1.25</v>
      </c>
      <c r="U142" s="129">
        <f t="shared" si="55"/>
        <v>1.25</v>
      </c>
      <c r="V142" s="129">
        <f t="shared" si="55"/>
        <v>1.25</v>
      </c>
      <c r="W142" s="129">
        <f t="shared" si="55"/>
        <v>1.25</v>
      </c>
      <c r="X142" s="129">
        <f t="shared" si="55"/>
        <v>1.25</v>
      </c>
      <c r="Y142" s="129">
        <f t="shared" si="55"/>
        <v>1.25</v>
      </c>
      <c r="Z142" s="129">
        <f t="shared" si="55"/>
        <v>1.25</v>
      </c>
      <c r="AA142" s="129">
        <f t="shared" si="55"/>
        <v>1.25</v>
      </c>
      <c r="AB142" s="129">
        <f t="shared" si="55"/>
        <v>1.25</v>
      </c>
      <c r="AC142" s="129">
        <f t="shared" si="55"/>
        <v>1.25</v>
      </c>
      <c r="AD142" s="129">
        <f t="shared" si="55"/>
        <v>1.25</v>
      </c>
      <c r="AE142" s="129">
        <f t="shared" si="55"/>
        <v>1.25</v>
      </c>
      <c r="AF142" s="129">
        <f t="shared" si="55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53"/>
        <v>1.46</v>
      </c>
      <c r="C143" s="130">
        <v>1.46</v>
      </c>
      <c r="D143" s="129">
        <f t="shared" si="54"/>
        <v>1.46</v>
      </c>
      <c r="E143" s="129">
        <f t="shared" si="54"/>
        <v>1.46</v>
      </c>
      <c r="F143" s="129">
        <f t="shared" si="54"/>
        <v>1.46</v>
      </c>
      <c r="G143" s="129">
        <f t="shared" si="54"/>
        <v>1.46</v>
      </c>
      <c r="H143" s="129">
        <f t="shared" si="54"/>
        <v>1.46</v>
      </c>
      <c r="I143" s="129">
        <f t="shared" si="54"/>
        <v>1.46</v>
      </c>
      <c r="J143" s="129">
        <f t="shared" si="54"/>
        <v>1.46</v>
      </c>
      <c r="K143" s="129">
        <f t="shared" si="54"/>
        <v>1.46</v>
      </c>
      <c r="L143" s="129">
        <f t="shared" si="54"/>
        <v>1.46</v>
      </c>
      <c r="M143" s="129">
        <f t="shared" si="54"/>
        <v>1.46</v>
      </c>
      <c r="N143" s="129">
        <f t="shared" si="54"/>
        <v>1.46</v>
      </c>
      <c r="O143" s="129">
        <f t="shared" si="54"/>
        <v>1.46</v>
      </c>
      <c r="P143" s="129">
        <f t="shared" si="54"/>
        <v>1.46</v>
      </c>
      <c r="Q143" s="129">
        <f t="shared" si="54"/>
        <v>1.46</v>
      </c>
      <c r="R143" s="129">
        <f t="shared" si="54"/>
        <v>1.46</v>
      </c>
      <c r="S143" s="129">
        <f t="shared" si="54"/>
        <v>1.46</v>
      </c>
      <c r="T143" s="129">
        <f t="shared" si="55"/>
        <v>1.46</v>
      </c>
      <c r="U143" s="129">
        <f t="shared" si="55"/>
        <v>1.46</v>
      </c>
      <c r="V143" s="129">
        <f t="shared" si="55"/>
        <v>1.46</v>
      </c>
      <c r="W143" s="129">
        <f t="shared" si="55"/>
        <v>1.46</v>
      </c>
      <c r="X143" s="129">
        <f t="shared" si="55"/>
        <v>1.46</v>
      </c>
      <c r="Y143" s="129">
        <f t="shared" si="55"/>
        <v>1.46</v>
      </c>
      <c r="Z143" s="129">
        <f t="shared" si="55"/>
        <v>1.46</v>
      </c>
      <c r="AA143" s="129">
        <f t="shared" si="55"/>
        <v>1.46</v>
      </c>
      <c r="AB143" s="129">
        <f t="shared" si="55"/>
        <v>1.46</v>
      </c>
      <c r="AC143" s="129">
        <f t="shared" si="55"/>
        <v>1.46</v>
      </c>
      <c r="AD143" s="129">
        <f t="shared" si="55"/>
        <v>1.46</v>
      </c>
      <c r="AE143" s="129">
        <f t="shared" si="55"/>
        <v>1.46</v>
      </c>
      <c r="AF143" s="129">
        <f t="shared" si="55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53"/>
        <v>3</v>
      </c>
      <c r="C144" s="130">
        <v>3</v>
      </c>
      <c r="D144" s="129">
        <f t="shared" si="54"/>
        <v>3</v>
      </c>
      <c r="E144" s="129">
        <f t="shared" si="54"/>
        <v>3</v>
      </c>
      <c r="F144" s="129">
        <f t="shared" si="54"/>
        <v>3</v>
      </c>
      <c r="G144" s="129">
        <f t="shared" si="54"/>
        <v>3</v>
      </c>
      <c r="H144" s="129">
        <f t="shared" si="54"/>
        <v>3</v>
      </c>
      <c r="I144" s="129">
        <f t="shared" si="54"/>
        <v>3</v>
      </c>
      <c r="J144" s="129">
        <f t="shared" si="54"/>
        <v>3</v>
      </c>
      <c r="K144" s="129">
        <f t="shared" si="54"/>
        <v>3</v>
      </c>
      <c r="L144" s="129">
        <f t="shared" si="54"/>
        <v>3</v>
      </c>
      <c r="M144" s="129">
        <f t="shared" si="54"/>
        <v>3</v>
      </c>
      <c r="N144" s="129">
        <f t="shared" si="54"/>
        <v>3</v>
      </c>
      <c r="O144" s="129">
        <f t="shared" si="54"/>
        <v>3</v>
      </c>
      <c r="P144" s="129">
        <f t="shared" si="54"/>
        <v>3</v>
      </c>
      <c r="Q144" s="129">
        <f t="shared" si="54"/>
        <v>3</v>
      </c>
      <c r="R144" s="129">
        <f t="shared" si="54"/>
        <v>3</v>
      </c>
      <c r="S144" s="129">
        <f t="shared" si="54"/>
        <v>3</v>
      </c>
      <c r="T144" s="129">
        <f t="shared" si="55"/>
        <v>3</v>
      </c>
      <c r="U144" s="129">
        <f t="shared" si="55"/>
        <v>3</v>
      </c>
      <c r="V144" s="129">
        <f t="shared" si="55"/>
        <v>3</v>
      </c>
      <c r="W144" s="129">
        <f t="shared" si="55"/>
        <v>3</v>
      </c>
      <c r="X144" s="129">
        <f t="shared" si="55"/>
        <v>3</v>
      </c>
      <c r="Y144" s="129">
        <f t="shared" si="55"/>
        <v>3</v>
      </c>
      <c r="Z144" s="129">
        <f t="shared" si="55"/>
        <v>3</v>
      </c>
      <c r="AA144" s="129">
        <f t="shared" si="55"/>
        <v>3</v>
      </c>
      <c r="AB144" s="129">
        <f t="shared" si="55"/>
        <v>3</v>
      </c>
      <c r="AC144" s="129">
        <f t="shared" si="55"/>
        <v>3</v>
      </c>
      <c r="AD144" s="129">
        <f t="shared" si="55"/>
        <v>3</v>
      </c>
      <c r="AE144" s="129">
        <f t="shared" si="55"/>
        <v>3</v>
      </c>
      <c r="AF144" s="129">
        <f t="shared" si="55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53"/>
        <v>3.3</v>
      </c>
      <c r="C145" s="130">
        <v>3.3</v>
      </c>
      <c r="D145" s="129">
        <f t="shared" si="54"/>
        <v>3.3</v>
      </c>
      <c r="E145" s="129">
        <f t="shared" si="54"/>
        <v>3.3</v>
      </c>
      <c r="F145" s="129">
        <f t="shared" si="54"/>
        <v>3.3</v>
      </c>
      <c r="G145" s="129">
        <f t="shared" si="54"/>
        <v>3.3</v>
      </c>
      <c r="H145" s="129">
        <f t="shared" si="54"/>
        <v>3.3</v>
      </c>
      <c r="I145" s="129">
        <f t="shared" si="54"/>
        <v>3.3</v>
      </c>
      <c r="J145" s="129">
        <f t="shared" si="54"/>
        <v>3.3</v>
      </c>
      <c r="K145" s="129">
        <f t="shared" si="54"/>
        <v>3.3</v>
      </c>
      <c r="L145" s="129">
        <f t="shared" si="54"/>
        <v>3.3</v>
      </c>
      <c r="M145" s="129">
        <f t="shared" si="54"/>
        <v>3.3</v>
      </c>
      <c r="N145" s="129">
        <f t="shared" si="54"/>
        <v>3.3</v>
      </c>
      <c r="O145" s="129">
        <f t="shared" si="54"/>
        <v>3.3</v>
      </c>
      <c r="P145" s="129">
        <f t="shared" si="54"/>
        <v>3.3</v>
      </c>
      <c r="Q145" s="129">
        <f t="shared" si="54"/>
        <v>3.3</v>
      </c>
      <c r="R145" s="129">
        <f t="shared" si="54"/>
        <v>3.3</v>
      </c>
      <c r="S145" s="129">
        <f t="shared" si="54"/>
        <v>3.3</v>
      </c>
      <c r="T145" s="129">
        <f t="shared" si="55"/>
        <v>3.3</v>
      </c>
      <c r="U145" s="129">
        <f t="shared" si="55"/>
        <v>3.3</v>
      </c>
      <c r="V145" s="129">
        <f t="shared" si="55"/>
        <v>3.3</v>
      </c>
      <c r="W145" s="129">
        <f t="shared" si="55"/>
        <v>3.3</v>
      </c>
      <c r="X145" s="129">
        <f t="shared" si="55"/>
        <v>3.3</v>
      </c>
      <c r="Y145" s="129">
        <f t="shared" si="55"/>
        <v>3.3</v>
      </c>
      <c r="Z145" s="129">
        <f t="shared" si="55"/>
        <v>3.3</v>
      </c>
      <c r="AA145" s="129">
        <f t="shared" si="55"/>
        <v>3.3</v>
      </c>
      <c r="AB145" s="129">
        <f t="shared" si="55"/>
        <v>3.3</v>
      </c>
      <c r="AC145" s="129">
        <f t="shared" si="55"/>
        <v>3.3</v>
      </c>
      <c r="AD145" s="129">
        <f t="shared" si="55"/>
        <v>3.3</v>
      </c>
      <c r="AE145" s="129">
        <f t="shared" si="55"/>
        <v>3.3</v>
      </c>
      <c r="AF145" s="129">
        <f t="shared" si="55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56">C147</f>
        <v>1.76</v>
      </c>
      <c r="E147" s="129">
        <f t="shared" si="56"/>
        <v>1.76</v>
      </c>
      <c r="F147" s="129">
        <f t="shared" si="56"/>
        <v>1.76</v>
      </c>
      <c r="G147" s="129">
        <f t="shared" si="56"/>
        <v>1.76</v>
      </c>
      <c r="H147" s="129">
        <f t="shared" si="56"/>
        <v>1.76</v>
      </c>
      <c r="I147" s="129">
        <f t="shared" si="56"/>
        <v>1.76</v>
      </c>
      <c r="J147" s="129">
        <f t="shared" si="56"/>
        <v>1.76</v>
      </c>
      <c r="K147" s="129">
        <f t="shared" si="56"/>
        <v>1.76</v>
      </c>
      <c r="L147" s="129">
        <f t="shared" si="56"/>
        <v>1.76</v>
      </c>
      <c r="M147" s="129">
        <f t="shared" si="56"/>
        <v>1.76</v>
      </c>
      <c r="N147" s="129">
        <f t="shared" si="56"/>
        <v>1.76</v>
      </c>
      <c r="O147" s="129">
        <f t="shared" si="56"/>
        <v>1.76</v>
      </c>
      <c r="P147" s="129">
        <f t="shared" si="56"/>
        <v>1.76</v>
      </c>
      <c r="Q147" s="129">
        <f t="shared" si="56"/>
        <v>1.76</v>
      </c>
      <c r="R147" s="129">
        <f t="shared" si="56"/>
        <v>1.76</v>
      </c>
      <c r="S147" s="129">
        <f t="shared" si="56"/>
        <v>1.76</v>
      </c>
      <c r="T147" s="129">
        <f t="shared" ref="T147:AF148" si="57">S147</f>
        <v>1.76</v>
      </c>
      <c r="U147" s="129">
        <f t="shared" si="57"/>
        <v>1.76</v>
      </c>
      <c r="V147" s="129">
        <f t="shared" si="57"/>
        <v>1.76</v>
      </c>
      <c r="W147" s="129">
        <f t="shared" si="57"/>
        <v>1.76</v>
      </c>
      <c r="X147" s="129">
        <f t="shared" si="57"/>
        <v>1.76</v>
      </c>
      <c r="Y147" s="129">
        <f t="shared" si="57"/>
        <v>1.76</v>
      </c>
      <c r="Z147" s="129">
        <f t="shared" si="57"/>
        <v>1.76</v>
      </c>
      <c r="AA147" s="129">
        <f t="shared" si="57"/>
        <v>1.76</v>
      </c>
      <c r="AB147" s="129">
        <f t="shared" si="57"/>
        <v>1.76</v>
      </c>
      <c r="AC147" s="129">
        <f t="shared" si="57"/>
        <v>1.76</v>
      </c>
      <c r="AD147" s="129">
        <f t="shared" si="57"/>
        <v>1.76</v>
      </c>
      <c r="AE147" s="129">
        <f t="shared" si="57"/>
        <v>1.76</v>
      </c>
      <c r="AF147" s="129">
        <f t="shared" si="57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56"/>
        <v>0</v>
      </c>
      <c r="E148" s="129">
        <f t="shared" si="56"/>
        <v>0</v>
      </c>
      <c r="F148" s="129">
        <f t="shared" si="56"/>
        <v>0</v>
      </c>
      <c r="G148" s="129">
        <f t="shared" si="56"/>
        <v>0</v>
      </c>
      <c r="H148" s="129">
        <f t="shared" si="56"/>
        <v>0</v>
      </c>
      <c r="I148" s="129">
        <f t="shared" si="56"/>
        <v>0</v>
      </c>
      <c r="J148" s="129">
        <f t="shared" si="56"/>
        <v>0</v>
      </c>
      <c r="K148" s="129">
        <f t="shared" si="56"/>
        <v>0</v>
      </c>
      <c r="L148" s="129">
        <f t="shared" si="56"/>
        <v>0</v>
      </c>
      <c r="M148" s="129">
        <f t="shared" si="56"/>
        <v>0</v>
      </c>
      <c r="N148" s="129">
        <f t="shared" si="56"/>
        <v>0</v>
      </c>
      <c r="O148" s="129">
        <f t="shared" si="56"/>
        <v>0</v>
      </c>
      <c r="P148" s="129">
        <f t="shared" si="56"/>
        <v>0</v>
      </c>
      <c r="Q148" s="129">
        <f t="shared" si="56"/>
        <v>0</v>
      </c>
      <c r="R148" s="129">
        <f t="shared" si="56"/>
        <v>0</v>
      </c>
      <c r="S148" s="129">
        <f t="shared" si="56"/>
        <v>0</v>
      </c>
      <c r="T148" s="129">
        <f t="shared" si="57"/>
        <v>0</v>
      </c>
      <c r="U148" s="129">
        <f t="shared" si="57"/>
        <v>0</v>
      </c>
      <c r="V148" s="129">
        <f t="shared" si="57"/>
        <v>0</v>
      </c>
      <c r="W148" s="129">
        <f t="shared" si="57"/>
        <v>0</v>
      </c>
      <c r="X148" s="129">
        <f t="shared" si="57"/>
        <v>0</v>
      </c>
      <c r="Y148" s="129">
        <f t="shared" si="57"/>
        <v>0</v>
      </c>
      <c r="Z148" s="129">
        <f t="shared" si="57"/>
        <v>0</v>
      </c>
      <c r="AA148" s="129">
        <f t="shared" si="57"/>
        <v>0</v>
      </c>
      <c r="AB148" s="129">
        <f t="shared" si="57"/>
        <v>0</v>
      </c>
      <c r="AC148" s="129">
        <f t="shared" si="57"/>
        <v>0</v>
      </c>
      <c r="AD148" s="129">
        <f t="shared" si="57"/>
        <v>0</v>
      </c>
      <c r="AE148" s="129">
        <f t="shared" si="57"/>
        <v>0</v>
      </c>
      <c r="AF148" s="129">
        <f t="shared" si="57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58">C150</f>
        <v>0.1</v>
      </c>
      <c r="E150" s="129">
        <f t="shared" si="58"/>
        <v>0.1</v>
      </c>
      <c r="F150" s="129">
        <f t="shared" si="58"/>
        <v>0.1</v>
      </c>
      <c r="G150" s="129">
        <f t="shared" si="58"/>
        <v>0.1</v>
      </c>
      <c r="H150" s="129">
        <f t="shared" si="58"/>
        <v>0.1</v>
      </c>
      <c r="I150" s="129">
        <f t="shared" si="58"/>
        <v>0.1</v>
      </c>
      <c r="J150" s="129">
        <f t="shared" si="58"/>
        <v>0.1</v>
      </c>
      <c r="K150" s="129">
        <f t="shared" si="58"/>
        <v>0.1</v>
      </c>
      <c r="L150" s="129">
        <f t="shared" si="58"/>
        <v>0.1</v>
      </c>
      <c r="M150" s="129">
        <f t="shared" si="58"/>
        <v>0.1</v>
      </c>
      <c r="N150" s="129">
        <f t="shared" si="58"/>
        <v>0.1</v>
      </c>
      <c r="O150" s="129">
        <f t="shared" si="58"/>
        <v>0.1</v>
      </c>
      <c r="P150" s="129">
        <f t="shared" si="58"/>
        <v>0.1</v>
      </c>
      <c r="Q150" s="129">
        <f t="shared" si="58"/>
        <v>0.1</v>
      </c>
      <c r="R150" s="129">
        <f t="shared" si="58"/>
        <v>0.1</v>
      </c>
      <c r="S150" s="129">
        <f t="shared" si="58"/>
        <v>0.1</v>
      </c>
      <c r="T150" s="129">
        <f t="shared" ref="T150:AF153" si="59">S150</f>
        <v>0.1</v>
      </c>
      <c r="U150" s="129">
        <f t="shared" si="59"/>
        <v>0.1</v>
      </c>
      <c r="V150" s="129">
        <f t="shared" si="59"/>
        <v>0.1</v>
      </c>
      <c r="W150" s="129">
        <f t="shared" si="59"/>
        <v>0.1</v>
      </c>
      <c r="X150" s="129">
        <f t="shared" si="59"/>
        <v>0.1</v>
      </c>
      <c r="Y150" s="129">
        <f t="shared" si="59"/>
        <v>0.1</v>
      </c>
      <c r="Z150" s="129">
        <f t="shared" si="59"/>
        <v>0.1</v>
      </c>
      <c r="AA150" s="129">
        <f t="shared" si="59"/>
        <v>0.1</v>
      </c>
      <c r="AB150" s="129">
        <f t="shared" si="59"/>
        <v>0.1</v>
      </c>
      <c r="AC150" s="129">
        <f t="shared" si="59"/>
        <v>0.1</v>
      </c>
      <c r="AD150" s="129">
        <f t="shared" si="59"/>
        <v>0.1</v>
      </c>
      <c r="AE150" s="129">
        <f t="shared" si="59"/>
        <v>0.1</v>
      </c>
      <c r="AF150" s="129">
        <f t="shared" si="59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58"/>
        <v>2.0499999999999998</v>
      </c>
      <c r="E151" s="129">
        <f t="shared" si="58"/>
        <v>2.0499999999999998</v>
      </c>
      <c r="F151" s="129">
        <f t="shared" si="58"/>
        <v>2.0499999999999998</v>
      </c>
      <c r="G151" s="129">
        <f t="shared" si="58"/>
        <v>2.0499999999999998</v>
      </c>
      <c r="H151" s="129">
        <f t="shared" si="58"/>
        <v>2.0499999999999998</v>
      </c>
      <c r="I151" s="129">
        <f t="shared" si="58"/>
        <v>2.0499999999999998</v>
      </c>
      <c r="J151" s="129">
        <f t="shared" si="58"/>
        <v>2.0499999999999998</v>
      </c>
      <c r="K151" s="129">
        <f t="shared" si="58"/>
        <v>2.0499999999999998</v>
      </c>
      <c r="L151" s="129">
        <f t="shared" si="58"/>
        <v>2.0499999999999998</v>
      </c>
      <c r="M151" s="129">
        <f t="shared" si="58"/>
        <v>2.0499999999999998</v>
      </c>
      <c r="N151" s="129">
        <f t="shared" si="58"/>
        <v>2.0499999999999998</v>
      </c>
      <c r="O151" s="129">
        <f t="shared" si="58"/>
        <v>2.0499999999999998</v>
      </c>
      <c r="P151" s="129">
        <f t="shared" si="58"/>
        <v>2.0499999999999998</v>
      </c>
      <c r="Q151" s="129">
        <f t="shared" si="58"/>
        <v>2.0499999999999998</v>
      </c>
      <c r="R151" s="129">
        <f t="shared" si="58"/>
        <v>2.0499999999999998</v>
      </c>
      <c r="S151" s="129">
        <f t="shared" si="58"/>
        <v>2.0499999999999998</v>
      </c>
      <c r="T151" s="129">
        <f t="shared" si="59"/>
        <v>2.0499999999999998</v>
      </c>
      <c r="U151" s="129">
        <f t="shared" si="59"/>
        <v>2.0499999999999998</v>
      </c>
      <c r="V151" s="129">
        <f t="shared" si="59"/>
        <v>2.0499999999999998</v>
      </c>
      <c r="W151" s="129">
        <f t="shared" si="59"/>
        <v>2.0499999999999998</v>
      </c>
      <c r="X151" s="129">
        <f t="shared" si="59"/>
        <v>2.0499999999999998</v>
      </c>
      <c r="Y151" s="129">
        <f t="shared" si="59"/>
        <v>2.0499999999999998</v>
      </c>
      <c r="Z151" s="129">
        <f t="shared" si="59"/>
        <v>2.0499999999999998</v>
      </c>
      <c r="AA151" s="129">
        <f t="shared" si="59"/>
        <v>2.0499999999999998</v>
      </c>
      <c r="AB151" s="129">
        <f t="shared" si="59"/>
        <v>2.0499999999999998</v>
      </c>
      <c r="AC151" s="129">
        <f t="shared" si="59"/>
        <v>2.0499999999999998</v>
      </c>
      <c r="AD151" s="129">
        <f t="shared" si="59"/>
        <v>2.0499999999999998</v>
      </c>
      <c r="AE151" s="129">
        <f t="shared" si="59"/>
        <v>2.0499999999999998</v>
      </c>
      <c r="AF151" s="129">
        <f t="shared" si="59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58"/>
        <v>2.7</v>
      </c>
      <c r="E152" s="129">
        <f t="shared" si="58"/>
        <v>2.7</v>
      </c>
      <c r="F152" s="129">
        <f t="shared" si="58"/>
        <v>2.7</v>
      </c>
      <c r="G152" s="129">
        <f t="shared" si="58"/>
        <v>2.7</v>
      </c>
      <c r="H152" s="129">
        <f t="shared" si="58"/>
        <v>2.7</v>
      </c>
      <c r="I152" s="129">
        <f t="shared" si="58"/>
        <v>2.7</v>
      </c>
      <c r="J152" s="129">
        <f t="shared" si="58"/>
        <v>2.7</v>
      </c>
      <c r="K152" s="129">
        <f t="shared" si="58"/>
        <v>2.7</v>
      </c>
      <c r="L152" s="129">
        <f t="shared" si="58"/>
        <v>2.7</v>
      </c>
      <c r="M152" s="129">
        <f t="shared" si="58"/>
        <v>2.7</v>
      </c>
      <c r="N152" s="129">
        <f t="shared" si="58"/>
        <v>2.7</v>
      </c>
      <c r="O152" s="129">
        <f t="shared" si="58"/>
        <v>2.7</v>
      </c>
      <c r="P152" s="129">
        <f t="shared" si="58"/>
        <v>2.7</v>
      </c>
      <c r="Q152" s="129">
        <f t="shared" si="58"/>
        <v>2.7</v>
      </c>
      <c r="R152" s="129">
        <f t="shared" si="58"/>
        <v>2.7</v>
      </c>
      <c r="S152" s="129">
        <f t="shared" si="58"/>
        <v>2.7</v>
      </c>
      <c r="T152" s="129">
        <f t="shared" si="59"/>
        <v>2.7</v>
      </c>
      <c r="U152" s="129">
        <f t="shared" si="59"/>
        <v>2.7</v>
      </c>
      <c r="V152" s="129">
        <f t="shared" si="59"/>
        <v>2.7</v>
      </c>
      <c r="W152" s="129">
        <f t="shared" si="59"/>
        <v>2.7</v>
      </c>
      <c r="X152" s="129">
        <f t="shared" si="59"/>
        <v>2.7</v>
      </c>
      <c r="Y152" s="129">
        <f t="shared" si="59"/>
        <v>2.7</v>
      </c>
      <c r="Z152" s="129">
        <f t="shared" si="59"/>
        <v>2.7</v>
      </c>
      <c r="AA152" s="129">
        <f t="shared" si="59"/>
        <v>2.7</v>
      </c>
      <c r="AB152" s="129">
        <f t="shared" si="59"/>
        <v>2.7</v>
      </c>
      <c r="AC152" s="129">
        <f t="shared" si="59"/>
        <v>2.7</v>
      </c>
      <c r="AD152" s="129">
        <f t="shared" si="59"/>
        <v>2.7</v>
      </c>
      <c r="AE152" s="129">
        <f t="shared" si="59"/>
        <v>2.7</v>
      </c>
      <c r="AF152" s="129">
        <f t="shared" si="59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58"/>
        <v>2.15</v>
      </c>
      <c r="E153" s="129">
        <f t="shared" si="58"/>
        <v>2.15</v>
      </c>
      <c r="F153" s="129">
        <f t="shared" si="58"/>
        <v>2.15</v>
      </c>
      <c r="G153" s="129">
        <f t="shared" si="58"/>
        <v>2.15</v>
      </c>
      <c r="H153" s="129">
        <f t="shared" si="58"/>
        <v>2.15</v>
      </c>
      <c r="I153" s="129">
        <f t="shared" si="58"/>
        <v>2.15</v>
      </c>
      <c r="J153" s="129">
        <f t="shared" si="58"/>
        <v>2.15</v>
      </c>
      <c r="K153" s="129">
        <f t="shared" si="58"/>
        <v>2.15</v>
      </c>
      <c r="L153" s="129">
        <f t="shared" si="58"/>
        <v>2.15</v>
      </c>
      <c r="M153" s="129">
        <f t="shared" si="58"/>
        <v>2.15</v>
      </c>
      <c r="N153" s="129">
        <f t="shared" si="58"/>
        <v>2.15</v>
      </c>
      <c r="O153" s="129">
        <f t="shared" si="58"/>
        <v>2.15</v>
      </c>
      <c r="P153" s="129">
        <f t="shared" si="58"/>
        <v>2.15</v>
      </c>
      <c r="Q153" s="129">
        <f t="shared" si="58"/>
        <v>2.15</v>
      </c>
      <c r="R153" s="129">
        <f t="shared" si="58"/>
        <v>2.15</v>
      </c>
      <c r="S153" s="129">
        <f t="shared" si="58"/>
        <v>2.15</v>
      </c>
      <c r="T153" s="129">
        <f t="shared" si="59"/>
        <v>2.15</v>
      </c>
      <c r="U153" s="129">
        <f t="shared" si="59"/>
        <v>2.15</v>
      </c>
      <c r="V153" s="129">
        <f t="shared" si="59"/>
        <v>2.15</v>
      </c>
      <c r="W153" s="129">
        <f t="shared" si="59"/>
        <v>2.15</v>
      </c>
      <c r="X153" s="129">
        <f t="shared" si="59"/>
        <v>2.15</v>
      </c>
      <c r="Y153" s="129">
        <f t="shared" si="59"/>
        <v>2.15</v>
      </c>
      <c r="Z153" s="129">
        <f t="shared" si="59"/>
        <v>2.15</v>
      </c>
      <c r="AA153" s="129">
        <f t="shared" si="59"/>
        <v>2.15</v>
      </c>
      <c r="AB153" s="129">
        <f t="shared" si="59"/>
        <v>2.15</v>
      </c>
      <c r="AC153" s="129">
        <f t="shared" si="59"/>
        <v>2.15</v>
      </c>
      <c r="AD153" s="129">
        <f t="shared" si="59"/>
        <v>2.15</v>
      </c>
      <c r="AE153" s="129">
        <f t="shared" si="59"/>
        <v>2.15</v>
      </c>
      <c r="AF153" s="129">
        <f t="shared" si="59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60">AF155</f>
        <v>0.9</v>
      </c>
      <c r="C155" s="130">
        <v>0.9</v>
      </c>
      <c r="D155" s="129">
        <f t="shared" ref="D155:S167" si="61">C155</f>
        <v>0.9</v>
      </c>
      <c r="E155" s="129">
        <f t="shared" si="61"/>
        <v>0.9</v>
      </c>
      <c r="F155" s="129">
        <f t="shared" si="61"/>
        <v>0.9</v>
      </c>
      <c r="G155" s="129">
        <f t="shared" si="61"/>
        <v>0.9</v>
      </c>
      <c r="H155" s="129">
        <f t="shared" si="61"/>
        <v>0.9</v>
      </c>
      <c r="I155" s="129">
        <f t="shared" si="61"/>
        <v>0.9</v>
      </c>
      <c r="J155" s="129">
        <f t="shared" si="61"/>
        <v>0.9</v>
      </c>
      <c r="K155" s="129">
        <f t="shared" si="61"/>
        <v>0.9</v>
      </c>
      <c r="L155" s="129">
        <f t="shared" si="61"/>
        <v>0.9</v>
      </c>
      <c r="M155" s="129">
        <f t="shared" si="61"/>
        <v>0.9</v>
      </c>
      <c r="N155" s="129">
        <f t="shared" si="61"/>
        <v>0.9</v>
      </c>
      <c r="O155" s="129">
        <f t="shared" si="61"/>
        <v>0.9</v>
      </c>
      <c r="P155" s="129">
        <f t="shared" si="61"/>
        <v>0.9</v>
      </c>
      <c r="Q155" s="129">
        <f t="shared" si="61"/>
        <v>0.9</v>
      </c>
      <c r="R155" s="129">
        <f t="shared" si="61"/>
        <v>0.9</v>
      </c>
      <c r="S155" s="129">
        <f t="shared" si="61"/>
        <v>0.9</v>
      </c>
      <c r="T155" s="129">
        <f t="shared" ref="S155:AF167" si="62">S155</f>
        <v>0.9</v>
      </c>
      <c r="U155" s="129">
        <f t="shared" si="62"/>
        <v>0.9</v>
      </c>
      <c r="V155" s="129">
        <f t="shared" si="62"/>
        <v>0.9</v>
      </c>
      <c r="W155" s="129">
        <f t="shared" si="62"/>
        <v>0.9</v>
      </c>
      <c r="X155" s="129">
        <f t="shared" si="62"/>
        <v>0.9</v>
      </c>
      <c r="Y155" s="129">
        <f t="shared" si="62"/>
        <v>0.9</v>
      </c>
      <c r="Z155" s="129">
        <f t="shared" si="62"/>
        <v>0.9</v>
      </c>
      <c r="AA155" s="129">
        <f t="shared" si="62"/>
        <v>0.9</v>
      </c>
      <c r="AB155" s="129">
        <f t="shared" si="62"/>
        <v>0.9</v>
      </c>
      <c r="AC155" s="129">
        <f t="shared" si="62"/>
        <v>0.9</v>
      </c>
      <c r="AD155" s="129">
        <f t="shared" si="62"/>
        <v>0.9</v>
      </c>
      <c r="AE155" s="129">
        <f t="shared" si="62"/>
        <v>0.9</v>
      </c>
      <c r="AF155" s="129">
        <f t="shared" si="62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60"/>
        <v>1.08</v>
      </c>
      <c r="C156" s="130">
        <v>1.08</v>
      </c>
      <c r="D156" s="129">
        <f t="shared" si="61"/>
        <v>1.08</v>
      </c>
      <c r="E156" s="129">
        <f t="shared" si="61"/>
        <v>1.08</v>
      </c>
      <c r="F156" s="129">
        <f t="shared" si="61"/>
        <v>1.08</v>
      </c>
      <c r="G156" s="129">
        <f t="shared" si="61"/>
        <v>1.08</v>
      </c>
      <c r="H156" s="129">
        <f t="shared" si="61"/>
        <v>1.08</v>
      </c>
      <c r="I156" s="129">
        <f t="shared" si="61"/>
        <v>1.08</v>
      </c>
      <c r="J156" s="129">
        <f t="shared" si="61"/>
        <v>1.08</v>
      </c>
      <c r="K156" s="129">
        <f t="shared" si="61"/>
        <v>1.08</v>
      </c>
      <c r="L156" s="129">
        <f t="shared" si="61"/>
        <v>1.08</v>
      </c>
      <c r="M156" s="129">
        <f t="shared" si="61"/>
        <v>1.08</v>
      </c>
      <c r="N156" s="129">
        <f t="shared" si="61"/>
        <v>1.08</v>
      </c>
      <c r="O156" s="129">
        <f t="shared" si="61"/>
        <v>1.08</v>
      </c>
      <c r="P156" s="129">
        <f t="shared" si="61"/>
        <v>1.08</v>
      </c>
      <c r="Q156" s="129">
        <f t="shared" si="61"/>
        <v>1.08</v>
      </c>
      <c r="R156" s="129">
        <f t="shared" si="61"/>
        <v>1.08</v>
      </c>
      <c r="S156" s="129">
        <f t="shared" si="61"/>
        <v>1.08</v>
      </c>
      <c r="T156" s="129">
        <f t="shared" si="62"/>
        <v>1.08</v>
      </c>
      <c r="U156" s="129">
        <f t="shared" si="62"/>
        <v>1.08</v>
      </c>
      <c r="V156" s="129">
        <f t="shared" si="62"/>
        <v>1.08</v>
      </c>
      <c r="W156" s="129">
        <f t="shared" si="62"/>
        <v>1.08</v>
      </c>
      <c r="X156" s="129">
        <f t="shared" si="62"/>
        <v>1.08</v>
      </c>
      <c r="Y156" s="129">
        <f t="shared" si="62"/>
        <v>1.08</v>
      </c>
      <c r="Z156" s="129">
        <f t="shared" si="62"/>
        <v>1.08</v>
      </c>
      <c r="AA156" s="129">
        <f t="shared" si="62"/>
        <v>1.08</v>
      </c>
      <c r="AB156" s="129">
        <f t="shared" si="62"/>
        <v>1.08</v>
      </c>
      <c r="AC156" s="129">
        <f t="shared" si="62"/>
        <v>1.08</v>
      </c>
      <c r="AD156" s="129">
        <f t="shared" si="62"/>
        <v>1.08</v>
      </c>
      <c r="AE156" s="129">
        <f t="shared" si="62"/>
        <v>1.08</v>
      </c>
      <c r="AF156" s="129">
        <f t="shared" si="62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60"/>
        <v>2.37</v>
      </c>
      <c r="C157" s="130">
        <v>2.37</v>
      </c>
      <c r="D157" s="129">
        <f t="shared" si="61"/>
        <v>2.37</v>
      </c>
      <c r="E157" s="129">
        <f t="shared" si="61"/>
        <v>2.37</v>
      </c>
      <c r="F157" s="129">
        <f t="shared" si="61"/>
        <v>2.37</v>
      </c>
      <c r="G157" s="129">
        <f t="shared" si="61"/>
        <v>2.37</v>
      </c>
      <c r="H157" s="129">
        <f t="shared" si="61"/>
        <v>2.37</v>
      </c>
      <c r="I157" s="129">
        <f t="shared" si="61"/>
        <v>2.37</v>
      </c>
      <c r="J157" s="129">
        <f t="shared" si="61"/>
        <v>2.37</v>
      </c>
      <c r="K157" s="129">
        <f t="shared" si="61"/>
        <v>2.37</v>
      </c>
      <c r="L157" s="129">
        <f t="shared" si="61"/>
        <v>2.37</v>
      </c>
      <c r="M157" s="129">
        <f t="shared" si="61"/>
        <v>2.37</v>
      </c>
      <c r="N157" s="129">
        <f t="shared" si="61"/>
        <v>2.37</v>
      </c>
      <c r="O157" s="129">
        <f t="shared" si="61"/>
        <v>2.37</v>
      </c>
      <c r="P157" s="129">
        <f t="shared" si="61"/>
        <v>2.37</v>
      </c>
      <c r="Q157" s="129">
        <f t="shared" si="61"/>
        <v>2.37</v>
      </c>
      <c r="R157" s="129">
        <f t="shared" si="61"/>
        <v>2.37</v>
      </c>
      <c r="S157" s="129">
        <f t="shared" si="61"/>
        <v>2.37</v>
      </c>
      <c r="T157" s="129">
        <f t="shared" si="62"/>
        <v>2.37</v>
      </c>
      <c r="U157" s="129">
        <f t="shared" si="62"/>
        <v>2.37</v>
      </c>
      <c r="V157" s="129">
        <f t="shared" si="62"/>
        <v>2.37</v>
      </c>
      <c r="W157" s="129">
        <f t="shared" si="62"/>
        <v>2.37</v>
      </c>
      <c r="X157" s="129">
        <f t="shared" si="62"/>
        <v>2.37</v>
      </c>
      <c r="Y157" s="129">
        <f t="shared" si="62"/>
        <v>2.37</v>
      </c>
      <c r="Z157" s="129">
        <f t="shared" si="62"/>
        <v>2.37</v>
      </c>
      <c r="AA157" s="129">
        <f t="shared" si="62"/>
        <v>2.37</v>
      </c>
      <c r="AB157" s="129">
        <f t="shared" si="62"/>
        <v>2.37</v>
      </c>
      <c r="AC157" s="129">
        <f t="shared" si="62"/>
        <v>2.37</v>
      </c>
      <c r="AD157" s="129">
        <f t="shared" si="62"/>
        <v>2.37</v>
      </c>
      <c r="AE157" s="129">
        <f t="shared" si="62"/>
        <v>2.37</v>
      </c>
      <c r="AF157" s="129">
        <f t="shared" si="62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60"/>
        <v>1.81</v>
      </c>
      <c r="C158" s="130">
        <v>1.81</v>
      </c>
      <c r="D158" s="129">
        <f t="shared" si="61"/>
        <v>1.81</v>
      </c>
      <c r="E158" s="129">
        <f t="shared" si="61"/>
        <v>1.81</v>
      </c>
      <c r="F158" s="129">
        <f t="shared" si="61"/>
        <v>1.81</v>
      </c>
      <c r="G158" s="129">
        <f t="shared" si="61"/>
        <v>1.81</v>
      </c>
      <c r="H158" s="129">
        <f t="shared" si="61"/>
        <v>1.81</v>
      </c>
      <c r="I158" s="129">
        <f t="shared" si="61"/>
        <v>1.81</v>
      </c>
      <c r="J158" s="129">
        <f t="shared" si="61"/>
        <v>1.81</v>
      </c>
      <c r="K158" s="129">
        <f t="shared" si="61"/>
        <v>1.81</v>
      </c>
      <c r="L158" s="129">
        <f t="shared" si="61"/>
        <v>1.81</v>
      </c>
      <c r="M158" s="129">
        <f t="shared" si="61"/>
        <v>1.81</v>
      </c>
      <c r="N158" s="129">
        <f t="shared" si="61"/>
        <v>1.81</v>
      </c>
      <c r="O158" s="129">
        <f t="shared" si="61"/>
        <v>1.81</v>
      </c>
      <c r="P158" s="129">
        <f t="shared" si="61"/>
        <v>1.81</v>
      </c>
      <c r="Q158" s="129">
        <f t="shared" si="61"/>
        <v>1.81</v>
      </c>
      <c r="R158" s="129">
        <f t="shared" si="61"/>
        <v>1.81</v>
      </c>
      <c r="S158" s="129">
        <f t="shared" si="61"/>
        <v>1.81</v>
      </c>
      <c r="T158" s="129">
        <f t="shared" si="62"/>
        <v>1.81</v>
      </c>
      <c r="U158" s="129">
        <f t="shared" si="62"/>
        <v>1.81</v>
      </c>
      <c r="V158" s="129">
        <f t="shared" si="62"/>
        <v>1.81</v>
      </c>
      <c r="W158" s="129">
        <f t="shared" si="62"/>
        <v>1.81</v>
      </c>
      <c r="X158" s="129">
        <f t="shared" si="62"/>
        <v>1.81</v>
      </c>
      <c r="Y158" s="129">
        <f t="shared" si="62"/>
        <v>1.81</v>
      </c>
      <c r="Z158" s="129">
        <f t="shared" si="62"/>
        <v>1.81</v>
      </c>
      <c r="AA158" s="129">
        <f t="shared" si="62"/>
        <v>1.81</v>
      </c>
      <c r="AB158" s="129">
        <f t="shared" si="62"/>
        <v>1.81</v>
      </c>
      <c r="AC158" s="129">
        <f t="shared" si="62"/>
        <v>1.81</v>
      </c>
      <c r="AD158" s="129">
        <f t="shared" si="62"/>
        <v>1.81</v>
      </c>
      <c r="AE158" s="129">
        <f t="shared" si="62"/>
        <v>1.81</v>
      </c>
      <c r="AF158" s="129">
        <f t="shared" si="62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60"/>
        <v>1.0900000000000001</v>
      </c>
      <c r="C159" s="130">
        <v>1.0900000000000001</v>
      </c>
      <c r="D159" s="129">
        <f t="shared" si="61"/>
        <v>1.0900000000000001</v>
      </c>
      <c r="E159" s="129">
        <f t="shared" si="61"/>
        <v>1.0900000000000001</v>
      </c>
      <c r="F159" s="129">
        <f t="shared" si="61"/>
        <v>1.0900000000000001</v>
      </c>
      <c r="G159" s="129">
        <f t="shared" si="61"/>
        <v>1.0900000000000001</v>
      </c>
      <c r="H159" s="129">
        <f t="shared" si="61"/>
        <v>1.0900000000000001</v>
      </c>
      <c r="I159" s="129">
        <f t="shared" si="61"/>
        <v>1.0900000000000001</v>
      </c>
      <c r="J159" s="129">
        <f t="shared" si="61"/>
        <v>1.0900000000000001</v>
      </c>
      <c r="K159" s="129">
        <f t="shared" si="61"/>
        <v>1.0900000000000001</v>
      </c>
      <c r="L159" s="129">
        <f t="shared" si="61"/>
        <v>1.0900000000000001</v>
      </c>
      <c r="M159" s="129">
        <f t="shared" si="61"/>
        <v>1.0900000000000001</v>
      </c>
      <c r="N159" s="129">
        <f t="shared" si="61"/>
        <v>1.0900000000000001</v>
      </c>
      <c r="O159" s="129">
        <f t="shared" si="61"/>
        <v>1.0900000000000001</v>
      </c>
      <c r="P159" s="129">
        <f t="shared" si="61"/>
        <v>1.0900000000000001</v>
      </c>
      <c r="Q159" s="129">
        <f t="shared" si="61"/>
        <v>1.0900000000000001</v>
      </c>
      <c r="R159" s="129">
        <f t="shared" si="61"/>
        <v>1.0900000000000001</v>
      </c>
      <c r="S159" s="129">
        <f t="shared" si="61"/>
        <v>1.0900000000000001</v>
      </c>
      <c r="T159" s="129">
        <f t="shared" si="62"/>
        <v>1.0900000000000001</v>
      </c>
      <c r="U159" s="129">
        <f t="shared" si="62"/>
        <v>1.0900000000000001</v>
      </c>
      <c r="V159" s="129">
        <f t="shared" si="62"/>
        <v>1.0900000000000001</v>
      </c>
      <c r="W159" s="129">
        <f t="shared" si="62"/>
        <v>1.0900000000000001</v>
      </c>
      <c r="X159" s="129">
        <f t="shared" si="62"/>
        <v>1.0900000000000001</v>
      </c>
      <c r="Y159" s="129">
        <f t="shared" si="62"/>
        <v>1.0900000000000001</v>
      </c>
      <c r="Z159" s="129">
        <f t="shared" si="62"/>
        <v>1.0900000000000001</v>
      </c>
      <c r="AA159" s="129">
        <f t="shared" si="62"/>
        <v>1.0900000000000001</v>
      </c>
      <c r="AB159" s="129">
        <f t="shared" si="62"/>
        <v>1.0900000000000001</v>
      </c>
      <c r="AC159" s="129">
        <f t="shared" si="62"/>
        <v>1.0900000000000001</v>
      </c>
      <c r="AD159" s="129">
        <f t="shared" si="62"/>
        <v>1.0900000000000001</v>
      </c>
      <c r="AE159" s="129">
        <f t="shared" si="62"/>
        <v>1.0900000000000001</v>
      </c>
      <c r="AF159" s="129">
        <f t="shared" si="62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60"/>
        <v>1.58</v>
      </c>
      <c r="C160" s="130">
        <v>1.58</v>
      </c>
      <c r="D160" s="129">
        <f t="shared" si="61"/>
        <v>1.58</v>
      </c>
      <c r="E160" s="129">
        <f t="shared" si="61"/>
        <v>1.58</v>
      </c>
      <c r="F160" s="129">
        <f t="shared" si="61"/>
        <v>1.58</v>
      </c>
      <c r="G160" s="129">
        <f t="shared" si="61"/>
        <v>1.58</v>
      </c>
      <c r="H160" s="129">
        <f t="shared" si="61"/>
        <v>1.58</v>
      </c>
      <c r="I160" s="129">
        <f t="shared" si="61"/>
        <v>1.58</v>
      </c>
      <c r="J160" s="129">
        <f t="shared" si="61"/>
        <v>1.58</v>
      </c>
      <c r="K160" s="129">
        <f t="shared" si="61"/>
        <v>1.58</v>
      </c>
      <c r="L160" s="129">
        <f t="shared" si="61"/>
        <v>1.58</v>
      </c>
      <c r="M160" s="129">
        <f t="shared" si="61"/>
        <v>1.58</v>
      </c>
      <c r="N160" s="129">
        <f t="shared" si="61"/>
        <v>1.58</v>
      </c>
      <c r="O160" s="129">
        <f t="shared" si="61"/>
        <v>1.58</v>
      </c>
      <c r="P160" s="129">
        <f t="shared" si="61"/>
        <v>1.58</v>
      </c>
      <c r="Q160" s="129">
        <f t="shared" si="61"/>
        <v>1.58</v>
      </c>
      <c r="R160" s="129">
        <f t="shared" si="61"/>
        <v>1.58</v>
      </c>
      <c r="S160" s="129">
        <f t="shared" si="61"/>
        <v>1.58</v>
      </c>
      <c r="T160" s="129">
        <f t="shared" si="62"/>
        <v>1.58</v>
      </c>
      <c r="U160" s="129">
        <f t="shared" si="62"/>
        <v>1.58</v>
      </c>
      <c r="V160" s="129">
        <f t="shared" si="62"/>
        <v>1.58</v>
      </c>
      <c r="W160" s="129">
        <f t="shared" si="62"/>
        <v>1.58</v>
      </c>
      <c r="X160" s="129">
        <f t="shared" si="62"/>
        <v>1.58</v>
      </c>
      <c r="Y160" s="129">
        <f t="shared" si="62"/>
        <v>1.58</v>
      </c>
      <c r="Z160" s="129">
        <f t="shared" si="62"/>
        <v>1.58</v>
      </c>
      <c r="AA160" s="129">
        <f t="shared" si="62"/>
        <v>1.58</v>
      </c>
      <c r="AB160" s="129">
        <f t="shared" si="62"/>
        <v>1.58</v>
      </c>
      <c r="AC160" s="129">
        <f t="shared" si="62"/>
        <v>1.58</v>
      </c>
      <c r="AD160" s="129">
        <f t="shared" si="62"/>
        <v>1.58</v>
      </c>
      <c r="AE160" s="129">
        <f t="shared" si="62"/>
        <v>1.58</v>
      </c>
      <c r="AF160" s="129">
        <f t="shared" si="62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60"/>
        <v>2</v>
      </c>
      <c r="C161" s="130">
        <v>2</v>
      </c>
      <c r="D161" s="129">
        <f t="shared" si="61"/>
        <v>2</v>
      </c>
      <c r="E161" s="129">
        <f t="shared" si="61"/>
        <v>2</v>
      </c>
      <c r="F161" s="129">
        <f t="shared" si="61"/>
        <v>2</v>
      </c>
      <c r="G161" s="129">
        <f t="shared" si="61"/>
        <v>2</v>
      </c>
      <c r="H161" s="129">
        <f t="shared" si="61"/>
        <v>2</v>
      </c>
      <c r="I161" s="129">
        <f t="shared" si="61"/>
        <v>2</v>
      </c>
      <c r="J161" s="129">
        <f t="shared" si="61"/>
        <v>2</v>
      </c>
      <c r="K161" s="129">
        <f t="shared" si="61"/>
        <v>2</v>
      </c>
      <c r="L161" s="129">
        <f t="shared" si="61"/>
        <v>2</v>
      </c>
      <c r="M161" s="129">
        <f t="shared" si="61"/>
        <v>2</v>
      </c>
      <c r="N161" s="129">
        <f t="shared" si="61"/>
        <v>2</v>
      </c>
      <c r="O161" s="129">
        <f t="shared" si="61"/>
        <v>2</v>
      </c>
      <c r="P161" s="129">
        <f t="shared" si="61"/>
        <v>2</v>
      </c>
      <c r="Q161" s="129">
        <f t="shared" si="61"/>
        <v>2</v>
      </c>
      <c r="R161" s="129">
        <f t="shared" si="61"/>
        <v>2</v>
      </c>
      <c r="S161" s="129">
        <f t="shared" si="61"/>
        <v>2</v>
      </c>
      <c r="T161" s="129">
        <f t="shared" si="62"/>
        <v>2</v>
      </c>
      <c r="U161" s="129">
        <f t="shared" si="62"/>
        <v>2</v>
      </c>
      <c r="V161" s="129">
        <f t="shared" si="62"/>
        <v>2</v>
      </c>
      <c r="W161" s="129">
        <f t="shared" si="62"/>
        <v>2</v>
      </c>
      <c r="X161" s="129">
        <f t="shared" si="62"/>
        <v>2</v>
      </c>
      <c r="Y161" s="129">
        <f t="shared" si="62"/>
        <v>2</v>
      </c>
      <c r="Z161" s="129">
        <f t="shared" si="62"/>
        <v>2</v>
      </c>
      <c r="AA161" s="129">
        <f t="shared" si="62"/>
        <v>2</v>
      </c>
      <c r="AB161" s="129">
        <f t="shared" si="62"/>
        <v>2</v>
      </c>
      <c r="AC161" s="129">
        <f t="shared" si="62"/>
        <v>2</v>
      </c>
      <c r="AD161" s="129">
        <f t="shared" si="62"/>
        <v>2</v>
      </c>
      <c r="AE161" s="129">
        <f t="shared" si="62"/>
        <v>2</v>
      </c>
      <c r="AF161" s="129">
        <f t="shared" si="62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60"/>
        <v>0.47</v>
      </c>
      <c r="C162" s="130">
        <v>0.47</v>
      </c>
      <c r="D162" s="129">
        <f t="shared" si="61"/>
        <v>0.47</v>
      </c>
      <c r="E162" s="129">
        <f t="shared" si="61"/>
        <v>0.47</v>
      </c>
      <c r="F162" s="129">
        <f t="shared" si="61"/>
        <v>0.47</v>
      </c>
      <c r="G162" s="129">
        <f t="shared" si="61"/>
        <v>0.47</v>
      </c>
      <c r="H162" s="129">
        <f t="shared" si="61"/>
        <v>0.47</v>
      </c>
      <c r="I162" s="129">
        <f t="shared" si="61"/>
        <v>0.47</v>
      </c>
      <c r="J162" s="129">
        <f t="shared" si="61"/>
        <v>0.47</v>
      </c>
      <c r="K162" s="129">
        <f t="shared" si="61"/>
        <v>0.47</v>
      </c>
      <c r="L162" s="129">
        <f t="shared" si="61"/>
        <v>0.47</v>
      </c>
      <c r="M162" s="129">
        <f t="shared" si="61"/>
        <v>0.47</v>
      </c>
      <c r="N162" s="129">
        <f t="shared" si="61"/>
        <v>0.47</v>
      </c>
      <c r="O162" s="129">
        <f t="shared" si="61"/>
        <v>0.47</v>
      </c>
      <c r="P162" s="129">
        <f t="shared" si="61"/>
        <v>0.47</v>
      </c>
      <c r="Q162" s="129">
        <f t="shared" si="61"/>
        <v>0.47</v>
      </c>
      <c r="R162" s="129">
        <f t="shared" si="61"/>
        <v>0.47</v>
      </c>
      <c r="S162" s="129">
        <f t="shared" si="61"/>
        <v>0.47</v>
      </c>
      <c r="T162" s="129">
        <f t="shared" si="62"/>
        <v>0.47</v>
      </c>
      <c r="U162" s="129">
        <f t="shared" si="62"/>
        <v>0.47</v>
      </c>
      <c r="V162" s="129">
        <f t="shared" si="62"/>
        <v>0.47</v>
      </c>
      <c r="W162" s="129">
        <f t="shared" si="62"/>
        <v>0.47</v>
      </c>
      <c r="X162" s="129">
        <f t="shared" si="62"/>
        <v>0.47</v>
      </c>
      <c r="Y162" s="129">
        <f t="shared" si="62"/>
        <v>0.47</v>
      </c>
      <c r="Z162" s="129">
        <f t="shared" si="62"/>
        <v>0.47</v>
      </c>
      <c r="AA162" s="129">
        <f t="shared" si="62"/>
        <v>0.47</v>
      </c>
      <c r="AB162" s="129">
        <f t="shared" si="62"/>
        <v>0.47</v>
      </c>
      <c r="AC162" s="129">
        <f t="shared" si="62"/>
        <v>0.47</v>
      </c>
      <c r="AD162" s="129">
        <f t="shared" si="62"/>
        <v>0.47</v>
      </c>
      <c r="AE162" s="129">
        <f t="shared" si="62"/>
        <v>0.47</v>
      </c>
      <c r="AF162" s="129">
        <f t="shared" si="62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60"/>
        <v>0</v>
      </c>
      <c r="C163" s="130">
        <v>0</v>
      </c>
      <c r="D163" s="129">
        <f t="shared" si="61"/>
        <v>0</v>
      </c>
      <c r="E163" s="129">
        <f t="shared" si="61"/>
        <v>0</v>
      </c>
      <c r="F163" s="129">
        <f t="shared" si="61"/>
        <v>0</v>
      </c>
      <c r="G163" s="129">
        <f t="shared" si="61"/>
        <v>0</v>
      </c>
      <c r="H163" s="129">
        <f t="shared" si="61"/>
        <v>0</v>
      </c>
      <c r="I163" s="129">
        <f t="shared" si="61"/>
        <v>0</v>
      </c>
      <c r="J163" s="129">
        <f t="shared" si="61"/>
        <v>0</v>
      </c>
      <c r="K163" s="129">
        <f t="shared" si="61"/>
        <v>0</v>
      </c>
      <c r="L163" s="129">
        <f t="shared" si="61"/>
        <v>0</v>
      </c>
      <c r="M163" s="129">
        <f t="shared" si="61"/>
        <v>0</v>
      </c>
      <c r="N163" s="129">
        <f t="shared" si="61"/>
        <v>0</v>
      </c>
      <c r="O163" s="129">
        <f t="shared" si="61"/>
        <v>0</v>
      </c>
      <c r="P163" s="129">
        <f t="shared" si="61"/>
        <v>0</v>
      </c>
      <c r="Q163" s="129">
        <f t="shared" si="61"/>
        <v>0</v>
      </c>
      <c r="R163" s="129">
        <f t="shared" si="61"/>
        <v>0</v>
      </c>
      <c r="S163" s="129">
        <f t="shared" si="61"/>
        <v>0</v>
      </c>
      <c r="T163" s="129">
        <f t="shared" si="62"/>
        <v>0</v>
      </c>
      <c r="U163" s="129">
        <f t="shared" si="62"/>
        <v>0</v>
      </c>
      <c r="V163" s="129">
        <f t="shared" si="62"/>
        <v>0</v>
      </c>
      <c r="W163" s="129">
        <f t="shared" si="62"/>
        <v>0</v>
      </c>
      <c r="X163" s="129">
        <f t="shared" si="62"/>
        <v>0</v>
      </c>
      <c r="Y163" s="129">
        <f t="shared" si="62"/>
        <v>0</v>
      </c>
      <c r="Z163" s="129">
        <f t="shared" si="62"/>
        <v>0</v>
      </c>
      <c r="AA163" s="129">
        <f t="shared" si="62"/>
        <v>0</v>
      </c>
      <c r="AB163" s="129">
        <f t="shared" si="62"/>
        <v>0</v>
      </c>
      <c r="AC163" s="129">
        <f t="shared" si="62"/>
        <v>0</v>
      </c>
      <c r="AD163" s="129">
        <f t="shared" si="62"/>
        <v>0</v>
      </c>
      <c r="AE163" s="129">
        <f t="shared" si="62"/>
        <v>0</v>
      </c>
      <c r="AF163" s="129">
        <f t="shared" si="62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60"/>
        <v>0</v>
      </c>
      <c r="C164" s="130">
        <v>0</v>
      </c>
      <c r="D164" s="129">
        <f t="shared" si="61"/>
        <v>0</v>
      </c>
      <c r="E164" s="129">
        <f t="shared" si="61"/>
        <v>0</v>
      </c>
      <c r="F164" s="129">
        <f t="shared" si="61"/>
        <v>0</v>
      </c>
      <c r="G164" s="129">
        <f t="shared" si="61"/>
        <v>0</v>
      </c>
      <c r="H164" s="129">
        <f t="shared" si="61"/>
        <v>0</v>
      </c>
      <c r="I164" s="129">
        <f t="shared" si="61"/>
        <v>0</v>
      </c>
      <c r="J164" s="129">
        <f t="shared" si="61"/>
        <v>0</v>
      </c>
      <c r="K164" s="129">
        <f t="shared" si="61"/>
        <v>0</v>
      </c>
      <c r="L164" s="129">
        <f t="shared" si="61"/>
        <v>0</v>
      </c>
      <c r="M164" s="129">
        <f t="shared" si="61"/>
        <v>0</v>
      </c>
      <c r="N164" s="129">
        <f t="shared" si="61"/>
        <v>0</v>
      </c>
      <c r="O164" s="129">
        <f t="shared" si="61"/>
        <v>0</v>
      </c>
      <c r="P164" s="129">
        <f t="shared" si="61"/>
        <v>0</v>
      </c>
      <c r="Q164" s="129">
        <f t="shared" si="61"/>
        <v>0</v>
      </c>
      <c r="R164" s="129">
        <f t="shared" si="61"/>
        <v>0</v>
      </c>
      <c r="S164" s="129">
        <f t="shared" si="62"/>
        <v>0</v>
      </c>
      <c r="T164" s="129">
        <f t="shared" si="62"/>
        <v>0</v>
      </c>
      <c r="U164" s="129">
        <f t="shared" si="62"/>
        <v>0</v>
      </c>
      <c r="V164" s="129">
        <f t="shared" si="62"/>
        <v>0</v>
      </c>
      <c r="W164" s="129">
        <f t="shared" si="62"/>
        <v>0</v>
      </c>
      <c r="X164" s="129">
        <f t="shared" si="62"/>
        <v>0</v>
      </c>
      <c r="Y164" s="129">
        <f t="shared" si="62"/>
        <v>0</v>
      </c>
      <c r="Z164" s="129">
        <f t="shared" si="62"/>
        <v>0</v>
      </c>
      <c r="AA164" s="129">
        <f t="shared" si="62"/>
        <v>0</v>
      </c>
      <c r="AB164" s="129">
        <f t="shared" si="62"/>
        <v>0</v>
      </c>
      <c r="AC164" s="129">
        <f t="shared" si="62"/>
        <v>0</v>
      </c>
      <c r="AD164" s="129">
        <f t="shared" si="62"/>
        <v>0</v>
      </c>
      <c r="AE164" s="129">
        <f t="shared" si="62"/>
        <v>0</v>
      </c>
      <c r="AF164" s="129">
        <f t="shared" si="62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60"/>
        <v>0.8</v>
      </c>
      <c r="C165" s="130">
        <v>0.8</v>
      </c>
      <c r="D165" s="129">
        <f t="shared" si="61"/>
        <v>0.8</v>
      </c>
      <c r="E165" s="129">
        <f t="shared" si="61"/>
        <v>0.8</v>
      </c>
      <c r="F165" s="129">
        <f t="shared" si="61"/>
        <v>0.8</v>
      </c>
      <c r="G165" s="129">
        <f t="shared" si="61"/>
        <v>0.8</v>
      </c>
      <c r="H165" s="129">
        <f t="shared" si="61"/>
        <v>0.8</v>
      </c>
      <c r="I165" s="129">
        <f t="shared" si="61"/>
        <v>0.8</v>
      </c>
      <c r="J165" s="129">
        <f t="shared" si="61"/>
        <v>0.8</v>
      </c>
      <c r="K165" s="129">
        <f t="shared" si="61"/>
        <v>0.8</v>
      </c>
      <c r="L165" s="129">
        <f t="shared" si="61"/>
        <v>0.8</v>
      </c>
      <c r="M165" s="129">
        <f t="shared" si="61"/>
        <v>0.8</v>
      </c>
      <c r="N165" s="129">
        <f t="shared" si="61"/>
        <v>0.8</v>
      </c>
      <c r="O165" s="129">
        <f t="shared" si="61"/>
        <v>0.8</v>
      </c>
      <c r="P165" s="129">
        <f t="shared" si="61"/>
        <v>0.8</v>
      </c>
      <c r="Q165" s="129">
        <f t="shared" si="61"/>
        <v>0.8</v>
      </c>
      <c r="R165" s="129">
        <f t="shared" si="61"/>
        <v>0.8</v>
      </c>
      <c r="S165" s="129">
        <f t="shared" si="62"/>
        <v>0.8</v>
      </c>
      <c r="T165" s="129">
        <f t="shared" si="62"/>
        <v>0.8</v>
      </c>
      <c r="U165" s="129">
        <f t="shared" si="62"/>
        <v>0.8</v>
      </c>
      <c r="V165" s="129">
        <f t="shared" si="62"/>
        <v>0.8</v>
      </c>
      <c r="W165" s="129">
        <f t="shared" si="62"/>
        <v>0.8</v>
      </c>
      <c r="X165" s="129">
        <f t="shared" si="62"/>
        <v>0.8</v>
      </c>
      <c r="Y165" s="129">
        <f t="shared" si="62"/>
        <v>0.8</v>
      </c>
      <c r="Z165" s="129">
        <f t="shared" si="62"/>
        <v>0.8</v>
      </c>
      <c r="AA165" s="129">
        <f t="shared" si="62"/>
        <v>0.8</v>
      </c>
      <c r="AB165" s="129">
        <f t="shared" si="62"/>
        <v>0.8</v>
      </c>
      <c r="AC165" s="129">
        <f t="shared" si="62"/>
        <v>0.8</v>
      </c>
      <c r="AD165" s="129">
        <f t="shared" si="62"/>
        <v>0.8</v>
      </c>
      <c r="AE165" s="129">
        <f t="shared" si="62"/>
        <v>0.8</v>
      </c>
      <c r="AF165" s="129">
        <f t="shared" si="62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60"/>
        <v>1.5</v>
      </c>
      <c r="C166" s="130">
        <v>1.5</v>
      </c>
      <c r="D166" s="129">
        <f t="shared" si="61"/>
        <v>1.5</v>
      </c>
      <c r="E166" s="129">
        <f t="shared" si="61"/>
        <v>1.5</v>
      </c>
      <c r="F166" s="129">
        <f t="shared" si="61"/>
        <v>1.5</v>
      </c>
      <c r="G166" s="129">
        <f t="shared" si="61"/>
        <v>1.5</v>
      </c>
      <c r="H166" s="129">
        <f t="shared" si="61"/>
        <v>1.5</v>
      </c>
      <c r="I166" s="129">
        <f t="shared" si="61"/>
        <v>1.5</v>
      </c>
      <c r="J166" s="129">
        <f t="shared" si="61"/>
        <v>1.5</v>
      </c>
      <c r="K166" s="129">
        <f t="shared" si="61"/>
        <v>1.5</v>
      </c>
      <c r="L166" s="129">
        <f t="shared" si="61"/>
        <v>1.5</v>
      </c>
      <c r="M166" s="129">
        <f t="shared" si="61"/>
        <v>1.5</v>
      </c>
      <c r="N166" s="129">
        <f t="shared" si="61"/>
        <v>1.5</v>
      </c>
      <c r="O166" s="129">
        <f t="shared" si="61"/>
        <v>1.5</v>
      </c>
      <c r="P166" s="129">
        <f t="shared" si="61"/>
        <v>1.5</v>
      </c>
      <c r="Q166" s="129">
        <f t="shared" si="61"/>
        <v>1.5</v>
      </c>
      <c r="R166" s="129">
        <f t="shared" si="61"/>
        <v>1.5</v>
      </c>
      <c r="S166" s="129">
        <f t="shared" si="62"/>
        <v>1.5</v>
      </c>
      <c r="T166" s="129">
        <f t="shared" si="62"/>
        <v>1.5</v>
      </c>
      <c r="U166" s="129">
        <f t="shared" si="62"/>
        <v>1.5</v>
      </c>
      <c r="V166" s="129">
        <f t="shared" si="62"/>
        <v>1.5</v>
      </c>
      <c r="W166" s="129">
        <f t="shared" si="62"/>
        <v>1.5</v>
      </c>
      <c r="X166" s="129">
        <f t="shared" si="62"/>
        <v>1.5</v>
      </c>
      <c r="Y166" s="129">
        <f t="shared" si="62"/>
        <v>1.5</v>
      </c>
      <c r="Z166" s="129">
        <f t="shared" si="62"/>
        <v>1.5</v>
      </c>
      <c r="AA166" s="129">
        <f t="shared" si="62"/>
        <v>1.5</v>
      </c>
      <c r="AB166" s="129">
        <f t="shared" si="62"/>
        <v>1.5</v>
      </c>
      <c r="AC166" s="129">
        <f t="shared" si="62"/>
        <v>1.5</v>
      </c>
      <c r="AD166" s="129">
        <f t="shared" si="62"/>
        <v>1.5</v>
      </c>
      <c r="AE166" s="129">
        <f t="shared" si="62"/>
        <v>1.5</v>
      </c>
      <c r="AF166" s="129">
        <f t="shared" si="62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60"/>
        <v>1</v>
      </c>
      <c r="C167" s="130">
        <v>1</v>
      </c>
      <c r="D167" s="129">
        <f t="shared" si="61"/>
        <v>1</v>
      </c>
      <c r="E167" s="129">
        <f t="shared" si="61"/>
        <v>1</v>
      </c>
      <c r="F167" s="129">
        <f t="shared" si="61"/>
        <v>1</v>
      </c>
      <c r="G167" s="129">
        <f t="shared" si="61"/>
        <v>1</v>
      </c>
      <c r="H167" s="129">
        <f t="shared" si="61"/>
        <v>1</v>
      </c>
      <c r="I167" s="129">
        <f t="shared" si="61"/>
        <v>1</v>
      </c>
      <c r="J167" s="129">
        <f t="shared" si="61"/>
        <v>1</v>
      </c>
      <c r="K167" s="129">
        <f t="shared" si="61"/>
        <v>1</v>
      </c>
      <c r="L167" s="129">
        <f t="shared" si="61"/>
        <v>1</v>
      </c>
      <c r="M167" s="129">
        <f t="shared" si="61"/>
        <v>1</v>
      </c>
      <c r="N167" s="129">
        <f t="shared" si="61"/>
        <v>1</v>
      </c>
      <c r="O167" s="129">
        <f t="shared" si="61"/>
        <v>1</v>
      </c>
      <c r="P167" s="129">
        <f t="shared" si="61"/>
        <v>1</v>
      </c>
      <c r="Q167" s="129">
        <f t="shared" si="61"/>
        <v>1</v>
      </c>
      <c r="R167" s="129">
        <f t="shared" si="61"/>
        <v>1</v>
      </c>
      <c r="S167" s="129">
        <f t="shared" si="62"/>
        <v>1</v>
      </c>
      <c r="T167" s="129">
        <f t="shared" si="62"/>
        <v>1</v>
      </c>
      <c r="U167" s="129">
        <f t="shared" si="62"/>
        <v>1</v>
      </c>
      <c r="V167" s="129">
        <f t="shared" si="62"/>
        <v>1</v>
      </c>
      <c r="W167" s="129">
        <f t="shared" si="62"/>
        <v>1</v>
      </c>
      <c r="X167" s="129">
        <f t="shared" si="62"/>
        <v>1</v>
      </c>
      <c r="Y167" s="129">
        <f t="shared" si="62"/>
        <v>1</v>
      </c>
      <c r="Z167" s="129">
        <f t="shared" si="62"/>
        <v>1</v>
      </c>
      <c r="AA167" s="129">
        <f t="shared" si="62"/>
        <v>1</v>
      </c>
      <c r="AB167" s="129">
        <f t="shared" si="62"/>
        <v>1</v>
      </c>
      <c r="AC167" s="129">
        <f t="shared" si="62"/>
        <v>1</v>
      </c>
      <c r="AD167" s="129">
        <f t="shared" si="62"/>
        <v>1</v>
      </c>
      <c r="AE167" s="129">
        <f t="shared" si="62"/>
        <v>1</v>
      </c>
      <c r="AF167" s="129">
        <f t="shared" si="62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63">AF169</f>
        <v>1</v>
      </c>
      <c r="C169" s="130">
        <v>1</v>
      </c>
      <c r="D169" s="129">
        <f t="shared" ref="D169:S176" si="64">C169</f>
        <v>1</v>
      </c>
      <c r="E169" s="129">
        <f t="shared" si="64"/>
        <v>1</v>
      </c>
      <c r="F169" s="129">
        <f t="shared" si="64"/>
        <v>1</v>
      </c>
      <c r="G169" s="129">
        <f t="shared" si="64"/>
        <v>1</v>
      </c>
      <c r="H169" s="129">
        <f t="shared" si="64"/>
        <v>1</v>
      </c>
      <c r="I169" s="129">
        <f t="shared" si="64"/>
        <v>1</v>
      </c>
      <c r="J169" s="129">
        <f t="shared" si="64"/>
        <v>1</v>
      </c>
      <c r="K169" s="129">
        <f t="shared" si="64"/>
        <v>1</v>
      </c>
      <c r="L169" s="129">
        <f t="shared" si="64"/>
        <v>1</v>
      </c>
      <c r="M169" s="129">
        <f t="shared" si="64"/>
        <v>1</v>
      </c>
      <c r="N169" s="129">
        <f t="shared" si="64"/>
        <v>1</v>
      </c>
      <c r="O169" s="129">
        <f t="shared" si="64"/>
        <v>1</v>
      </c>
      <c r="P169" s="129">
        <f t="shared" si="64"/>
        <v>1</v>
      </c>
      <c r="Q169" s="129">
        <f t="shared" si="64"/>
        <v>1</v>
      </c>
      <c r="R169" s="129">
        <f t="shared" si="64"/>
        <v>1</v>
      </c>
      <c r="S169" s="129">
        <f t="shared" si="64"/>
        <v>1</v>
      </c>
      <c r="T169" s="129">
        <f t="shared" ref="S169:AF176" si="65">S169</f>
        <v>1</v>
      </c>
      <c r="U169" s="129">
        <f t="shared" si="65"/>
        <v>1</v>
      </c>
      <c r="V169" s="129">
        <f t="shared" si="65"/>
        <v>1</v>
      </c>
      <c r="W169" s="129">
        <f t="shared" si="65"/>
        <v>1</v>
      </c>
      <c r="X169" s="129">
        <f t="shared" si="65"/>
        <v>1</v>
      </c>
      <c r="Y169" s="129">
        <f t="shared" si="65"/>
        <v>1</v>
      </c>
      <c r="Z169" s="129">
        <f t="shared" si="65"/>
        <v>1</v>
      </c>
      <c r="AA169" s="129">
        <f t="shared" si="65"/>
        <v>1</v>
      </c>
      <c r="AB169" s="129">
        <f t="shared" si="65"/>
        <v>1</v>
      </c>
      <c r="AC169" s="129">
        <f t="shared" si="65"/>
        <v>1</v>
      </c>
      <c r="AD169" s="129">
        <f t="shared" si="65"/>
        <v>1</v>
      </c>
      <c r="AE169" s="129">
        <f t="shared" si="65"/>
        <v>1</v>
      </c>
      <c r="AF169" s="129">
        <f t="shared" si="65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63"/>
        <v>0.42</v>
      </c>
      <c r="C170" s="130">
        <v>0.42</v>
      </c>
      <c r="D170" s="129">
        <f t="shared" si="64"/>
        <v>0.42</v>
      </c>
      <c r="E170" s="129">
        <f t="shared" si="64"/>
        <v>0.42</v>
      </c>
      <c r="F170" s="129">
        <f t="shared" si="64"/>
        <v>0.42</v>
      </c>
      <c r="G170" s="129">
        <f t="shared" si="64"/>
        <v>0.42</v>
      </c>
      <c r="H170" s="129">
        <f t="shared" si="64"/>
        <v>0.42</v>
      </c>
      <c r="I170" s="129">
        <f t="shared" si="64"/>
        <v>0.42</v>
      </c>
      <c r="J170" s="129">
        <f t="shared" si="64"/>
        <v>0.42</v>
      </c>
      <c r="K170" s="129">
        <f t="shared" si="64"/>
        <v>0.42</v>
      </c>
      <c r="L170" s="129">
        <f t="shared" si="64"/>
        <v>0.42</v>
      </c>
      <c r="M170" s="129">
        <f t="shared" si="64"/>
        <v>0.42</v>
      </c>
      <c r="N170" s="129">
        <f t="shared" si="64"/>
        <v>0.42</v>
      </c>
      <c r="O170" s="129">
        <f t="shared" si="64"/>
        <v>0.42</v>
      </c>
      <c r="P170" s="129">
        <f t="shared" si="64"/>
        <v>0.42</v>
      </c>
      <c r="Q170" s="129">
        <f t="shared" si="64"/>
        <v>0.42</v>
      </c>
      <c r="R170" s="129">
        <f t="shared" si="64"/>
        <v>0.42</v>
      </c>
      <c r="S170" s="129">
        <f t="shared" si="65"/>
        <v>0.42</v>
      </c>
      <c r="T170" s="129">
        <f t="shared" si="65"/>
        <v>0.42</v>
      </c>
      <c r="U170" s="129">
        <f t="shared" si="65"/>
        <v>0.42</v>
      </c>
      <c r="V170" s="129">
        <f t="shared" si="65"/>
        <v>0.42</v>
      </c>
      <c r="W170" s="129">
        <f t="shared" si="65"/>
        <v>0.42</v>
      </c>
      <c r="X170" s="129">
        <f t="shared" si="65"/>
        <v>0.42</v>
      </c>
      <c r="Y170" s="129">
        <f t="shared" si="65"/>
        <v>0.42</v>
      </c>
      <c r="Z170" s="129">
        <f t="shared" si="65"/>
        <v>0.42</v>
      </c>
      <c r="AA170" s="129">
        <f t="shared" si="65"/>
        <v>0.42</v>
      </c>
      <c r="AB170" s="129">
        <f t="shared" si="65"/>
        <v>0.42</v>
      </c>
      <c r="AC170" s="129">
        <f t="shared" si="65"/>
        <v>0.42</v>
      </c>
      <c r="AD170" s="129">
        <f t="shared" si="65"/>
        <v>0.42</v>
      </c>
      <c r="AE170" s="129">
        <f t="shared" si="65"/>
        <v>0.42</v>
      </c>
      <c r="AF170" s="129">
        <f t="shared" si="65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63"/>
        <v>0.46</v>
      </c>
      <c r="C171" s="130">
        <v>0.46</v>
      </c>
      <c r="D171" s="129">
        <f t="shared" si="64"/>
        <v>0.46</v>
      </c>
      <c r="E171" s="129">
        <f t="shared" si="64"/>
        <v>0.46</v>
      </c>
      <c r="F171" s="129">
        <f t="shared" si="64"/>
        <v>0.46</v>
      </c>
      <c r="G171" s="129">
        <f t="shared" si="64"/>
        <v>0.46</v>
      </c>
      <c r="H171" s="129">
        <f t="shared" si="64"/>
        <v>0.46</v>
      </c>
      <c r="I171" s="129">
        <f t="shared" si="64"/>
        <v>0.46</v>
      </c>
      <c r="J171" s="129">
        <f t="shared" si="64"/>
        <v>0.46</v>
      </c>
      <c r="K171" s="129">
        <f t="shared" si="64"/>
        <v>0.46</v>
      </c>
      <c r="L171" s="129">
        <f t="shared" si="64"/>
        <v>0.46</v>
      </c>
      <c r="M171" s="129">
        <f t="shared" si="64"/>
        <v>0.46</v>
      </c>
      <c r="N171" s="129">
        <f t="shared" si="64"/>
        <v>0.46</v>
      </c>
      <c r="O171" s="129">
        <f t="shared" si="64"/>
        <v>0.46</v>
      </c>
      <c r="P171" s="129">
        <f t="shared" si="64"/>
        <v>0.46</v>
      </c>
      <c r="Q171" s="129">
        <f t="shared" si="64"/>
        <v>0.46</v>
      </c>
      <c r="R171" s="129">
        <f t="shared" si="64"/>
        <v>0.46</v>
      </c>
      <c r="S171" s="129">
        <f t="shared" si="65"/>
        <v>0.46</v>
      </c>
      <c r="T171" s="129">
        <f t="shared" si="65"/>
        <v>0.46</v>
      </c>
      <c r="U171" s="129">
        <f t="shared" si="65"/>
        <v>0.46</v>
      </c>
      <c r="V171" s="129">
        <f t="shared" si="65"/>
        <v>0.46</v>
      </c>
      <c r="W171" s="129">
        <f t="shared" si="65"/>
        <v>0.46</v>
      </c>
      <c r="X171" s="129">
        <f t="shared" si="65"/>
        <v>0.46</v>
      </c>
      <c r="Y171" s="129">
        <f t="shared" si="65"/>
        <v>0.46</v>
      </c>
      <c r="Z171" s="129">
        <f t="shared" si="65"/>
        <v>0.46</v>
      </c>
      <c r="AA171" s="129">
        <f t="shared" si="65"/>
        <v>0.46</v>
      </c>
      <c r="AB171" s="129">
        <f t="shared" si="65"/>
        <v>0.46</v>
      </c>
      <c r="AC171" s="129">
        <f t="shared" si="65"/>
        <v>0.46</v>
      </c>
      <c r="AD171" s="129">
        <f t="shared" si="65"/>
        <v>0.46</v>
      </c>
      <c r="AE171" s="129">
        <f t="shared" si="65"/>
        <v>0.46</v>
      </c>
      <c r="AF171" s="129">
        <f t="shared" si="65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63"/>
        <v>0.85</v>
      </c>
      <c r="C172" s="130">
        <v>0.85</v>
      </c>
      <c r="D172" s="129">
        <f t="shared" si="64"/>
        <v>0.85</v>
      </c>
      <c r="E172" s="129">
        <f t="shared" si="64"/>
        <v>0.85</v>
      </c>
      <c r="F172" s="129">
        <f t="shared" si="64"/>
        <v>0.85</v>
      </c>
      <c r="G172" s="129">
        <f t="shared" si="64"/>
        <v>0.85</v>
      </c>
      <c r="H172" s="129">
        <f t="shared" si="64"/>
        <v>0.85</v>
      </c>
      <c r="I172" s="129">
        <f t="shared" si="64"/>
        <v>0.85</v>
      </c>
      <c r="J172" s="129">
        <f t="shared" si="64"/>
        <v>0.85</v>
      </c>
      <c r="K172" s="129">
        <f t="shared" si="64"/>
        <v>0.85</v>
      </c>
      <c r="L172" s="129">
        <f t="shared" si="64"/>
        <v>0.85</v>
      </c>
      <c r="M172" s="129">
        <f t="shared" si="64"/>
        <v>0.85</v>
      </c>
      <c r="N172" s="129">
        <f t="shared" si="64"/>
        <v>0.85</v>
      </c>
      <c r="O172" s="129">
        <f t="shared" si="64"/>
        <v>0.85</v>
      </c>
      <c r="P172" s="129">
        <f t="shared" si="64"/>
        <v>0.85</v>
      </c>
      <c r="Q172" s="129">
        <f t="shared" si="64"/>
        <v>0.85</v>
      </c>
      <c r="R172" s="129">
        <f t="shared" si="64"/>
        <v>0.85</v>
      </c>
      <c r="S172" s="129">
        <f t="shared" si="65"/>
        <v>0.85</v>
      </c>
      <c r="T172" s="129">
        <f t="shared" si="65"/>
        <v>0.85</v>
      </c>
      <c r="U172" s="129">
        <f t="shared" si="65"/>
        <v>0.85</v>
      </c>
      <c r="V172" s="129">
        <f t="shared" si="65"/>
        <v>0.85</v>
      </c>
      <c r="W172" s="129">
        <f t="shared" si="65"/>
        <v>0.85</v>
      </c>
      <c r="X172" s="129">
        <f t="shared" si="65"/>
        <v>0.85</v>
      </c>
      <c r="Y172" s="129">
        <f t="shared" si="65"/>
        <v>0.85</v>
      </c>
      <c r="Z172" s="129">
        <f t="shared" si="65"/>
        <v>0.85</v>
      </c>
      <c r="AA172" s="129">
        <f t="shared" si="65"/>
        <v>0.85</v>
      </c>
      <c r="AB172" s="129">
        <f t="shared" si="65"/>
        <v>0.85</v>
      </c>
      <c r="AC172" s="129">
        <f t="shared" si="65"/>
        <v>0.85</v>
      </c>
      <c r="AD172" s="129">
        <f t="shared" si="65"/>
        <v>0.85</v>
      </c>
      <c r="AE172" s="129">
        <f t="shared" si="65"/>
        <v>0.85</v>
      </c>
      <c r="AF172" s="129">
        <f t="shared" si="65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63"/>
        <v>0.9</v>
      </c>
      <c r="C173" s="130">
        <v>0.9</v>
      </c>
      <c r="D173" s="129">
        <f t="shared" si="64"/>
        <v>0.9</v>
      </c>
      <c r="E173" s="129">
        <f t="shared" si="64"/>
        <v>0.9</v>
      </c>
      <c r="F173" s="129">
        <f t="shared" si="64"/>
        <v>0.9</v>
      </c>
      <c r="G173" s="129">
        <f t="shared" si="64"/>
        <v>0.9</v>
      </c>
      <c r="H173" s="129">
        <f t="shared" si="64"/>
        <v>0.9</v>
      </c>
      <c r="I173" s="129">
        <f t="shared" si="64"/>
        <v>0.9</v>
      </c>
      <c r="J173" s="129">
        <f t="shared" si="64"/>
        <v>0.9</v>
      </c>
      <c r="K173" s="129">
        <f t="shared" si="64"/>
        <v>0.9</v>
      </c>
      <c r="L173" s="129">
        <f t="shared" si="64"/>
        <v>0.9</v>
      </c>
      <c r="M173" s="129">
        <f t="shared" si="64"/>
        <v>0.9</v>
      </c>
      <c r="N173" s="129">
        <f t="shared" si="64"/>
        <v>0.9</v>
      </c>
      <c r="O173" s="129">
        <f t="shared" si="64"/>
        <v>0.9</v>
      </c>
      <c r="P173" s="129">
        <f t="shared" si="64"/>
        <v>0.9</v>
      </c>
      <c r="Q173" s="129">
        <f t="shared" si="64"/>
        <v>0.9</v>
      </c>
      <c r="R173" s="129">
        <f t="shared" si="64"/>
        <v>0.9</v>
      </c>
      <c r="S173" s="129">
        <f t="shared" si="65"/>
        <v>0.9</v>
      </c>
      <c r="T173" s="129">
        <f t="shared" si="65"/>
        <v>0.9</v>
      </c>
      <c r="U173" s="129">
        <f t="shared" si="65"/>
        <v>0.9</v>
      </c>
      <c r="V173" s="129">
        <f t="shared" si="65"/>
        <v>0.9</v>
      </c>
      <c r="W173" s="129">
        <f t="shared" si="65"/>
        <v>0.9</v>
      </c>
      <c r="X173" s="129">
        <f t="shared" si="65"/>
        <v>0.9</v>
      </c>
      <c r="Y173" s="129">
        <f t="shared" si="65"/>
        <v>0.9</v>
      </c>
      <c r="Z173" s="129">
        <f t="shared" si="65"/>
        <v>0.9</v>
      </c>
      <c r="AA173" s="129">
        <f t="shared" si="65"/>
        <v>0.9</v>
      </c>
      <c r="AB173" s="129">
        <f t="shared" si="65"/>
        <v>0.9</v>
      </c>
      <c r="AC173" s="129">
        <f t="shared" si="65"/>
        <v>0.9</v>
      </c>
      <c r="AD173" s="129">
        <f t="shared" si="65"/>
        <v>0.9</v>
      </c>
      <c r="AE173" s="129">
        <f t="shared" si="65"/>
        <v>0.9</v>
      </c>
      <c r="AF173" s="129">
        <f t="shared" si="65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63"/>
        <v>0.44</v>
      </c>
      <c r="C174" s="130">
        <v>0.44</v>
      </c>
      <c r="D174" s="129">
        <f t="shared" si="64"/>
        <v>0.44</v>
      </c>
      <c r="E174" s="129">
        <f t="shared" si="64"/>
        <v>0.44</v>
      </c>
      <c r="F174" s="129">
        <f t="shared" si="64"/>
        <v>0.44</v>
      </c>
      <c r="G174" s="129">
        <f t="shared" si="64"/>
        <v>0.44</v>
      </c>
      <c r="H174" s="129">
        <f t="shared" si="64"/>
        <v>0.44</v>
      </c>
      <c r="I174" s="129">
        <f t="shared" si="64"/>
        <v>0.44</v>
      </c>
      <c r="J174" s="129">
        <f t="shared" si="64"/>
        <v>0.44</v>
      </c>
      <c r="K174" s="129">
        <f t="shared" si="64"/>
        <v>0.44</v>
      </c>
      <c r="L174" s="129">
        <f t="shared" si="64"/>
        <v>0.44</v>
      </c>
      <c r="M174" s="129">
        <f t="shared" si="64"/>
        <v>0.44</v>
      </c>
      <c r="N174" s="129">
        <f t="shared" si="64"/>
        <v>0.44</v>
      </c>
      <c r="O174" s="129">
        <f t="shared" si="64"/>
        <v>0.44</v>
      </c>
      <c r="P174" s="129">
        <f t="shared" si="64"/>
        <v>0.44</v>
      </c>
      <c r="Q174" s="129">
        <f t="shared" si="64"/>
        <v>0.44</v>
      </c>
      <c r="R174" s="129">
        <f t="shared" si="64"/>
        <v>0.44</v>
      </c>
      <c r="S174" s="129">
        <f t="shared" si="65"/>
        <v>0.44</v>
      </c>
      <c r="T174" s="129">
        <f t="shared" si="65"/>
        <v>0.44</v>
      </c>
      <c r="U174" s="129">
        <f t="shared" si="65"/>
        <v>0.44</v>
      </c>
      <c r="V174" s="129">
        <f t="shared" si="65"/>
        <v>0.44</v>
      </c>
      <c r="W174" s="129">
        <f t="shared" si="65"/>
        <v>0.44</v>
      </c>
      <c r="X174" s="129">
        <f t="shared" si="65"/>
        <v>0.44</v>
      </c>
      <c r="Y174" s="129">
        <f t="shared" si="65"/>
        <v>0.44</v>
      </c>
      <c r="Z174" s="129">
        <f t="shared" si="65"/>
        <v>0.44</v>
      </c>
      <c r="AA174" s="129">
        <f t="shared" si="65"/>
        <v>0.44</v>
      </c>
      <c r="AB174" s="129">
        <f t="shared" si="65"/>
        <v>0.44</v>
      </c>
      <c r="AC174" s="129">
        <f t="shared" si="65"/>
        <v>0.44</v>
      </c>
      <c r="AD174" s="129">
        <f t="shared" si="65"/>
        <v>0.44</v>
      </c>
      <c r="AE174" s="129">
        <f t="shared" si="65"/>
        <v>0.44</v>
      </c>
      <c r="AF174" s="129">
        <f t="shared" si="65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63"/>
        <v>2.1</v>
      </c>
      <c r="C175" s="130">
        <v>2.1</v>
      </c>
      <c r="D175" s="129">
        <f t="shared" si="64"/>
        <v>2.1</v>
      </c>
      <c r="E175" s="129">
        <f t="shared" si="64"/>
        <v>2.1</v>
      </c>
      <c r="F175" s="129">
        <f t="shared" si="64"/>
        <v>2.1</v>
      </c>
      <c r="G175" s="129">
        <f t="shared" si="64"/>
        <v>2.1</v>
      </c>
      <c r="H175" s="129">
        <f t="shared" si="64"/>
        <v>2.1</v>
      </c>
      <c r="I175" s="129">
        <f t="shared" si="64"/>
        <v>2.1</v>
      </c>
      <c r="J175" s="129">
        <f t="shared" si="64"/>
        <v>2.1</v>
      </c>
      <c r="K175" s="129">
        <f t="shared" si="64"/>
        <v>2.1</v>
      </c>
      <c r="L175" s="129">
        <f t="shared" si="64"/>
        <v>2.1</v>
      </c>
      <c r="M175" s="129">
        <f t="shared" si="64"/>
        <v>2.1</v>
      </c>
      <c r="N175" s="129">
        <f t="shared" si="64"/>
        <v>2.1</v>
      </c>
      <c r="O175" s="129">
        <f t="shared" si="64"/>
        <v>2.1</v>
      </c>
      <c r="P175" s="129">
        <f t="shared" si="64"/>
        <v>2.1</v>
      </c>
      <c r="Q175" s="129">
        <f t="shared" si="64"/>
        <v>2.1</v>
      </c>
      <c r="R175" s="129">
        <f t="shared" si="64"/>
        <v>2.1</v>
      </c>
      <c r="S175" s="129">
        <f t="shared" si="65"/>
        <v>2.1</v>
      </c>
      <c r="T175" s="129">
        <f t="shared" si="65"/>
        <v>2.1</v>
      </c>
      <c r="U175" s="129">
        <f t="shared" si="65"/>
        <v>2.1</v>
      </c>
      <c r="V175" s="129">
        <f t="shared" si="65"/>
        <v>2.1</v>
      </c>
      <c r="W175" s="129">
        <f t="shared" si="65"/>
        <v>2.1</v>
      </c>
      <c r="X175" s="129">
        <f t="shared" si="65"/>
        <v>2.1</v>
      </c>
      <c r="Y175" s="129">
        <f t="shared" si="65"/>
        <v>2.1</v>
      </c>
      <c r="Z175" s="129">
        <f t="shared" si="65"/>
        <v>2.1</v>
      </c>
      <c r="AA175" s="129">
        <f t="shared" si="65"/>
        <v>2.1</v>
      </c>
      <c r="AB175" s="129">
        <f t="shared" si="65"/>
        <v>2.1</v>
      </c>
      <c r="AC175" s="129">
        <f t="shared" si="65"/>
        <v>2.1</v>
      </c>
      <c r="AD175" s="129">
        <f t="shared" si="65"/>
        <v>2.1</v>
      </c>
      <c r="AE175" s="129">
        <f t="shared" si="65"/>
        <v>2.1</v>
      </c>
      <c r="AF175" s="129">
        <f t="shared" si="65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63"/>
        <v>0.9</v>
      </c>
      <c r="C176" s="130">
        <v>0.9</v>
      </c>
      <c r="D176" s="129">
        <f t="shared" si="64"/>
        <v>0.9</v>
      </c>
      <c r="E176" s="129">
        <f t="shared" si="64"/>
        <v>0.9</v>
      </c>
      <c r="F176" s="129">
        <f t="shared" si="64"/>
        <v>0.9</v>
      </c>
      <c r="G176" s="129">
        <f t="shared" si="64"/>
        <v>0.9</v>
      </c>
      <c r="H176" s="129">
        <f t="shared" si="64"/>
        <v>0.9</v>
      </c>
      <c r="I176" s="129">
        <f t="shared" si="64"/>
        <v>0.9</v>
      </c>
      <c r="J176" s="129">
        <f t="shared" si="64"/>
        <v>0.9</v>
      </c>
      <c r="K176" s="129">
        <f t="shared" si="64"/>
        <v>0.9</v>
      </c>
      <c r="L176" s="129">
        <f t="shared" si="64"/>
        <v>0.9</v>
      </c>
      <c r="M176" s="129">
        <f t="shared" si="64"/>
        <v>0.9</v>
      </c>
      <c r="N176" s="129">
        <f t="shared" si="64"/>
        <v>0.9</v>
      </c>
      <c r="O176" s="129">
        <f t="shared" si="64"/>
        <v>0.9</v>
      </c>
      <c r="P176" s="129">
        <f t="shared" si="64"/>
        <v>0.9</v>
      </c>
      <c r="Q176" s="129">
        <f t="shared" si="64"/>
        <v>0.9</v>
      </c>
      <c r="R176" s="129">
        <f t="shared" si="64"/>
        <v>0.9</v>
      </c>
      <c r="S176" s="129">
        <f t="shared" si="65"/>
        <v>0.9</v>
      </c>
      <c r="T176" s="129">
        <f t="shared" si="65"/>
        <v>0.9</v>
      </c>
      <c r="U176" s="129">
        <f t="shared" si="65"/>
        <v>0.9</v>
      </c>
      <c r="V176" s="129">
        <f t="shared" si="65"/>
        <v>0.9</v>
      </c>
      <c r="W176" s="129">
        <f t="shared" si="65"/>
        <v>0.9</v>
      </c>
      <c r="X176" s="129">
        <f t="shared" si="65"/>
        <v>0.9</v>
      </c>
      <c r="Y176" s="129">
        <f t="shared" si="65"/>
        <v>0.9</v>
      </c>
      <c r="Z176" s="129">
        <f t="shared" si="65"/>
        <v>0.9</v>
      </c>
      <c r="AA176" s="129">
        <f t="shared" si="65"/>
        <v>0.9</v>
      </c>
      <c r="AB176" s="129">
        <f t="shared" si="65"/>
        <v>0.9</v>
      </c>
      <c r="AC176" s="129">
        <f t="shared" si="65"/>
        <v>0.9</v>
      </c>
      <c r="AD176" s="129">
        <f t="shared" si="65"/>
        <v>0.9</v>
      </c>
      <c r="AE176" s="129">
        <f t="shared" si="65"/>
        <v>0.9</v>
      </c>
      <c r="AF176" s="129">
        <f t="shared" si="65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66">AF178</f>
        <v>0.57999999999999996</v>
      </c>
      <c r="C178" s="130">
        <v>0.57999999999999996</v>
      </c>
      <c r="D178" s="129">
        <f t="shared" ref="D178:S190" si="67">C178</f>
        <v>0.57999999999999996</v>
      </c>
      <c r="E178" s="129">
        <f t="shared" si="67"/>
        <v>0.57999999999999996</v>
      </c>
      <c r="F178" s="129">
        <f t="shared" si="67"/>
        <v>0.57999999999999996</v>
      </c>
      <c r="G178" s="129">
        <f t="shared" si="67"/>
        <v>0.57999999999999996</v>
      </c>
      <c r="H178" s="129">
        <f t="shared" si="67"/>
        <v>0.57999999999999996</v>
      </c>
      <c r="I178" s="129">
        <f t="shared" si="67"/>
        <v>0.57999999999999996</v>
      </c>
      <c r="J178" s="129">
        <f t="shared" si="67"/>
        <v>0.57999999999999996</v>
      </c>
      <c r="K178" s="129">
        <f t="shared" si="67"/>
        <v>0.57999999999999996</v>
      </c>
      <c r="L178" s="129">
        <f t="shared" si="67"/>
        <v>0.57999999999999996</v>
      </c>
      <c r="M178" s="129">
        <f t="shared" si="67"/>
        <v>0.57999999999999996</v>
      </c>
      <c r="N178" s="129">
        <f t="shared" si="67"/>
        <v>0.57999999999999996</v>
      </c>
      <c r="O178" s="129">
        <f t="shared" si="67"/>
        <v>0.57999999999999996</v>
      </c>
      <c r="P178" s="129">
        <f t="shared" si="67"/>
        <v>0.57999999999999996</v>
      </c>
      <c r="Q178" s="129">
        <f t="shared" si="67"/>
        <v>0.57999999999999996</v>
      </c>
      <c r="R178" s="129">
        <f t="shared" si="67"/>
        <v>0.57999999999999996</v>
      </c>
      <c r="S178" s="129">
        <f t="shared" si="67"/>
        <v>0.57999999999999996</v>
      </c>
      <c r="T178" s="129">
        <f t="shared" ref="S178:AF190" si="68">S178</f>
        <v>0.57999999999999996</v>
      </c>
      <c r="U178" s="129">
        <f t="shared" si="68"/>
        <v>0.57999999999999996</v>
      </c>
      <c r="V178" s="129">
        <f t="shared" si="68"/>
        <v>0.57999999999999996</v>
      </c>
      <c r="W178" s="129">
        <f t="shared" si="68"/>
        <v>0.57999999999999996</v>
      </c>
      <c r="X178" s="129">
        <f t="shared" si="68"/>
        <v>0.57999999999999996</v>
      </c>
      <c r="Y178" s="129">
        <f t="shared" si="68"/>
        <v>0.57999999999999996</v>
      </c>
      <c r="Z178" s="129">
        <f t="shared" si="68"/>
        <v>0.57999999999999996</v>
      </c>
      <c r="AA178" s="129">
        <f t="shared" si="68"/>
        <v>0.57999999999999996</v>
      </c>
      <c r="AB178" s="129">
        <f t="shared" si="68"/>
        <v>0.57999999999999996</v>
      </c>
      <c r="AC178" s="129">
        <f t="shared" si="68"/>
        <v>0.57999999999999996</v>
      </c>
      <c r="AD178" s="129">
        <f t="shared" si="68"/>
        <v>0.57999999999999996</v>
      </c>
      <c r="AE178" s="129">
        <f t="shared" si="68"/>
        <v>0.57999999999999996</v>
      </c>
      <c r="AF178" s="129">
        <f t="shared" si="68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66"/>
        <v>0.8</v>
      </c>
      <c r="C179" s="130">
        <v>0.8</v>
      </c>
      <c r="D179" s="129">
        <f t="shared" si="67"/>
        <v>0.8</v>
      </c>
      <c r="E179" s="129">
        <f t="shared" si="67"/>
        <v>0.8</v>
      </c>
      <c r="F179" s="129">
        <f t="shared" si="67"/>
        <v>0.8</v>
      </c>
      <c r="G179" s="129">
        <f t="shared" si="67"/>
        <v>0.8</v>
      </c>
      <c r="H179" s="129">
        <f t="shared" si="67"/>
        <v>0.8</v>
      </c>
      <c r="I179" s="129">
        <f t="shared" si="67"/>
        <v>0.8</v>
      </c>
      <c r="J179" s="129">
        <f t="shared" si="67"/>
        <v>0.8</v>
      </c>
      <c r="K179" s="129">
        <f t="shared" si="67"/>
        <v>0.8</v>
      </c>
      <c r="L179" s="129">
        <f t="shared" si="67"/>
        <v>0.8</v>
      </c>
      <c r="M179" s="129">
        <f t="shared" si="67"/>
        <v>0.8</v>
      </c>
      <c r="N179" s="129">
        <f t="shared" si="67"/>
        <v>0.8</v>
      </c>
      <c r="O179" s="129">
        <f t="shared" si="67"/>
        <v>0.8</v>
      </c>
      <c r="P179" s="129">
        <f t="shared" si="67"/>
        <v>0.8</v>
      </c>
      <c r="Q179" s="129">
        <f t="shared" si="67"/>
        <v>0.8</v>
      </c>
      <c r="R179" s="129">
        <f t="shared" si="67"/>
        <v>0.8</v>
      </c>
      <c r="S179" s="129">
        <f t="shared" si="67"/>
        <v>0.8</v>
      </c>
      <c r="T179" s="129">
        <f t="shared" si="68"/>
        <v>0.8</v>
      </c>
      <c r="U179" s="129">
        <f t="shared" si="68"/>
        <v>0.8</v>
      </c>
      <c r="V179" s="129">
        <f t="shared" si="68"/>
        <v>0.8</v>
      </c>
      <c r="W179" s="129">
        <f t="shared" si="68"/>
        <v>0.8</v>
      </c>
      <c r="X179" s="129">
        <f t="shared" si="68"/>
        <v>0.8</v>
      </c>
      <c r="Y179" s="129">
        <f t="shared" si="68"/>
        <v>0.8</v>
      </c>
      <c r="Z179" s="129">
        <f t="shared" si="68"/>
        <v>0.8</v>
      </c>
      <c r="AA179" s="129">
        <f t="shared" si="68"/>
        <v>0.8</v>
      </c>
      <c r="AB179" s="129">
        <f t="shared" si="68"/>
        <v>0.8</v>
      </c>
      <c r="AC179" s="129">
        <f t="shared" si="68"/>
        <v>0.8</v>
      </c>
      <c r="AD179" s="129">
        <f t="shared" si="68"/>
        <v>0.8</v>
      </c>
      <c r="AE179" s="129">
        <f t="shared" si="68"/>
        <v>0.8</v>
      </c>
      <c r="AF179" s="129">
        <f t="shared" si="68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66"/>
        <v>0</v>
      </c>
      <c r="C180" s="130">
        <v>0</v>
      </c>
      <c r="D180" s="129">
        <f t="shared" si="67"/>
        <v>0</v>
      </c>
      <c r="E180" s="129">
        <f t="shared" si="67"/>
        <v>0</v>
      </c>
      <c r="F180" s="129">
        <f t="shared" si="67"/>
        <v>0</v>
      </c>
      <c r="G180" s="129">
        <f t="shared" si="67"/>
        <v>0</v>
      </c>
      <c r="H180" s="129">
        <f t="shared" si="67"/>
        <v>0</v>
      </c>
      <c r="I180" s="129">
        <f t="shared" si="67"/>
        <v>0</v>
      </c>
      <c r="J180" s="129">
        <f t="shared" si="67"/>
        <v>0</v>
      </c>
      <c r="K180" s="129">
        <f t="shared" si="67"/>
        <v>0</v>
      </c>
      <c r="L180" s="129">
        <f t="shared" si="67"/>
        <v>0</v>
      </c>
      <c r="M180" s="129">
        <f t="shared" si="67"/>
        <v>0</v>
      </c>
      <c r="N180" s="129">
        <f t="shared" si="67"/>
        <v>0</v>
      </c>
      <c r="O180" s="129">
        <f t="shared" si="67"/>
        <v>0</v>
      </c>
      <c r="P180" s="129">
        <f t="shared" si="67"/>
        <v>0</v>
      </c>
      <c r="Q180" s="129">
        <f t="shared" si="67"/>
        <v>0</v>
      </c>
      <c r="R180" s="129">
        <f t="shared" si="67"/>
        <v>0</v>
      </c>
      <c r="S180" s="129">
        <f t="shared" si="67"/>
        <v>0</v>
      </c>
      <c r="T180" s="129">
        <f t="shared" si="68"/>
        <v>0</v>
      </c>
      <c r="U180" s="129">
        <f t="shared" si="68"/>
        <v>0</v>
      </c>
      <c r="V180" s="129">
        <f t="shared" si="68"/>
        <v>0</v>
      </c>
      <c r="W180" s="129">
        <f t="shared" si="68"/>
        <v>0</v>
      </c>
      <c r="X180" s="129">
        <f t="shared" si="68"/>
        <v>0</v>
      </c>
      <c r="Y180" s="129">
        <f t="shared" si="68"/>
        <v>0</v>
      </c>
      <c r="Z180" s="129">
        <f t="shared" si="68"/>
        <v>0</v>
      </c>
      <c r="AA180" s="129">
        <f t="shared" si="68"/>
        <v>0</v>
      </c>
      <c r="AB180" s="129">
        <f t="shared" si="68"/>
        <v>0</v>
      </c>
      <c r="AC180" s="129">
        <f t="shared" si="68"/>
        <v>0</v>
      </c>
      <c r="AD180" s="129">
        <f t="shared" si="68"/>
        <v>0</v>
      </c>
      <c r="AE180" s="129">
        <f t="shared" si="68"/>
        <v>0</v>
      </c>
      <c r="AF180" s="129">
        <f t="shared" si="68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66"/>
        <v>0.6</v>
      </c>
      <c r="C181" s="130">
        <v>0.6</v>
      </c>
      <c r="D181" s="129">
        <f t="shared" si="67"/>
        <v>0.6</v>
      </c>
      <c r="E181" s="129">
        <f t="shared" si="67"/>
        <v>0.6</v>
      </c>
      <c r="F181" s="129">
        <f t="shared" si="67"/>
        <v>0.6</v>
      </c>
      <c r="G181" s="129">
        <f t="shared" si="67"/>
        <v>0.6</v>
      </c>
      <c r="H181" s="129">
        <f t="shared" si="67"/>
        <v>0.6</v>
      </c>
      <c r="I181" s="129">
        <f t="shared" si="67"/>
        <v>0.6</v>
      </c>
      <c r="J181" s="129">
        <f t="shared" si="67"/>
        <v>0.6</v>
      </c>
      <c r="K181" s="129">
        <f t="shared" si="67"/>
        <v>0.6</v>
      </c>
      <c r="L181" s="129">
        <f t="shared" si="67"/>
        <v>0.6</v>
      </c>
      <c r="M181" s="129">
        <f t="shared" si="67"/>
        <v>0.6</v>
      </c>
      <c r="N181" s="129">
        <f t="shared" si="67"/>
        <v>0.6</v>
      </c>
      <c r="O181" s="129">
        <f t="shared" si="67"/>
        <v>0.6</v>
      </c>
      <c r="P181" s="129">
        <f t="shared" si="67"/>
        <v>0.6</v>
      </c>
      <c r="Q181" s="129">
        <f t="shared" si="67"/>
        <v>0.6</v>
      </c>
      <c r="R181" s="129">
        <f t="shared" si="67"/>
        <v>0.6</v>
      </c>
      <c r="S181" s="129">
        <f t="shared" si="67"/>
        <v>0.6</v>
      </c>
      <c r="T181" s="129">
        <f t="shared" si="68"/>
        <v>0.6</v>
      </c>
      <c r="U181" s="129">
        <f t="shared" si="68"/>
        <v>0.6</v>
      </c>
      <c r="V181" s="129">
        <f t="shared" si="68"/>
        <v>0.6</v>
      </c>
      <c r="W181" s="129">
        <f t="shared" si="68"/>
        <v>0.6</v>
      </c>
      <c r="X181" s="129">
        <f t="shared" si="68"/>
        <v>0.6</v>
      </c>
      <c r="Y181" s="129">
        <f t="shared" si="68"/>
        <v>0.6</v>
      </c>
      <c r="Z181" s="129">
        <f t="shared" si="68"/>
        <v>0.6</v>
      </c>
      <c r="AA181" s="129">
        <f t="shared" si="68"/>
        <v>0.6</v>
      </c>
      <c r="AB181" s="129">
        <f t="shared" si="68"/>
        <v>0.6</v>
      </c>
      <c r="AC181" s="129">
        <f t="shared" si="68"/>
        <v>0.6</v>
      </c>
      <c r="AD181" s="129">
        <f t="shared" si="68"/>
        <v>0.6</v>
      </c>
      <c r="AE181" s="129">
        <f t="shared" si="68"/>
        <v>0.6</v>
      </c>
      <c r="AF181" s="129">
        <f t="shared" si="68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66"/>
        <v>0.6</v>
      </c>
      <c r="C182" s="130">
        <v>0.6</v>
      </c>
      <c r="D182" s="129">
        <f t="shared" si="67"/>
        <v>0.6</v>
      </c>
      <c r="E182" s="129">
        <f t="shared" si="67"/>
        <v>0.6</v>
      </c>
      <c r="F182" s="129">
        <f t="shared" si="67"/>
        <v>0.6</v>
      </c>
      <c r="G182" s="129">
        <f t="shared" si="67"/>
        <v>0.6</v>
      </c>
      <c r="H182" s="129">
        <f t="shared" si="67"/>
        <v>0.6</v>
      </c>
      <c r="I182" s="129">
        <f t="shared" si="67"/>
        <v>0.6</v>
      </c>
      <c r="J182" s="129">
        <f t="shared" si="67"/>
        <v>0.6</v>
      </c>
      <c r="K182" s="129">
        <f t="shared" si="67"/>
        <v>0.6</v>
      </c>
      <c r="L182" s="129">
        <f t="shared" si="67"/>
        <v>0.6</v>
      </c>
      <c r="M182" s="129">
        <f t="shared" si="67"/>
        <v>0.6</v>
      </c>
      <c r="N182" s="129">
        <f t="shared" si="67"/>
        <v>0.6</v>
      </c>
      <c r="O182" s="129">
        <f t="shared" si="67"/>
        <v>0.6</v>
      </c>
      <c r="P182" s="129">
        <f t="shared" si="67"/>
        <v>0.6</v>
      </c>
      <c r="Q182" s="129">
        <f t="shared" si="67"/>
        <v>0.6</v>
      </c>
      <c r="R182" s="129">
        <f t="shared" si="67"/>
        <v>0.6</v>
      </c>
      <c r="S182" s="129">
        <f t="shared" si="67"/>
        <v>0.6</v>
      </c>
      <c r="T182" s="129">
        <f t="shared" si="68"/>
        <v>0.6</v>
      </c>
      <c r="U182" s="129">
        <f t="shared" si="68"/>
        <v>0.6</v>
      </c>
      <c r="V182" s="129">
        <f t="shared" si="68"/>
        <v>0.6</v>
      </c>
      <c r="W182" s="129">
        <f t="shared" si="68"/>
        <v>0.6</v>
      </c>
      <c r="X182" s="129">
        <f t="shared" si="68"/>
        <v>0.6</v>
      </c>
      <c r="Y182" s="129">
        <f t="shared" si="68"/>
        <v>0.6</v>
      </c>
      <c r="Z182" s="129">
        <f t="shared" si="68"/>
        <v>0.6</v>
      </c>
      <c r="AA182" s="129">
        <f t="shared" si="68"/>
        <v>0.6</v>
      </c>
      <c r="AB182" s="129">
        <f t="shared" si="68"/>
        <v>0.6</v>
      </c>
      <c r="AC182" s="129">
        <f t="shared" si="68"/>
        <v>0.6</v>
      </c>
      <c r="AD182" s="129">
        <f t="shared" si="68"/>
        <v>0.6</v>
      </c>
      <c r="AE182" s="129">
        <f t="shared" si="68"/>
        <v>0.6</v>
      </c>
      <c r="AF182" s="129">
        <f t="shared" si="68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66"/>
        <v>0.35</v>
      </c>
      <c r="C183" s="130">
        <v>0.35</v>
      </c>
      <c r="D183" s="129">
        <f t="shared" si="67"/>
        <v>0.35</v>
      </c>
      <c r="E183" s="129">
        <f t="shared" si="67"/>
        <v>0.35</v>
      </c>
      <c r="F183" s="129">
        <f t="shared" si="67"/>
        <v>0.35</v>
      </c>
      <c r="G183" s="129">
        <f t="shared" si="67"/>
        <v>0.35</v>
      </c>
      <c r="H183" s="129">
        <f t="shared" si="67"/>
        <v>0.35</v>
      </c>
      <c r="I183" s="129">
        <f t="shared" si="67"/>
        <v>0.35</v>
      </c>
      <c r="J183" s="129">
        <f t="shared" si="67"/>
        <v>0.35</v>
      </c>
      <c r="K183" s="129">
        <f t="shared" si="67"/>
        <v>0.35</v>
      </c>
      <c r="L183" s="129">
        <f t="shared" si="67"/>
        <v>0.35</v>
      </c>
      <c r="M183" s="129">
        <f t="shared" si="67"/>
        <v>0.35</v>
      </c>
      <c r="N183" s="129">
        <f t="shared" si="67"/>
        <v>0.35</v>
      </c>
      <c r="O183" s="129">
        <f t="shared" si="67"/>
        <v>0.35</v>
      </c>
      <c r="P183" s="129">
        <f t="shared" si="67"/>
        <v>0.35</v>
      </c>
      <c r="Q183" s="129">
        <f t="shared" si="67"/>
        <v>0.35</v>
      </c>
      <c r="R183" s="129">
        <f t="shared" si="67"/>
        <v>0.35</v>
      </c>
      <c r="S183" s="129">
        <f t="shared" si="67"/>
        <v>0.35</v>
      </c>
      <c r="T183" s="129">
        <f t="shared" si="68"/>
        <v>0.35</v>
      </c>
      <c r="U183" s="129">
        <f t="shared" si="68"/>
        <v>0.35</v>
      </c>
      <c r="V183" s="129">
        <f t="shared" si="68"/>
        <v>0.35</v>
      </c>
      <c r="W183" s="129">
        <f t="shared" si="68"/>
        <v>0.35</v>
      </c>
      <c r="X183" s="129">
        <f t="shared" si="68"/>
        <v>0.35</v>
      </c>
      <c r="Y183" s="129">
        <f t="shared" si="68"/>
        <v>0.35</v>
      </c>
      <c r="Z183" s="129">
        <f t="shared" si="68"/>
        <v>0.35</v>
      </c>
      <c r="AA183" s="129">
        <f t="shared" si="68"/>
        <v>0.35</v>
      </c>
      <c r="AB183" s="129">
        <f t="shared" si="68"/>
        <v>0.35</v>
      </c>
      <c r="AC183" s="129">
        <f t="shared" si="68"/>
        <v>0.35</v>
      </c>
      <c r="AD183" s="129">
        <f t="shared" si="68"/>
        <v>0.35</v>
      </c>
      <c r="AE183" s="129">
        <f t="shared" si="68"/>
        <v>0.35</v>
      </c>
      <c r="AF183" s="129">
        <f t="shared" si="68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66"/>
        <v>0.28999999999999998</v>
      </c>
      <c r="C184" s="130">
        <v>0.28999999999999998</v>
      </c>
      <c r="D184" s="129">
        <f t="shared" si="67"/>
        <v>0.28999999999999998</v>
      </c>
      <c r="E184" s="129">
        <f t="shared" si="67"/>
        <v>0.28999999999999998</v>
      </c>
      <c r="F184" s="129">
        <f t="shared" si="67"/>
        <v>0.28999999999999998</v>
      </c>
      <c r="G184" s="129">
        <f t="shared" si="67"/>
        <v>0.28999999999999998</v>
      </c>
      <c r="H184" s="129">
        <f t="shared" si="67"/>
        <v>0.28999999999999998</v>
      </c>
      <c r="I184" s="129">
        <f t="shared" si="67"/>
        <v>0.28999999999999998</v>
      </c>
      <c r="J184" s="129">
        <f t="shared" si="67"/>
        <v>0.28999999999999998</v>
      </c>
      <c r="K184" s="129">
        <f t="shared" si="67"/>
        <v>0.28999999999999998</v>
      </c>
      <c r="L184" s="129">
        <f t="shared" si="67"/>
        <v>0.28999999999999998</v>
      </c>
      <c r="M184" s="129">
        <f t="shared" si="67"/>
        <v>0.28999999999999998</v>
      </c>
      <c r="N184" s="129">
        <f t="shared" si="67"/>
        <v>0.28999999999999998</v>
      </c>
      <c r="O184" s="129">
        <f t="shared" si="67"/>
        <v>0.28999999999999998</v>
      </c>
      <c r="P184" s="129">
        <f t="shared" si="67"/>
        <v>0.28999999999999998</v>
      </c>
      <c r="Q184" s="129">
        <f t="shared" si="67"/>
        <v>0.28999999999999998</v>
      </c>
      <c r="R184" s="129">
        <f t="shared" si="67"/>
        <v>0.28999999999999998</v>
      </c>
      <c r="S184" s="129">
        <f t="shared" si="67"/>
        <v>0.28999999999999998</v>
      </c>
      <c r="T184" s="129">
        <f t="shared" si="68"/>
        <v>0.28999999999999998</v>
      </c>
      <c r="U184" s="129">
        <f t="shared" si="68"/>
        <v>0.28999999999999998</v>
      </c>
      <c r="V184" s="129">
        <f t="shared" si="68"/>
        <v>0.28999999999999998</v>
      </c>
      <c r="W184" s="129">
        <f t="shared" si="68"/>
        <v>0.28999999999999998</v>
      </c>
      <c r="X184" s="129">
        <f t="shared" si="68"/>
        <v>0.28999999999999998</v>
      </c>
      <c r="Y184" s="129">
        <f t="shared" si="68"/>
        <v>0.28999999999999998</v>
      </c>
      <c r="Z184" s="129">
        <f t="shared" si="68"/>
        <v>0.28999999999999998</v>
      </c>
      <c r="AA184" s="129">
        <f t="shared" si="68"/>
        <v>0.28999999999999998</v>
      </c>
      <c r="AB184" s="129">
        <f t="shared" si="68"/>
        <v>0.28999999999999998</v>
      </c>
      <c r="AC184" s="129">
        <f t="shared" si="68"/>
        <v>0.28999999999999998</v>
      </c>
      <c r="AD184" s="129">
        <f t="shared" si="68"/>
        <v>0.28999999999999998</v>
      </c>
      <c r="AE184" s="129">
        <f t="shared" si="68"/>
        <v>0.28999999999999998</v>
      </c>
      <c r="AF184" s="129">
        <f t="shared" si="68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66"/>
        <v>0.06</v>
      </c>
      <c r="C185" s="130">
        <v>0.06</v>
      </c>
      <c r="D185" s="129">
        <f t="shared" si="67"/>
        <v>0.06</v>
      </c>
      <c r="E185" s="129">
        <f t="shared" si="67"/>
        <v>0.06</v>
      </c>
      <c r="F185" s="129">
        <f t="shared" si="67"/>
        <v>0.06</v>
      </c>
      <c r="G185" s="129">
        <f t="shared" si="67"/>
        <v>0.06</v>
      </c>
      <c r="H185" s="129">
        <f t="shared" si="67"/>
        <v>0.06</v>
      </c>
      <c r="I185" s="129">
        <f t="shared" si="67"/>
        <v>0.06</v>
      </c>
      <c r="J185" s="129">
        <f t="shared" si="67"/>
        <v>0.06</v>
      </c>
      <c r="K185" s="129">
        <f t="shared" si="67"/>
        <v>0.06</v>
      </c>
      <c r="L185" s="129">
        <f t="shared" si="67"/>
        <v>0.06</v>
      </c>
      <c r="M185" s="129">
        <f t="shared" si="67"/>
        <v>0.06</v>
      </c>
      <c r="N185" s="129">
        <f t="shared" si="67"/>
        <v>0.06</v>
      </c>
      <c r="O185" s="129">
        <f t="shared" si="67"/>
        <v>0.06</v>
      </c>
      <c r="P185" s="129">
        <f t="shared" si="67"/>
        <v>0.06</v>
      </c>
      <c r="Q185" s="129">
        <f t="shared" si="67"/>
        <v>0.06</v>
      </c>
      <c r="R185" s="129">
        <f t="shared" si="67"/>
        <v>0.06</v>
      </c>
      <c r="S185" s="129">
        <f t="shared" si="67"/>
        <v>0.06</v>
      </c>
      <c r="T185" s="129">
        <f t="shared" si="68"/>
        <v>0.06</v>
      </c>
      <c r="U185" s="129">
        <f t="shared" si="68"/>
        <v>0.06</v>
      </c>
      <c r="V185" s="129">
        <f t="shared" si="68"/>
        <v>0.06</v>
      </c>
      <c r="W185" s="129">
        <f t="shared" si="68"/>
        <v>0.06</v>
      </c>
      <c r="X185" s="129">
        <f t="shared" si="68"/>
        <v>0.06</v>
      </c>
      <c r="Y185" s="129">
        <f t="shared" si="68"/>
        <v>0.06</v>
      </c>
      <c r="Z185" s="129">
        <f t="shared" si="68"/>
        <v>0.06</v>
      </c>
      <c r="AA185" s="129">
        <f t="shared" si="68"/>
        <v>0.06</v>
      </c>
      <c r="AB185" s="129">
        <f t="shared" si="68"/>
        <v>0.06</v>
      </c>
      <c r="AC185" s="129">
        <f t="shared" si="68"/>
        <v>0.06</v>
      </c>
      <c r="AD185" s="129">
        <f t="shared" si="68"/>
        <v>0.06</v>
      </c>
      <c r="AE185" s="129">
        <f t="shared" si="68"/>
        <v>0.06</v>
      </c>
      <c r="AF185" s="129">
        <f t="shared" si="68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66"/>
        <v>0.11</v>
      </c>
      <c r="C186" s="130">
        <v>0.11</v>
      </c>
      <c r="D186" s="129">
        <f t="shared" si="67"/>
        <v>0.11</v>
      </c>
      <c r="E186" s="129">
        <f t="shared" si="67"/>
        <v>0.11</v>
      </c>
      <c r="F186" s="129">
        <f t="shared" si="67"/>
        <v>0.11</v>
      </c>
      <c r="G186" s="129">
        <f t="shared" si="67"/>
        <v>0.11</v>
      </c>
      <c r="H186" s="129">
        <f t="shared" si="67"/>
        <v>0.11</v>
      </c>
      <c r="I186" s="129">
        <f t="shared" si="67"/>
        <v>0.11</v>
      </c>
      <c r="J186" s="129">
        <f t="shared" si="67"/>
        <v>0.11</v>
      </c>
      <c r="K186" s="129">
        <f t="shared" si="67"/>
        <v>0.11</v>
      </c>
      <c r="L186" s="129">
        <f t="shared" si="67"/>
        <v>0.11</v>
      </c>
      <c r="M186" s="129">
        <f t="shared" si="67"/>
        <v>0.11</v>
      </c>
      <c r="N186" s="129">
        <f t="shared" si="67"/>
        <v>0.11</v>
      </c>
      <c r="O186" s="129">
        <f t="shared" si="67"/>
        <v>0.11</v>
      </c>
      <c r="P186" s="129">
        <f t="shared" si="67"/>
        <v>0.11</v>
      </c>
      <c r="Q186" s="129">
        <f t="shared" si="67"/>
        <v>0.11</v>
      </c>
      <c r="R186" s="129">
        <f t="shared" si="67"/>
        <v>0.11</v>
      </c>
      <c r="S186" s="129">
        <f t="shared" si="67"/>
        <v>0.11</v>
      </c>
      <c r="T186" s="129">
        <f t="shared" si="68"/>
        <v>0.11</v>
      </c>
      <c r="U186" s="129">
        <f t="shared" si="68"/>
        <v>0.11</v>
      </c>
      <c r="V186" s="129">
        <f t="shared" si="68"/>
        <v>0.11</v>
      </c>
      <c r="W186" s="129">
        <f t="shared" si="68"/>
        <v>0.11</v>
      </c>
      <c r="X186" s="129">
        <f t="shared" si="68"/>
        <v>0.11</v>
      </c>
      <c r="Y186" s="129">
        <f t="shared" si="68"/>
        <v>0.11</v>
      </c>
      <c r="Z186" s="129">
        <f t="shared" si="68"/>
        <v>0.11</v>
      </c>
      <c r="AA186" s="129">
        <f t="shared" si="68"/>
        <v>0.11</v>
      </c>
      <c r="AB186" s="129">
        <f t="shared" si="68"/>
        <v>0.11</v>
      </c>
      <c r="AC186" s="129">
        <f t="shared" si="68"/>
        <v>0.11</v>
      </c>
      <c r="AD186" s="129">
        <f t="shared" si="68"/>
        <v>0.11</v>
      </c>
      <c r="AE186" s="129">
        <f t="shared" si="68"/>
        <v>0.11</v>
      </c>
      <c r="AF186" s="129">
        <f t="shared" si="68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66"/>
        <v>0.1</v>
      </c>
      <c r="C187" s="130">
        <v>0.1</v>
      </c>
      <c r="D187" s="129">
        <f t="shared" si="67"/>
        <v>0.1</v>
      </c>
      <c r="E187" s="129">
        <f t="shared" si="67"/>
        <v>0.1</v>
      </c>
      <c r="F187" s="129">
        <f t="shared" si="67"/>
        <v>0.1</v>
      </c>
      <c r="G187" s="129">
        <f t="shared" si="67"/>
        <v>0.1</v>
      </c>
      <c r="H187" s="129">
        <f t="shared" si="67"/>
        <v>0.1</v>
      </c>
      <c r="I187" s="129">
        <f t="shared" si="67"/>
        <v>0.1</v>
      </c>
      <c r="J187" s="129">
        <f t="shared" si="67"/>
        <v>0.1</v>
      </c>
      <c r="K187" s="129">
        <f t="shared" si="67"/>
        <v>0.1</v>
      </c>
      <c r="L187" s="129">
        <f t="shared" si="67"/>
        <v>0.1</v>
      </c>
      <c r="M187" s="129">
        <f t="shared" si="67"/>
        <v>0.1</v>
      </c>
      <c r="N187" s="129">
        <f t="shared" si="67"/>
        <v>0.1</v>
      </c>
      <c r="O187" s="129">
        <f t="shared" si="67"/>
        <v>0.1</v>
      </c>
      <c r="P187" s="129">
        <f t="shared" si="67"/>
        <v>0.1</v>
      </c>
      <c r="Q187" s="129">
        <f t="shared" si="67"/>
        <v>0.1</v>
      </c>
      <c r="R187" s="129">
        <f t="shared" si="67"/>
        <v>0.1</v>
      </c>
      <c r="S187" s="129">
        <f t="shared" si="68"/>
        <v>0.1</v>
      </c>
      <c r="T187" s="129">
        <f t="shared" si="68"/>
        <v>0.1</v>
      </c>
      <c r="U187" s="129">
        <f t="shared" si="68"/>
        <v>0.1</v>
      </c>
      <c r="V187" s="129">
        <f t="shared" si="68"/>
        <v>0.1</v>
      </c>
      <c r="W187" s="129">
        <f t="shared" si="68"/>
        <v>0.1</v>
      </c>
      <c r="X187" s="129">
        <f t="shared" si="68"/>
        <v>0.1</v>
      </c>
      <c r="Y187" s="129">
        <f t="shared" si="68"/>
        <v>0.1</v>
      </c>
      <c r="Z187" s="129">
        <f t="shared" si="68"/>
        <v>0.1</v>
      </c>
      <c r="AA187" s="129">
        <f t="shared" si="68"/>
        <v>0.1</v>
      </c>
      <c r="AB187" s="129">
        <f t="shared" si="68"/>
        <v>0.1</v>
      </c>
      <c r="AC187" s="129">
        <f t="shared" si="68"/>
        <v>0.1</v>
      </c>
      <c r="AD187" s="129">
        <f t="shared" si="68"/>
        <v>0.1</v>
      </c>
      <c r="AE187" s="129">
        <f t="shared" si="68"/>
        <v>0.1</v>
      </c>
      <c r="AF187" s="129">
        <f t="shared" si="68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66"/>
        <v>0.09</v>
      </c>
      <c r="C188" s="130">
        <v>0.09</v>
      </c>
      <c r="D188" s="129">
        <f t="shared" si="67"/>
        <v>0.09</v>
      </c>
      <c r="E188" s="129">
        <f t="shared" si="67"/>
        <v>0.09</v>
      </c>
      <c r="F188" s="129">
        <f t="shared" si="67"/>
        <v>0.09</v>
      </c>
      <c r="G188" s="129">
        <f t="shared" si="67"/>
        <v>0.09</v>
      </c>
      <c r="H188" s="129">
        <f t="shared" si="67"/>
        <v>0.09</v>
      </c>
      <c r="I188" s="129">
        <f t="shared" si="67"/>
        <v>0.09</v>
      </c>
      <c r="J188" s="129">
        <f t="shared" si="67"/>
        <v>0.09</v>
      </c>
      <c r="K188" s="129">
        <f t="shared" si="67"/>
        <v>0.09</v>
      </c>
      <c r="L188" s="129">
        <f t="shared" si="67"/>
        <v>0.09</v>
      </c>
      <c r="M188" s="129">
        <f t="shared" si="67"/>
        <v>0.09</v>
      </c>
      <c r="N188" s="129">
        <f t="shared" si="67"/>
        <v>0.09</v>
      </c>
      <c r="O188" s="129">
        <f t="shared" si="67"/>
        <v>0.09</v>
      </c>
      <c r="P188" s="129">
        <f t="shared" si="67"/>
        <v>0.09</v>
      </c>
      <c r="Q188" s="129">
        <f t="shared" si="67"/>
        <v>0.09</v>
      </c>
      <c r="R188" s="129">
        <f t="shared" si="67"/>
        <v>0.09</v>
      </c>
      <c r="S188" s="129">
        <f t="shared" si="68"/>
        <v>0.09</v>
      </c>
      <c r="T188" s="129">
        <f t="shared" si="68"/>
        <v>0.09</v>
      </c>
      <c r="U188" s="129">
        <f t="shared" si="68"/>
        <v>0.09</v>
      </c>
      <c r="V188" s="129">
        <f t="shared" si="68"/>
        <v>0.09</v>
      </c>
      <c r="W188" s="129">
        <f t="shared" si="68"/>
        <v>0.09</v>
      </c>
      <c r="X188" s="129">
        <f t="shared" si="68"/>
        <v>0.09</v>
      </c>
      <c r="Y188" s="129">
        <f t="shared" si="68"/>
        <v>0.09</v>
      </c>
      <c r="Z188" s="129">
        <f t="shared" si="68"/>
        <v>0.09</v>
      </c>
      <c r="AA188" s="129">
        <f t="shared" si="68"/>
        <v>0.09</v>
      </c>
      <c r="AB188" s="129">
        <f t="shared" si="68"/>
        <v>0.09</v>
      </c>
      <c r="AC188" s="129">
        <f t="shared" si="68"/>
        <v>0.09</v>
      </c>
      <c r="AD188" s="129">
        <f t="shared" si="68"/>
        <v>0.09</v>
      </c>
      <c r="AE188" s="129">
        <f t="shared" si="68"/>
        <v>0.09</v>
      </c>
      <c r="AF188" s="129">
        <f t="shared" si="68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66"/>
        <v>0.04</v>
      </c>
      <c r="C189" s="53">
        <v>0.04</v>
      </c>
      <c r="D189" s="129">
        <f t="shared" si="67"/>
        <v>0.04</v>
      </c>
      <c r="E189" s="129">
        <f t="shared" si="67"/>
        <v>0.04</v>
      </c>
      <c r="F189" s="129">
        <f t="shared" si="67"/>
        <v>0.04</v>
      </c>
      <c r="G189" s="129">
        <f t="shared" si="67"/>
        <v>0.04</v>
      </c>
      <c r="H189" s="129">
        <f t="shared" si="67"/>
        <v>0.04</v>
      </c>
      <c r="I189" s="129">
        <f t="shared" si="67"/>
        <v>0.04</v>
      </c>
      <c r="J189" s="129">
        <f t="shared" si="67"/>
        <v>0.04</v>
      </c>
      <c r="K189" s="129">
        <f t="shared" si="67"/>
        <v>0.04</v>
      </c>
      <c r="L189" s="129">
        <f t="shared" si="67"/>
        <v>0.04</v>
      </c>
      <c r="M189" s="129">
        <f t="shared" si="67"/>
        <v>0.04</v>
      </c>
      <c r="N189" s="129">
        <f t="shared" si="67"/>
        <v>0.04</v>
      </c>
      <c r="O189" s="129">
        <f t="shared" si="67"/>
        <v>0.04</v>
      </c>
      <c r="P189" s="129">
        <f t="shared" si="67"/>
        <v>0.04</v>
      </c>
      <c r="Q189" s="129">
        <f t="shared" si="67"/>
        <v>0.04</v>
      </c>
      <c r="R189" s="129">
        <f t="shared" si="67"/>
        <v>0.04</v>
      </c>
      <c r="S189" s="129">
        <f t="shared" si="68"/>
        <v>0.04</v>
      </c>
      <c r="T189" s="129">
        <f t="shared" si="68"/>
        <v>0.04</v>
      </c>
      <c r="U189" s="129">
        <f t="shared" si="68"/>
        <v>0.04</v>
      </c>
      <c r="V189" s="129">
        <f t="shared" si="68"/>
        <v>0.04</v>
      </c>
      <c r="W189" s="129">
        <f t="shared" si="68"/>
        <v>0.04</v>
      </c>
      <c r="X189" s="129">
        <f t="shared" si="68"/>
        <v>0.04</v>
      </c>
      <c r="Y189" s="129">
        <f t="shared" si="68"/>
        <v>0.04</v>
      </c>
      <c r="Z189" s="129">
        <f t="shared" si="68"/>
        <v>0.04</v>
      </c>
      <c r="AA189" s="129">
        <f t="shared" si="68"/>
        <v>0.04</v>
      </c>
      <c r="AB189" s="129">
        <f t="shared" si="68"/>
        <v>0.04</v>
      </c>
      <c r="AC189" s="129">
        <f t="shared" si="68"/>
        <v>0.04</v>
      </c>
      <c r="AD189" s="129">
        <f t="shared" si="68"/>
        <v>0.04</v>
      </c>
      <c r="AE189" s="129">
        <f t="shared" si="68"/>
        <v>0.04</v>
      </c>
      <c r="AF189" s="129">
        <f t="shared" si="68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66"/>
        <v>2.3E-2</v>
      </c>
      <c r="C190" s="53">
        <v>2.3E-2</v>
      </c>
      <c r="D190" s="129">
        <f>C190</f>
        <v>2.3E-2</v>
      </c>
      <c r="E190" s="129">
        <f t="shared" si="67"/>
        <v>2.3E-2</v>
      </c>
      <c r="F190" s="129">
        <f t="shared" si="67"/>
        <v>2.3E-2</v>
      </c>
      <c r="G190" s="129">
        <f t="shared" si="67"/>
        <v>2.3E-2</v>
      </c>
      <c r="H190" s="129">
        <f t="shared" si="67"/>
        <v>2.3E-2</v>
      </c>
      <c r="I190" s="129">
        <f t="shared" si="67"/>
        <v>2.3E-2</v>
      </c>
      <c r="J190" s="129">
        <f t="shared" si="67"/>
        <v>2.3E-2</v>
      </c>
      <c r="K190" s="129">
        <f t="shared" si="67"/>
        <v>2.3E-2</v>
      </c>
      <c r="L190" s="129">
        <f t="shared" si="67"/>
        <v>2.3E-2</v>
      </c>
      <c r="M190" s="129">
        <f t="shared" si="67"/>
        <v>2.3E-2</v>
      </c>
      <c r="N190" s="129">
        <f t="shared" si="67"/>
        <v>2.3E-2</v>
      </c>
      <c r="O190" s="129">
        <f t="shared" si="67"/>
        <v>2.3E-2</v>
      </c>
      <c r="P190" s="129">
        <f t="shared" si="67"/>
        <v>2.3E-2</v>
      </c>
      <c r="Q190" s="129">
        <f t="shared" si="67"/>
        <v>2.3E-2</v>
      </c>
      <c r="R190" s="129">
        <f t="shared" si="67"/>
        <v>2.3E-2</v>
      </c>
      <c r="S190" s="129">
        <f t="shared" si="68"/>
        <v>2.3E-2</v>
      </c>
      <c r="T190" s="129">
        <f t="shared" si="68"/>
        <v>2.3E-2</v>
      </c>
      <c r="U190" s="129">
        <f t="shared" si="68"/>
        <v>2.3E-2</v>
      </c>
      <c r="V190" s="129">
        <f t="shared" si="68"/>
        <v>2.3E-2</v>
      </c>
      <c r="W190" s="129">
        <f t="shared" si="68"/>
        <v>2.3E-2</v>
      </c>
      <c r="X190" s="129">
        <f t="shared" si="68"/>
        <v>2.3E-2</v>
      </c>
      <c r="Y190" s="129">
        <f t="shared" si="68"/>
        <v>2.3E-2</v>
      </c>
      <c r="Z190" s="129">
        <f t="shared" si="68"/>
        <v>2.3E-2</v>
      </c>
      <c r="AA190" s="129">
        <f t="shared" si="68"/>
        <v>2.3E-2</v>
      </c>
      <c r="AB190" s="129">
        <f t="shared" si="68"/>
        <v>2.3E-2</v>
      </c>
      <c r="AC190" s="129">
        <f t="shared" si="68"/>
        <v>2.3E-2</v>
      </c>
      <c r="AD190" s="129">
        <f t="shared" si="68"/>
        <v>2.3E-2</v>
      </c>
      <c r="AE190" s="129">
        <f t="shared" si="68"/>
        <v>2.3E-2</v>
      </c>
      <c r="AF190" s="129">
        <f t="shared" si="68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69">SUM(C101:C190)</f>
        <v>194.70600000000002</v>
      </c>
      <c r="D191" s="134">
        <f t="shared" si="69"/>
        <v>194.70600000000002</v>
      </c>
      <c r="E191" s="134">
        <f t="shared" si="69"/>
        <v>194.70600000000002</v>
      </c>
      <c r="F191" s="134">
        <f t="shared" si="69"/>
        <v>194.70600000000002</v>
      </c>
      <c r="G191" s="134">
        <f t="shared" si="69"/>
        <v>194.70600000000002</v>
      </c>
      <c r="H191" s="134">
        <f t="shared" si="69"/>
        <v>194.70600000000002</v>
      </c>
      <c r="I191" s="134">
        <f t="shared" si="69"/>
        <v>194.70600000000002</v>
      </c>
      <c r="J191" s="134">
        <f t="shared" si="69"/>
        <v>192.10600000000005</v>
      </c>
      <c r="K191" s="134">
        <f t="shared" si="69"/>
        <v>192.10600000000005</v>
      </c>
      <c r="L191" s="134">
        <f t="shared" si="69"/>
        <v>192.10600000000005</v>
      </c>
      <c r="M191" s="134">
        <f t="shared" si="69"/>
        <v>192.10600000000005</v>
      </c>
      <c r="N191" s="134">
        <f t="shared" si="69"/>
        <v>192.10600000000005</v>
      </c>
      <c r="O191" s="134">
        <f t="shared" si="69"/>
        <v>192.10600000000005</v>
      </c>
      <c r="P191" s="134">
        <f t="shared" si="69"/>
        <v>192.10600000000005</v>
      </c>
      <c r="Q191" s="134">
        <f t="shared" si="69"/>
        <v>192.10600000000005</v>
      </c>
      <c r="R191" s="134">
        <f t="shared" si="69"/>
        <v>192.10600000000005</v>
      </c>
      <c r="S191" s="134">
        <f t="shared" si="69"/>
        <v>192.10600000000005</v>
      </c>
      <c r="T191" s="134">
        <f t="shared" si="69"/>
        <v>192.10600000000005</v>
      </c>
      <c r="U191" s="134">
        <f t="shared" si="69"/>
        <v>192.10600000000005</v>
      </c>
      <c r="V191" s="134">
        <f t="shared" si="69"/>
        <v>192.10600000000005</v>
      </c>
      <c r="W191" s="134">
        <f t="shared" si="69"/>
        <v>192.10600000000005</v>
      </c>
      <c r="X191" s="134">
        <f t="shared" si="69"/>
        <v>192.10600000000005</v>
      </c>
      <c r="Y191" s="134">
        <f t="shared" si="69"/>
        <v>192.10600000000005</v>
      </c>
      <c r="Z191" s="134">
        <f t="shared" si="69"/>
        <v>192.10600000000005</v>
      </c>
      <c r="AA191" s="134">
        <f t="shared" si="69"/>
        <v>192.10600000000005</v>
      </c>
      <c r="AB191" s="134">
        <f t="shared" si="69"/>
        <v>192.10600000000005</v>
      </c>
      <c r="AC191" s="134">
        <f t="shared" si="69"/>
        <v>192.10600000000005</v>
      </c>
      <c r="AD191" s="134">
        <f t="shared" si="69"/>
        <v>192.10600000000005</v>
      </c>
      <c r="AE191" s="134">
        <f t="shared" si="69"/>
        <v>192.10600000000005</v>
      </c>
      <c r="AF191" s="134">
        <f t="shared" si="69"/>
        <v>192.10600000000005</v>
      </c>
      <c r="AG191" s="135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70">AF193</f>
        <v>0.3</v>
      </c>
      <c r="C193" s="136">
        <v>0.3</v>
      </c>
      <c r="D193" s="136">
        <f t="shared" ref="D193:S198" si="71">C193</f>
        <v>0.3</v>
      </c>
      <c r="E193" s="136">
        <f t="shared" si="71"/>
        <v>0.3</v>
      </c>
      <c r="F193" s="136">
        <f t="shared" si="71"/>
        <v>0.3</v>
      </c>
      <c r="G193" s="136">
        <f t="shared" si="71"/>
        <v>0.3</v>
      </c>
      <c r="H193" s="136">
        <f t="shared" si="71"/>
        <v>0.3</v>
      </c>
      <c r="I193" s="136">
        <f t="shared" si="71"/>
        <v>0.3</v>
      </c>
      <c r="J193" s="136">
        <f t="shared" si="71"/>
        <v>0.3</v>
      </c>
      <c r="K193" s="136">
        <f t="shared" si="71"/>
        <v>0.3</v>
      </c>
      <c r="L193" s="136">
        <f t="shared" si="71"/>
        <v>0.3</v>
      </c>
      <c r="M193" s="136">
        <f t="shared" si="71"/>
        <v>0.3</v>
      </c>
      <c r="N193" s="136">
        <f t="shared" si="71"/>
        <v>0.3</v>
      </c>
      <c r="O193" s="136">
        <f t="shared" si="71"/>
        <v>0.3</v>
      </c>
      <c r="P193" s="136">
        <f t="shared" si="71"/>
        <v>0.3</v>
      </c>
      <c r="Q193" s="136">
        <f t="shared" si="71"/>
        <v>0.3</v>
      </c>
      <c r="R193" s="136">
        <f t="shared" si="71"/>
        <v>0.3</v>
      </c>
      <c r="S193" s="136">
        <f t="shared" si="71"/>
        <v>0.3</v>
      </c>
      <c r="T193" s="136">
        <f t="shared" ref="T193:AF198" si="72">S193</f>
        <v>0.3</v>
      </c>
      <c r="U193" s="136">
        <f t="shared" si="72"/>
        <v>0.3</v>
      </c>
      <c r="V193" s="136">
        <f t="shared" si="72"/>
        <v>0.3</v>
      </c>
      <c r="W193" s="136">
        <f t="shared" si="72"/>
        <v>0.3</v>
      </c>
      <c r="X193" s="136">
        <f t="shared" si="72"/>
        <v>0.3</v>
      </c>
      <c r="Y193" s="136">
        <f t="shared" si="72"/>
        <v>0.3</v>
      </c>
      <c r="Z193" s="136">
        <f t="shared" si="72"/>
        <v>0.3</v>
      </c>
      <c r="AA193" s="136">
        <f t="shared" si="72"/>
        <v>0.3</v>
      </c>
      <c r="AB193" s="136">
        <f t="shared" si="72"/>
        <v>0.3</v>
      </c>
      <c r="AC193" s="136">
        <f t="shared" si="72"/>
        <v>0.3</v>
      </c>
      <c r="AD193" s="136">
        <f t="shared" si="72"/>
        <v>0.3</v>
      </c>
      <c r="AE193" s="136">
        <f t="shared" si="72"/>
        <v>0.3</v>
      </c>
      <c r="AF193" s="136">
        <f t="shared" si="72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70"/>
        <v>0.4</v>
      </c>
      <c r="C194" s="129">
        <v>0.4</v>
      </c>
      <c r="D194" s="129">
        <f t="shared" si="71"/>
        <v>0.4</v>
      </c>
      <c r="E194" s="129">
        <f t="shared" si="71"/>
        <v>0.4</v>
      </c>
      <c r="F194" s="129">
        <f t="shared" si="71"/>
        <v>0.4</v>
      </c>
      <c r="G194" s="129">
        <f t="shared" si="71"/>
        <v>0.4</v>
      </c>
      <c r="H194" s="129">
        <f t="shared" si="71"/>
        <v>0.4</v>
      </c>
      <c r="I194" s="129">
        <f t="shared" si="71"/>
        <v>0.4</v>
      </c>
      <c r="J194" s="129">
        <f t="shared" si="71"/>
        <v>0.4</v>
      </c>
      <c r="K194" s="129">
        <f t="shared" si="71"/>
        <v>0.4</v>
      </c>
      <c r="L194" s="129">
        <f t="shared" si="71"/>
        <v>0.4</v>
      </c>
      <c r="M194" s="129">
        <f t="shared" si="71"/>
        <v>0.4</v>
      </c>
      <c r="N194" s="129">
        <f t="shared" si="71"/>
        <v>0.4</v>
      </c>
      <c r="O194" s="129">
        <f t="shared" si="71"/>
        <v>0.4</v>
      </c>
      <c r="P194" s="129">
        <f t="shared" si="71"/>
        <v>0.4</v>
      </c>
      <c r="Q194" s="129">
        <f t="shared" si="71"/>
        <v>0.4</v>
      </c>
      <c r="R194" s="129">
        <f t="shared" si="71"/>
        <v>0.4</v>
      </c>
      <c r="S194" s="129">
        <f t="shared" si="71"/>
        <v>0.4</v>
      </c>
      <c r="T194" s="129">
        <f t="shared" si="72"/>
        <v>0.4</v>
      </c>
      <c r="U194" s="129">
        <f t="shared" si="72"/>
        <v>0.4</v>
      </c>
      <c r="V194" s="129">
        <f t="shared" si="72"/>
        <v>0.4</v>
      </c>
      <c r="W194" s="129">
        <f>V194</f>
        <v>0.4</v>
      </c>
      <c r="X194" s="129">
        <f>W194</f>
        <v>0.4</v>
      </c>
      <c r="Y194" s="129">
        <f t="shared" si="72"/>
        <v>0.4</v>
      </c>
      <c r="Z194" s="129">
        <f t="shared" si="72"/>
        <v>0.4</v>
      </c>
      <c r="AA194" s="129">
        <f t="shared" si="72"/>
        <v>0.4</v>
      </c>
      <c r="AB194" s="129">
        <f t="shared" si="72"/>
        <v>0.4</v>
      </c>
      <c r="AC194" s="129">
        <f t="shared" si="72"/>
        <v>0.4</v>
      </c>
      <c r="AD194" s="129">
        <f t="shared" si="72"/>
        <v>0.4</v>
      </c>
      <c r="AE194" s="129">
        <f t="shared" si="72"/>
        <v>0.4</v>
      </c>
      <c r="AF194" s="129">
        <f t="shared" si="72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70"/>
        <v>1.5</v>
      </c>
      <c r="C195" s="129">
        <v>1.5</v>
      </c>
      <c r="D195" s="129">
        <f t="shared" si="71"/>
        <v>1.5</v>
      </c>
      <c r="E195" s="129">
        <f t="shared" si="71"/>
        <v>1.5</v>
      </c>
      <c r="F195" s="129">
        <f t="shared" si="71"/>
        <v>1.5</v>
      </c>
      <c r="G195" s="129">
        <f t="shared" si="71"/>
        <v>1.5</v>
      </c>
      <c r="H195" s="129">
        <f t="shared" si="71"/>
        <v>1.5</v>
      </c>
      <c r="I195" s="129">
        <f t="shared" si="71"/>
        <v>1.5</v>
      </c>
      <c r="J195" s="129">
        <f t="shared" si="71"/>
        <v>1.5</v>
      </c>
      <c r="K195" s="129">
        <f t="shared" si="71"/>
        <v>1.5</v>
      </c>
      <c r="L195" s="129">
        <f t="shared" si="71"/>
        <v>1.5</v>
      </c>
      <c r="M195" s="129">
        <f t="shared" si="71"/>
        <v>1.5</v>
      </c>
      <c r="N195" s="129">
        <f t="shared" si="71"/>
        <v>1.5</v>
      </c>
      <c r="O195" s="129">
        <f t="shared" si="71"/>
        <v>1.5</v>
      </c>
      <c r="P195" s="129">
        <f t="shared" si="71"/>
        <v>1.5</v>
      </c>
      <c r="Q195" s="129">
        <f t="shared" si="71"/>
        <v>1.5</v>
      </c>
      <c r="R195" s="129">
        <f t="shared" si="71"/>
        <v>1.5</v>
      </c>
      <c r="S195" s="129">
        <f t="shared" si="71"/>
        <v>1.5</v>
      </c>
      <c r="T195" s="129">
        <f t="shared" si="72"/>
        <v>1.5</v>
      </c>
      <c r="U195" s="129">
        <f t="shared" si="72"/>
        <v>1.5</v>
      </c>
      <c r="V195" s="129">
        <f t="shared" si="72"/>
        <v>1.5</v>
      </c>
      <c r="W195" s="129">
        <f t="shared" si="72"/>
        <v>1.5</v>
      </c>
      <c r="X195" s="129">
        <f t="shared" si="72"/>
        <v>1.5</v>
      </c>
      <c r="Y195" s="129">
        <f t="shared" si="72"/>
        <v>1.5</v>
      </c>
      <c r="Z195" s="129">
        <f t="shared" si="72"/>
        <v>1.5</v>
      </c>
      <c r="AA195" s="129">
        <f t="shared" si="72"/>
        <v>1.5</v>
      </c>
      <c r="AB195" s="129">
        <f t="shared" si="72"/>
        <v>1.5</v>
      </c>
      <c r="AC195" s="129">
        <f t="shared" si="72"/>
        <v>1.5</v>
      </c>
      <c r="AD195" s="129">
        <f t="shared" si="72"/>
        <v>1.5</v>
      </c>
      <c r="AE195" s="129">
        <f t="shared" si="72"/>
        <v>1.5</v>
      </c>
      <c r="AF195" s="129">
        <f t="shared" si="72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70"/>
        <v>0.3</v>
      </c>
      <c r="C196" s="129">
        <v>0.3</v>
      </c>
      <c r="D196" s="129">
        <f t="shared" si="71"/>
        <v>0.3</v>
      </c>
      <c r="E196" s="129">
        <f t="shared" si="71"/>
        <v>0.3</v>
      </c>
      <c r="F196" s="129">
        <f t="shared" si="71"/>
        <v>0.3</v>
      </c>
      <c r="G196" s="129">
        <f t="shared" si="71"/>
        <v>0.3</v>
      </c>
      <c r="H196" s="129">
        <f t="shared" si="71"/>
        <v>0.3</v>
      </c>
      <c r="I196" s="129">
        <f t="shared" si="71"/>
        <v>0.3</v>
      </c>
      <c r="J196" s="129">
        <f t="shared" si="71"/>
        <v>0.3</v>
      </c>
      <c r="K196" s="129">
        <f t="shared" si="71"/>
        <v>0.3</v>
      </c>
      <c r="L196" s="129">
        <f t="shared" si="71"/>
        <v>0.3</v>
      </c>
      <c r="M196" s="129">
        <f t="shared" si="71"/>
        <v>0.3</v>
      </c>
      <c r="N196" s="129">
        <f t="shared" si="71"/>
        <v>0.3</v>
      </c>
      <c r="O196" s="129">
        <f t="shared" si="71"/>
        <v>0.3</v>
      </c>
      <c r="P196" s="129">
        <f t="shared" si="71"/>
        <v>0.3</v>
      </c>
      <c r="Q196" s="129">
        <f t="shared" si="71"/>
        <v>0.3</v>
      </c>
      <c r="R196" s="129">
        <f t="shared" si="71"/>
        <v>0.3</v>
      </c>
      <c r="S196" s="129">
        <f t="shared" si="71"/>
        <v>0.3</v>
      </c>
      <c r="T196" s="129">
        <f t="shared" si="72"/>
        <v>0.3</v>
      </c>
      <c r="U196" s="129">
        <f t="shared" si="72"/>
        <v>0.3</v>
      </c>
      <c r="V196" s="129">
        <f t="shared" si="72"/>
        <v>0.3</v>
      </c>
      <c r="W196" s="129">
        <f t="shared" si="72"/>
        <v>0.3</v>
      </c>
      <c r="X196" s="129">
        <f t="shared" si="72"/>
        <v>0.3</v>
      </c>
      <c r="Y196" s="129">
        <f t="shared" si="72"/>
        <v>0.3</v>
      </c>
      <c r="Z196" s="129">
        <f t="shared" si="72"/>
        <v>0.3</v>
      </c>
      <c r="AA196" s="129">
        <f t="shared" si="72"/>
        <v>0.3</v>
      </c>
      <c r="AB196" s="129">
        <f t="shared" si="72"/>
        <v>0.3</v>
      </c>
      <c r="AC196" s="129">
        <f t="shared" si="72"/>
        <v>0.3</v>
      </c>
      <c r="AD196" s="129">
        <f t="shared" si="72"/>
        <v>0.3</v>
      </c>
      <c r="AE196" s="129">
        <f t="shared" si="72"/>
        <v>0.3</v>
      </c>
      <c r="AF196" s="129">
        <f t="shared" si="72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70"/>
        <v>0.4</v>
      </c>
      <c r="C197" s="129">
        <v>0.4</v>
      </c>
      <c r="D197" s="129">
        <f t="shared" si="71"/>
        <v>0.4</v>
      </c>
      <c r="E197" s="129">
        <f t="shared" si="71"/>
        <v>0.4</v>
      </c>
      <c r="F197" s="129">
        <f t="shared" si="71"/>
        <v>0.4</v>
      </c>
      <c r="G197" s="129">
        <f t="shared" si="71"/>
        <v>0.4</v>
      </c>
      <c r="H197" s="129">
        <f t="shared" si="71"/>
        <v>0.4</v>
      </c>
      <c r="I197" s="129">
        <f t="shared" si="71"/>
        <v>0.4</v>
      </c>
      <c r="J197" s="129">
        <f t="shared" si="71"/>
        <v>0.4</v>
      </c>
      <c r="K197" s="129">
        <f t="shared" si="71"/>
        <v>0.4</v>
      </c>
      <c r="L197" s="129">
        <f t="shared" si="71"/>
        <v>0.4</v>
      </c>
      <c r="M197" s="129">
        <f t="shared" si="71"/>
        <v>0.4</v>
      </c>
      <c r="N197" s="129">
        <f t="shared" si="71"/>
        <v>0.4</v>
      </c>
      <c r="O197" s="129">
        <f t="shared" si="71"/>
        <v>0.4</v>
      </c>
      <c r="P197" s="129">
        <f t="shared" si="71"/>
        <v>0.4</v>
      </c>
      <c r="Q197" s="129">
        <f t="shared" si="71"/>
        <v>0.4</v>
      </c>
      <c r="R197" s="129">
        <f t="shared" si="71"/>
        <v>0.4</v>
      </c>
      <c r="S197" s="129">
        <f t="shared" si="71"/>
        <v>0.4</v>
      </c>
      <c r="T197" s="129">
        <f t="shared" si="72"/>
        <v>0.4</v>
      </c>
      <c r="U197" s="129">
        <f t="shared" si="72"/>
        <v>0.4</v>
      </c>
      <c r="V197" s="129">
        <f t="shared" si="72"/>
        <v>0.4</v>
      </c>
      <c r="W197" s="129">
        <f t="shared" si="72"/>
        <v>0.4</v>
      </c>
      <c r="X197" s="129">
        <f t="shared" si="72"/>
        <v>0.4</v>
      </c>
      <c r="Y197" s="129">
        <f t="shared" si="72"/>
        <v>0.4</v>
      </c>
      <c r="Z197" s="129">
        <f t="shared" si="72"/>
        <v>0.4</v>
      </c>
      <c r="AA197" s="129">
        <f t="shared" si="72"/>
        <v>0.4</v>
      </c>
      <c r="AB197" s="129">
        <f t="shared" si="72"/>
        <v>0.4</v>
      </c>
      <c r="AC197" s="129">
        <f t="shared" si="72"/>
        <v>0.4</v>
      </c>
      <c r="AD197" s="129">
        <f t="shared" si="72"/>
        <v>0.4</v>
      </c>
      <c r="AE197" s="129">
        <f t="shared" si="72"/>
        <v>0.4</v>
      </c>
      <c r="AF197" s="129">
        <f t="shared" si="72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70"/>
        <v>0.64</v>
      </c>
      <c r="C198" s="139">
        <v>0.64</v>
      </c>
      <c r="D198" s="139">
        <f t="shared" si="71"/>
        <v>0.64</v>
      </c>
      <c r="E198" s="139">
        <f t="shared" si="71"/>
        <v>0.64</v>
      </c>
      <c r="F198" s="139">
        <f t="shared" si="71"/>
        <v>0.64</v>
      </c>
      <c r="G198" s="139">
        <f t="shared" si="71"/>
        <v>0.64</v>
      </c>
      <c r="H198" s="139">
        <f t="shared" si="71"/>
        <v>0.64</v>
      </c>
      <c r="I198" s="139">
        <f t="shared" si="71"/>
        <v>0.64</v>
      </c>
      <c r="J198" s="139">
        <f t="shared" si="71"/>
        <v>0.64</v>
      </c>
      <c r="K198" s="139">
        <f t="shared" si="71"/>
        <v>0.64</v>
      </c>
      <c r="L198" s="139">
        <f t="shared" si="71"/>
        <v>0.64</v>
      </c>
      <c r="M198" s="139">
        <f t="shared" si="71"/>
        <v>0.64</v>
      </c>
      <c r="N198" s="139">
        <f t="shared" si="71"/>
        <v>0.64</v>
      </c>
      <c r="O198" s="139">
        <f t="shared" si="71"/>
        <v>0.64</v>
      </c>
      <c r="P198" s="139">
        <f t="shared" si="71"/>
        <v>0.64</v>
      </c>
      <c r="Q198" s="139">
        <f t="shared" si="71"/>
        <v>0.64</v>
      </c>
      <c r="R198" s="139">
        <f t="shared" si="71"/>
        <v>0.64</v>
      </c>
      <c r="S198" s="139">
        <f t="shared" si="71"/>
        <v>0.64</v>
      </c>
      <c r="T198" s="139">
        <f t="shared" si="72"/>
        <v>0.64</v>
      </c>
      <c r="U198" s="139">
        <f t="shared" si="72"/>
        <v>0.64</v>
      </c>
      <c r="V198" s="139">
        <f t="shared" si="72"/>
        <v>0.64</v>
      </c>
      <c r="W198" s="139">
        <f t="shared" si="72"/>
        <v>0.64</v>
      </c>
      <c r="X198" s="139">
        <f t="shared" si="72"/>
        <v>0.64</v>
      </c>
      <c r="Y198" s="139">
        <f t="shared" si="72"/>
        <v>0.64</v>
      </c>
      <c r="Z198" s="139">
        <f t="shared" si="72"/>
        <v>0.64</v>
      </c>
      <c r="AA198" s="139">
        <f t="shared" si="72"/>
        <v>0.64</v>
      </c>
      <c r="AB198" s="139">
        <f t="shared" si="72"/>
        <v>0.64</v>
      </c>
      <c r="AC198" s="139">
        <f t="shared" si="72"/>
        <v>0.64</v>
      </c>
      <c r="AD198" s="139">
        <f t="shared" si="72"/>
        <v>0.64</v>
      </c>
      <c r="AE198" s="139">
        <f t="shared" si="72"/>
        <v>0.64</v>
      </c>
      <c r="AF198" s="139">
        <f t="shared" si="72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73">SUM(D193:D198)</f>
        <v>3.54</v>
      </c>
      <c r="E199" s="142">
        <f t="shared" si="73"/>
        <v>3.54</v>
      </c>
      <c r="F199" s="142">
        <f t="shared" si="73"/>
        <v>3.54</v>
      </c>
      <c r="G199" s="142">
        <f t="shared" si="73"/>
        <v>3.54</v>
      </c>
      <c r="H199" s="142">
        <f t="shared" si="73"/>
        <v>3.54</v>
      </c>
      <c r="I199" s="142">
        <f t="shared" si="73"/>
        <v>3.54</v>
      </c>
      <c r="J199" s="142">
        <f t="shared" si="73"/>
        <v>3.54</v>
      </c>
      <c r="K199" s="142">
        <f t="shared" si="73"/>
        <v>3.54</v>
      </c>
      <c r="L199" s="142">
        <f t="shared" si="73"/>
        <v>3.54</v>
      </c>
      <c r="M199" s="142">
        <f>SUM(M193:M198)</f>
        <v>3.54</v>
      </c>
      <c r="N199" s="142">
        <f t="shared" ref="N199:S199" si="74">SUM(N193:N198)</f>
        <v>3.54</v>
      </c>
      <c r="O199" s="142">
        <f t="shared" si="74"/>
        <v>3.54</v>
      </c>
      <c r="P199" s="142">
        <f t="shared" si="74"/>
        <v>3.54</v>
      </c>
      <c r="Q199" s="142">
        <f t="shared" si="74"/>
        <v>3.54</v>
      </c>
      <c r="R199" s="142">
        <f t="shared" si="74"/>
        <v>3.54</v>
      </c>
      <c r="S199" s="142">
        <f t="shared" si="74"/>
        <v>3.54</v>
      </c>
      <c r="T199" s="142">
        <f>SUM(T193:T198)</f>
        <v>3.54</v>
      </c>
      <c r="U199" s="142">
        <f t="shared" ref="U199:AG199" si="75">SUM(U193:U198)</f>
        <v>3.54</v>
      </c>
      <c r="V199" s="142">
        <f t="shared" si="75"/>
        <v>3.54</v>
      </c>
      <c r="W199" s="142">
        <f t="shared" si="75"/>
        <v>3.54</v>
      </c>
      <c r="X199" s="142">
        <f t="shared" si="75"/>
        <v>3.54</v>
      </c>
      <c r="Y199" s="142">
        <f t="shared" si="75"/>
        <v>3.54</v>
      </c>
      <c r="Z199" s="142">
        <f t="shared" si="75"/>
        <v>3.54</v>
      </c>
      <c r="AA199" s="142">
        <f t="shared" si="75"/>
        <v>3.54</v>
      </c>
      <c r="AB199" s="142">
        <f t="shared" si="75"/>
        <v>3.54</v>
      </c>
      <c r="AC199" s="142">
        <f t="shared" si="75"/>
        <v>3.54</v>
      </c>
      <c r="AD199" s="142">
        <f t="shared" si="75"/>
        <v>3.54</v>
      </c>
      <c r="AE199" s="142">
        <f t="shared" si="75"/>
        <v>3.54</v>
      </c>
      <c r="AF199" s="142">
        <f t="shared" si="75"/>
        <v>3.54</v>
      </c>
      <c r="AG199" s="143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1470.8400000000001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2078/09/27)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76">B75</f>
        <v>935.44</v>
      </c>
      <c r="U213" s="167">
        <f t="shared" si="76"/>
        <v>906.54</v>
      </c>
      <c r="V213" s="167">
        <f t="shared" si="76"/>
        <v>887.83999999999992</v>
      </c>
      <c r="W213" s="167">
        <f t="shared" si="76"/>
        <v>874.43999999999994</v>
      </c>
      <c r="X213" s="167">
        <f t="shared" si="76"/>
        <v>888.43999999999994</v>
      </c>
      <c r="Y213" s="167">
        <f t="shared" si="76"/>
        <v>953.93999999999994</v>
      </c>
      <c r="Z213" s="167">
        <f t="shared" si="76"/>
        <v>998.2399999999999</v>
      </c>
      <c r="AA213" s="167">
        <f t="shared" si="76"/>
        <v>1153.04</v>
      </c>
      <c r="AB213" s="167">
        <f t="shared" si="76"/>
        <v>1280.04</v>
      </c>
      <c r="AC213" s="167">
        <f t="shared" si="76"/>
        <v>1398.94</v>
      </c>
      <c r="AD213" s="167">
        <f t="shared" si="76"/>
        <v>1452.6399999999999</v>
      </c>
      <c r="AE213" s="167">
        <f t="shared" si="76"/>
        <v>1470.8400000000001</v>
      </c>
      <c r="AF213" s="167">
        <f t="shared" si="76"/>
        <v>1434.2400000000002</v>
      </c>
      <c r="AG213" s="167">
        <f t="shared" si="76"/>
        <v>1384.3400000000001</v>
      </c>
      <c r="AH213" s="167">
        <f t="shared" si="76"/>
        <v>1273.04</v>
      </c>
      <c r="AI213" s="167">
        <f t="shared" si="76"/>
        <v>1239.44</v>
      </c>
      <c r="AJ213" s="167">
        <f t="shared" si="76"/>
        <v>1191.8389999999999</v>
      </c>
      <c r="AK213" s="167">
        <f t="shared" si="76"/>
        <v>1353.1399999999999</v>
      </c>
      <c r="AL213" s="167">
        <f t="shared" si="76"/>
        <v>1349.44</v>
      </c>
      <c r="AM213" s="167">
        <f t="shared" si="76"/>
        <v>1355.5400000000002</v>
      </c>
      <c r="AN213" s="167">
        <f t="shared" si="76"/>
        <v>1342.64</v>
      </c>
      <c r="AO213" s="167">
        <f t="shared" si="76"/>
        <v>1419.34</v>
      </c>
      <c r="AP213" s="167">
        <f t="shared" si="76"/>
        <v>1509.84</v>
      </c>
      <c r="AQ213" s="167">
        <f t="shared" si="76"/>
        <v>1568.84</v>
      </c>
      <c r="AR213" s="167">
        <f t="shared" si="76"/>
        <v>1474.54</v>
      </c>
      <c r="AS213" s="167">
        <f t="shared" si="76"/>
        <v>1525.54</v>
      </c>
      <c r="AT213" s="167">
        <f t="shared" si="76"/>
        <v>1457.74</v>
      </c>
      <c r="AU213" s="167">
        <f t="shared" si="76"/>
        <v>1282.44</v>
      </c>
      <c r="AV213" s="167">
        <f t="shared" si="76"/>
        <v>1215.3399999999999</v>
      </c>
      <c r="AW213" s="167">
        <f t="shared" si="76"/>
        <v>1033.04</v>
      </c>
      <c r="AX213" s="167">
        <f t="shared" si="76"/>
        <v>899.83999999999992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77">C198</f>
        <v>0.64</v>
      </c>
      <c r="C234" s="170">
        <f t="shared" si="77"/>
        <v>0.64</v>
      </c>
      <c r="D234" s="170">
        <f t="shared" si="77"/>
        <v>0.64</v>
      </c>
      <c r="E234" s="170">
        <f t="shared" si="77"/>
        <v>0.64</v>
      </c>
      <c r="F234" s="170">
        <f t="shared" si="77"/>
        <v>0.64</v>
      </c>
      <c r="G234" s="170">
        <f t="shared" si="77"/>
        <v>0.64</v>
      </c>
      <c r="H234" s="170">
        <f t="shared" si="77"/>
        <v>0.64</v>
      </c>
      <c r="I234" s="170">
        <f t="shared" si="77"/>
        <v>0.64</v>
      </c>
      <c r="J234" s="170">
        <f t="shared" si="77"/>
        <v>0.64</v>
      </c>
      <c r="K234" s="170">
        <f t="shared" si="77"/>
        <v>0.64</v>
      </c>
      <c r="L234" s="170">
        <f t="shared" si="77"/>
        <v>0.64</v>
      </c>
      <c r="M234" s="170">
        <f t="shared" si="77"/>
        <v>0.64</v>
      </c>
      <c r="N234" s="170">
        <f t="shared" si="77"/>
        <v>0.64</v>
      </c>
      <c r="O234" s="170">
        <f t="shared" si="77"/>
        <v>0.64</v>
      </c>
      <c r="P234" s="170">
        <f t="shared" si="77"/>
        <v>0.64</v>
      </c>
      <c r="Q234" s="170">
        <f t="shared" si="77"/>
        <v>0.64</v>
      </c>
      <c r="R234" s="170">
        <f t="shared" si="77"/>
        <v>0.64</v>
      </c>
      <c r="S234" s="170">
        <f t="shared" si="77"/>
        <v>0.64</v>
      </c>
      <c r="T234" s="170">
        <f t="shared" si="77"/>
        <v>0.64</v>
      </c>
      <c r="U234" s="170">
        <f t="shared" si="77"/>
        <v>0.64</v>
      </c>
      <c r="V234" s="170">
        <f t="shared" si="77"/>
        <v>0.64</v>
      </c>
      <c r="W234" s="170">
        <f t="shared" si="77"/>
        <v>0.64</v>
      </c>
      <c r="X234" s="170">
        <f t="shared" si="77"/>
        <v>0.64</v>
      </c>
      <c r="Y234" s="170">
        <f t="shared" si="77"/>
        <v>0.64</v>
      </c>
      <c r="Z234" s="170">
        <f t="shared" si="77"/>
        <v>0.64</v>
      </c>
      <c r="AA234" s="170">
        <f t="shared" si="77"/>
        <v>0.64</v>
      </c>
      <c r="AB234" s="170">
        <f t="shared" si="77"/>
        <v>0.64</v>
      </c>
      <c r="AC234" s="170">
        <f t="shared" si="77"/>
        <v>0.64</v>
      </c>
      <c r="AD234" s="170">
        <f t="shared" si="77"/>
        <v>0.64</v>
      </c>
      <c r="AE234" s="170">
        <f t="shared" si="77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78">IF(C202&lt;100,"",C202-520)</f>
        <v/>
      </c>
      <c r="D235" s="115" t="str">
        <f t="shared" si="78"/>
        <v/>
      </c>
      <c r="E235" s="115" t="str">
        <f t="shared" si="78"/>
        <v/>
      </c>
      <c r="F235" s="115" t="str">
        <f t="shared" si="78"/>
        <v/>
      </c>
      <c r="G235" s="115" t="str">
        <f t="shared" si="78"/>
        <v/>
      </c>
      <c r="H235" s="115" t="str">
        <f t="shared" si="78"/>
        <v/>
      </c>
      <c r="I235" s="115" t="str">
        <f t="shared" si="78"/>
        <v/>
      </c>
      <c r="J235" s="115" t="str">
        <f t="shared" si="78"/>
        <v/>
      </c>
      <c r="K235" s="115" t="str">
        <f t="shared" si="78"/>
        <v/>
      </c>
      <c r="L235" s="115" t="str">
        <f t="shared" si="78"/>
        <v/>
      </c>
      <c r="M235" s="115" t="str">
        <f t="shared" si="78"/>
        <v/>
      </c>
      <c r="N235" s="115" t="str">
        <f t="shared" si="78"/>
        <v/>
      </c>
      <c r="O235" s="115" t="str">
        <f t="shared" si="78"/>
        <v/>
      </c>
      <c r="P235" s="115" t="str">
        <f t="shared" si="78"/>
        <v/>
      </c>
      <c r="Q235" s="115" t="str">
        <f t="shared" si="78"/>
        <v/>
      </c>
      <c r="R235" s="115" t="str">
        <f t="shared" si="78"/>
        <v/>
      </c>
      <c r="S235" s="115" t="str">
        <f t="shared" si="78"/>
        <v/>
      </c>
      <c r="T235" s="115" t="str">
        <f t="shared" si="78"/>
        <v/>
      </c>
      <c r="U235" s="115" t="str">
        <f t="shared" si="78"/>
        <v/>
      </c>
      <c r="V235" s="115" t="str">
        <f t="shared" si="78"/>
        <v/>
      </c>
      <c r="W235" s="115" t="str">
        <f t="shared" si="78"/>
        <v/>
      </c>
      <c r="X235" s="115" t="str">
        <f t="shared" si="78"/>
        <v/>
      </c>
      <c r="Y235" s="115" t="str">
        <f t="shared" si="78"/>
        <v/>
      </c>
      <c r="Z235" s="115" t="str">
        <f t="shared" si="78"/>
        <v/>
      </c>
      <c r="AA235" s="115" t="str">
        <f t="shared" si="78"/>
        <v/>
      </c>
      <c r="AB235" s="115" t="str">
        <f t="shared" si="78"/>
        <v/>
      </c>
      <c r="AC235" s="115" t="str">
        <f t="shared" si="78"/>
        <v/>
      </c>
      <c r="AD235" s="115" t="str">
        <f t="shared" si="78"/>
        <v/>
      </c>
      <c r="AE235" s="115" t="str">
        <f t="shared" si="78"/>
        <v/>
      </c>
      <c r="AF235" s="115" t="str">
        <f t="shared" si="78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79">IF(B203&lt;100,"",B203-620)</f>
        <v/>
      </c>
      <c r="C236" s="115" t="str">
        <f t="shared" si="79"/>
        <v/>
      </c>
      <c r="D236" s="115" t="str">
        <f t="shared" si="79"/>
        <v/>
      </c>
      <c r="E236" s="115" t="str">
        <f t="shared" si="79"/>
        <v/>
      </c>
      <c r="F236" s="115" t="str">
        <f t="shared" si="79"/>
        <v/>
      </c>
      <c r="G236" s="115" t="str">
        <f t="shared" si="79"/>
        <v/>
      </c>
      <c r="H236" s="115" t="str">
        <f t="shared" si="79"/>
        <v/>
      </c>
      <c r="I236" s="115" t="str">
        <f t="shared" si="79"/>
        <v/>
      </c>
      <c r="J236" s="115" t="str">
        <f t="shared" si="79"/>
        <v/>
      </c>
      <c r="K236" s="115" t="str">
        <f t="shared" si="79"/>
        <v/>
      </c>
      <c r="L236" s="115" t="str">
        <f t="shared" si="79"/>
        <v/>
      </c>
      <c r="M236" s="115" t="str">
        <f t="shared" si="79"/>
        <v/>
      </c>
      <c r="N236" s="115" t="str">
        <f t="shared" si="79"/>
        <v/>
      </c>
      <c r="O236" s="115" t="str">
        <f t="shared" si="79"/>
        <v/>
      </c>
      <c r="P236" s="115" t="str">
        <f t="shared" si="79"/>
        <v/>
      </c>
      <c r="Q236" s="115" t="str">
        <f t="shared" si="79"/>
        <v/>
      </c>
      <c r="R236" s="115" t="str">
        <f t="shared" si="79"/>
        <v/>
      </c>
      <c r="S236" s="115" t="str">
        <f t="shared" si="79"/>
        <v/>
      </c>
      <c r="T236" s="115" t="str">
        <f t="shared" si="79"/>
        <v/>
      </c>
      <c r="U236" s="115" t="str">
        <f t="shared" si="79"/>
        <v/>
      </c>
      <c r="V236" s="115" t="str">
        <f t="shared" si="79"/>
        <v/>
      </c>
      <c r="W236" s="115" t="str">
        <f t="shared" si="79"/>
        <v/>
      </c>
      <c r="X236" s="115" t="str">
        <f t="shared" si="79"/>
        <v/>
      </c>
      <c r="Y236" s="115" t="str">
        <f t="shared" si="79"/>
        <v/>
      </c>
      <c r="Z236" s="115" t="str">
        <f t="shared" si="79"/>
        <v/>
      </c>
      <c r="AA236" s="115" t="str">
        <f t="shared" si="79"/>
        <v/>
      </c>
      <c r="AB236" s="115" t="str">
        <f t="shared" si="79"/>
        <v/>
      </c>
      <c r="AC236" s="115" t="str">
        <f t="shared" si="79"/>
        <v/>
      </c>
      <c r="AD236" s="115" t="str">
        <f t="shared" si="79"/>
        <v/>
      </c>
      <c r="AE236" s="115" t="str">
        <f t="shared" si="79"/>
        <v/>
      </c>
      <c r="AF236" s="115" t="str">
        <f t="shared" si="79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80">IF(B204&lt;100,"",B204-330)</f>
        <v/>
      </c>
      <c r="C237" s="115" t="str">
        <f t="shared" si="80"/>
        <v/>
      </c>
      <c r="D237" s="115" t="str">
        <f t="shared" si="80"/>
        <v/>
      </c>
      <c r="E237" s="115" t="str">
        <f t="shared" si="80"/>
        <v/>
      </c>
      <c r="F237" s="115" t="str">
        <f t="shared" si="80"/>
        <v/>
      </c>
      <c r="G237" s="115" t="str">
        <f t="shared" si="80"/>
        <v/>
      </c>
      <c r="H237" s="115" t="str">
        <f t="shared" si="80"/>
        <v/>
      </c>
      <c r="I237" s="115" t="str">
        <f t="shared" si="80"/>
        <v/>
      </c>
      <c r="J237" s="115" t="str">
        <f t="shared" si="80"/>
        <v/>
      </c>
      <c r="K237" s="115" t="str">
        <f t="shared" si="80"/>
        <v/>
      </c>
      <c r="L237" s="115" t="str">
        <f t="shared" si="80"/>
        <v/>
      </c>
      <c r="M237" s="115" t="str">
        <f t="shared" si="80"/>
        <v/>
      </c>
      <c r="N237" s="115" t="str">
        <f t="shared" si="80"/>
        <v/>
      </c>
      <c r="O237" s="115" t="str">
        <f t="shared" si="80"/>
        <v/>
      </c>
      <c r="P237" s="115" t="str">
        <f t="shared" si="80"/>
        <v/>
      </c>
      <c r="Q237" s="115" t="str">
        <f t="shared" si="80"/>
        <v/>
      </c>
      <c r="R237" s="115" t="str">
        <f t="shared" si="80"/>
        <v/>
      </c>
      <c r="S237" s="115" t="str">
        <f t="shared" si="80"/>
        <v/>
      </c>
      <c r="T237" s="115" t="str">
        <f t="shared" si="80"/>
        <v/>
      </c>
      <c r="U237" s="115" t="str">
        <f t="shared" si="80"/>
        <v/>
      </c>
      <c r="V237" s="115" t="str">
        <f t="shared" si="80"/>
        <v/>
      </c>
      <c r="W237" s="115" t="str">
        <f t="shared" si="80"/>
        <v/>
      </c>
      <c r="X237" s="115" t="str">
        <f t="shared" si="80"/>
        <v/>
      </c>
      <c r="Y237" s="115" t="str">
        <f t="shared" si="80"/>
        <v/>
      </c>
      <c r="Z237" s="115" t="str">
        <f t="shared" si="80"/>
        <v/>
      </c>
      <c r="AA237" s="115" t="str">
        <f t="shared" si="80"/>
        <v/>
      </c>
      <c r="AB237" s="115" t="str">
        <f t="shared" si="80"/>
        <v/>
      </c>
      <c r="AC237" s="115" t="str">
        <f t="shared" si="80"/>
        <v/>
      </c>
      <c r="AD237" s="115" t="str">
        <f t="shared" si="80"/>
        <v/>
      </c>
      <c r="AE237" s="115" t="str">
        <f t="shared" si="80"/>
        <v/>
      </c>
      <c r="AF237" s="115" t="str">
        <f t="shared" si="80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81">IF(C205&lt;100,"",C205-1500)</f>
        <v/>
      </c>
      <c r="D238" s="115" t="str">
        <f t="shared" si="81"/>
        <v/>
      </c>
      <c r="E238" s="115" t="str">
        <f t="shared" si="81"/>
        <v/>
      </c>
      <c r="F238" s="115" t="str">
        <f t="shared" si="81"/>
        <v/>
      </c>
      <c r="G238" s="115" t="str">
        <f t="shared" si="81"/>
        <v/>
      </c>
      <c r="H238" s="115" t="str">
        <f t="shared" si="81"/>
        <v/>
      </c>
      <c r="I238" s="115" t="str">
        <f t="shared" si="81"/>
        <v/>
      </c>
      <c r="J238" s="115" t="str">
        <f t="shared" si="81"/>
        <v/>
      </c>
      <c r="K238" s="115" t="str">
        <f t="shared" si="81"/>
        <v/>
      </c>
      <c r="L238" s="115" t="str">
        <f t="shared" si="81"/>
        <v/>
      </c>
      <c r="M238" s="115" t="str">
        <f t="shared" si="81"/>
        <v/>
      </c>
      <c r="N238" s="115" t="str">
        <f t="shared" si="81"/>
        <v/>
      </c>
      <c r="O238" s="115" t="str">
        <f t="shared" si="81"/>
        <v/>
      </c>
      <c r="P238" s="115" t="str">
        <f t="shared" si="81"/>
        <v/>
      </c>
      <c r="Q238" s="115" t="str">
        <f t="shared" si="81"/>
        <v/>
      </c>
      <c r="R238" s="115" t="str">
        <f t="shared" si="81"/>
        <v/>
      </c>
      <c r="S238" s="115" t="str">
        <f t="shared" si="81"/>
        <v/>
      </c>
      <c r="T238" s="115" t="str">
        <f t="shared" si="81"/>
        <v/>
      </c>
      <c r="U238" s="115" t="str">
        <f t="shared" si="81"/>
        <v/>
      </c>
      <c r="V238" s="115" t="str">
        <f t="shared" si="81"/>
        <v/>
      </c>
      <c r="W238" s="115" t="str">
        <f t="shared" si="81"/>
        <v/>
      </c>
      <c r="X238" s="115" t="str">
        <f t="shared" si="81"/>
        <v/>
      </c>
      <c r="Y238" s="115" t="str">
        <f t="shared" si="81"/>
        <v/>
      </c>
      <c r="Z238" s="115" t="str">
        <f t="shared" si="81"/>
        <v/>
      </c>
      <c r="AA238" s="115" t="str">
        <f t="shared" si="81"/>
        <v/>
      </c>
      <c r="AB238" s="115" t="str">
        <f t="shared" si="81"/>
        <v/>
      </c>
      <c r="AC238" s="115" t="str">
        <f t="shared" si="81"/>
        <v/>
      </c>
      <c r="AD238" s="115" t="str">
        <f t="shared" si="81"/>
        <v/>
      </c>
      <c r="AE238" s="115" t="str">
        <f t="shared" si="81"/>
        <v/>
      </c>
      <c r="AF238" s="115" t="str">
        <f t="shared" si="81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C57:L59 N62:N67 P39:R39 O61:O67 P40:Q42 R42 R40:T41 M58:R59 U40:Y42 X85:X91 Z40:AE43 AB81:AF81 C81:R81 C56:AF56 C82:AF83 D193:AF199 B193:B199 AF84:AF91 C68:AF80 B9:AF10 B191:AF191 AF57:AF59 AG73 U212:AF212 K60:O60 C60:J61 K61:N61 C63:L67 M39:O42 P60:R67 M11:X11 S39:W42 S58:W67 R12:X14 N37:X37 X62:X67 Y39:Z42 M53:AF55 AA39:AE43 N45:AF48 AC94:AF99">
    <cfRule type="expression" dxfId="1715" priority="379">
      <formula>B$9&gt;=20/24</formula>
    </cfRule>
    <cfRule type="expression" dxfId="1714" priority="380">
      <formula>AND(B$9&gt;=14/24,B$9&lt;20/24)</formula>
    </cfRule>
    <cfRule type="expression" dxfId="1713" priority="381">
      <formula>AND(B$9&gt;=8/24,B$9&lt;14/24)</formula>
    </cfRule>
    <cfRule type="expression" dxfId="1712" priority="382">
      <formula>B$9&lt;8/24</formula>
    </cfRule>
  </conditionalFormatting>
  <conditionalFormatting sqref="AL4:AL6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M57:W57">
    <cfRule type="expression" dxfId="1711" priority="374">
      <formula>M$9&gt;=20/24</formula>
    </cfRule>
    <cfRule type="expression" dxfId="1710" priority="375">
      <formula>AND(M$9&gt;=14/24,M$9&lt;20/24)</formula>
    </cfRule>
    <cfRule type="expression" dxfId="1709" priority="376">
      <formula>AND(M$9&gt;=8/24,M$9&lt;14/24)</formula>
    </cfRule>
    <cfRule type="expression" dxfId="1708" priority="377">
      <formula>M$9&lt;8/24</formula>
    </cfRule>
  </conditionalFormatting>
  <conditionalFormatting sqref="M43:W43">
    <cfRule type="expression" dxfId="1707" priority="370">
      <formula>M$9&gt;=20/24</formula>
    </cfRule>
    <cfRule type="expression" dxfId="1706" priority="371">
      <formula>AND(M$9&gt;=14/24,M$9&lt;20/24)</formula>
    </cfRule>
    <cfRule type="expression" dxfId="1705" priority="372">
      <formula>AND(M$9&gt;=8/24,M$9&lt;14/24)</formula>
    </cfRule>
    <cfRule type="expression" dxfId="1704" priority="373">
      <formula>M$9&lt;8/24</formula>
    </cfRule>
  </conditionalFormatting>
  <conditionalFormatting sqref="S39:AE39">
    <cfRule type="expression" dxfId="1703" priority="362">
      <formula>S$9&gt;=20/24</formula>
    </cfRule>
    <cfRule type="expression" dxfId="1702" priority="363">
      <formula>AND(S$9&gt;=14/24,S$9&lt;20/24)</formula>
    </cfRule>
    <cfRule type="expression" dxfId="1701" priority="364">
      <formula>AND(S$9&gt;=8/24,S$9&lt;14/24)</formula>
    </cfRule>
    <cfRule type="expression" dxfId="1700" priority="365">
      <formula>S$9&lt;8/24</formula>
    </cfRule>
  </conditionalFormatting>
  <conditionalFormatting sqref="X57">
    <cfRule type="expression" dxfId="1699" priority="358">
      <formula>X$9&gt;=20/24</formula>
    </cfRule>
    <cfRule type="expression" dxfId="1698" priority="359">
      <formula>AND(X$9&gt;=14/24,X$9&lt;20/24)</formula>
    </cfRule>
    <cfRule type="expression" dxfId="1697" priority="360">
      <formula>AND(X$9&gt;=8/24,X$9&lt;14/24)</formula>
    </cfRule>
    <cfRule type="expression" dxfId="1696" priority="361">
      <formula>X$9&lt;8/24</formula>
    </cfRule>
  </conditionalFormatting>
  <conditionalFormatting sqref="S81:AA81">
    <cfRule type="expression" dxfId="1695" priority="354">
      <formula>S$9&gt;=20/24</formula>
    </cfRule>
    <cfRule type="expression" dxfId="1694" priority="355">
      <formula>AND(S$9&gt;=14/24,S$9&lt;20/24)</formula>
    </cfRule>
    <cfRule type="expression" dxfId="1693" priority="356">
      <formula>AND(S$9&gt;=8/24,S$9&lt;14/24)</formula>
    </cfRule>
    <cfRule type="expression" dxfId="1692" priority="357">
      <formula>S$9&lt;8/24</formula>
    </cfRule>
  </conditionalFormatting>
  <conditionalFormatting sqref="X84">
    <cfRule type="expression" dxfId="1691" priority="350">
      <formula>X$9&gt;=20/24</formula>
    </cfRule>
    <cfRule type="expression" dxfId="1690" priority="351">
      <formula>AND(X$9&gt;=14/24,X$9&lt;20/24)</formula>
    </cfRule>
    <cfRule type="expression" dxfId="1689" priority="352">
      <formula>AND(X$9&gt;=8/24,X$9&lt;14/24)</formula>
    </cfRule>
    <cfRule type="expression" dxfId="1688" priority="353">
      <formula>X$9&lt;8/24</formula>
    </cfRule>
  </conditionalFormatting>
  <conditionalFormatting sqref="M49:X49">
    <cfRule type="expression" dxfId="1687" priority="342">
      <formula>M$9&gt;=20/24</formula>
    </cfRule>
    <cfRule type="expression" dxfId="1686" priority="343">
      <formula>AND(M$9&gt;=14/24,M$9&lt;20/24)</formula>
    </cfRule>
    <cfRule type="expression" dxfId="1685" priority="344">
      <formula>AND(M$9&gt;=8/24,M$9&lt;14/24)</formula>
    </cfRule>
    <cfRule type="expression" dxfId="1684" priority="345">
      <formula>M$9&lt;8/24</formula>
    </cfRule>
  </conditionalFormatting>
  <conditionalFormatting sqref="M50:X50">
    <cfRule type="expression" dxfId="1683" priority="338">
      <formula>M$9&gt;=20/24</formula>
    </cfRule>
    <cfRule type="expression" dxfId="1682" priority="339">
      <formula>AND(M$9&gt;=14/24,M$9&lt;20/24)</formula>
    </cfRule>
    <cfRule type="expression" dxfId="1681" priority="340">
      <formula>AND(M$9&gt;=8/24,M$9&lt;14/24)</formula>
    </cfRule>
    <cfRule type="expression" dxfId="1680" priority="341">
      <formula>M$9&lt;8/24</formula>
    </cfRule>
  </conditionalFormatting>
  <conditionalFormatting sqref="M45:X48 U46:AE46">
    <cfRule type="expression" dxfId="1679" priority="334">
      <formula>M$9&gt;=20/24</formula>
    </cfRule>
    <cfRule type="expression" dxfId="1678" priority="335">
      <formula>AND(M$9&gt;=14/24,M$9&lt;20/24)</formula>
    </cfRule>
    <cfRule type="expression" dxfId="1677" priority="336">
      <formula>AND(M$9&gt;=8/24,M$9&lt;14/24)</formula>
    </cfRule>
    <cfRule type="expression" dxfId="1676" priority="337">
      <formula>M$9&lt;8/24</formula>
    </cfRule>
  </conditionalFormatting>
  <conditionalFormatting sqref="U43:Y43 S42:W43 Y42:AE43 S45:AF48">
    <cfRule type="expression" dxfId="1675" priority="322">
      <formula>S$9&gt;=20/24</formula>
    </cfRule>
    <cfRule type="expression" dxfId="1674" priority="323">
      <formula>AND(S$9&gt;=14/24,S$9&lt;20/24)</formula>
    </cfRule>
    <cfRule type="expression" dxfId="1673" priority="324">
      <formula>AND(S$9&gt;=8/24,S$9&lt;14/24)</formula>
    </cfRule>
    <cfRule type="expression" dxfId="1672" priority="325">
      <formula>S$9&lt;8/24</formula>
    </cfRule>
  </conditionalFormatting>
  <conditionalFormatting sqref="S49:AF49">
    <cfRule type="expression" dxfId="1671" priority="318">
      <formula>S$9&gt;=20/24</formula>
    </cfRule>
    <cfRule type="expression" dxfId="1670" priority="319">
      <formula>AND(S$9&gt;=14/24,S$9&lt;20/24)</formula>
    </cfRule>
    <cfRule type="expression" dxfId="1669" priority="320">
      <formula>AND(S$9&gt;=8/24,S$9&lt;14/24)</formula>
    </cfRule>
    <cfRule type="expression" dxfId="1668" priority="321">
      <formula>S$9&lt;8/24</formula>
    </cfRule>
  </conditionalFormatting>
  <conditionalFormatting sqref="S50:AF50">
    <cfRule type="expression" dxfId="1667" priority="314">
      <formula>S$9&gt;=20/24</formula>
    </cfRule>
    <cfRule type="expression" dxfId="1666" priority="315">
      <formula>AND(S$9&gt;=14/24,S$9&lt;20/24)</formula>
    </cfRule>
    <cfRule type="expression" dxfId="1665" priority="316">
      <formula>AND(S$9&gt;=8/24,S$9&lt;14/24)</formula>
    </cfRule>
    <cfRule type="expression" dxfId="1664" priority="317">
      <formula>S$9&lt;8/24</formula>
    </cfRule>
  </conditionalFormatting>
  <conditionalFormatting sqref="X60:X61 AF60:AF67">
    <cfRule type="expression" dxfId="1663" priority="310">
      <formula>X$9&gt;=20/24</formula>
    </cfRule>
    <cfRule type="expression" dxfId="1662" priority="311">
      <formula>AND(X$9&gt;=14/24,X$9&lt;20/24)</formula>
    </cfRule>
    <cfRule type="expression" dxfId="1661" priority="312">
      <formula>AND(X$9&gt;=8/24,X$9&lt;14/24)</formula>
    </cfRule>
    <cfRule type="expression" dxfId="1660" priority="313">
      <formula>X$9&lt;8/24</formula>
    </cfRule>
  </conditionalFormatting>
  <conditionalFormatting sqref="C62:L62">
    <cfRule type="expression" dxfId="1659" priority="306">
      <formula>C$9&gt;=20/24</formula>
    </cfRule>
    <cfRule type="expression" dxfId="1658" priority="307">
      <formula>AND(C$9&gt;=14/24,C$9&lt;20/24)</formula>
    </cfRule>
    <cfRule type="expression" dxfId="1657" priority="308">
      <formula>AND(C$9&gt;=8/24,C$9&lt;14/24)</formula>
    </cfRule>
    <cfRule type="expression" dxfId="1656" priority="309">
      <formula>C$9&lt;8/24</formula>
    </cfRule>
  </conditionalFormatting>
  <conditionalFormatting sqref="W94:X97">
    <cfRule type="expression" dxfId="1655" priority="302">
      <formula>W$9&gt;=20/24</formula>
    </cfRule>
    <cfRule type="expression" dxfId="1654" priority="303">
      <formula>AND(W$9&gt;=14/24,W$9&lt;20/24)</formula>
    </cfRule>
    <cfRule type="expression" dxfId="1653" priority="304">
      <formula>AND(W$9&gt;=8/24,W$9&lt;14/24)</formula>
    </cfRule>
    <cfRule type="expression" dxfId="1652" priority="305">
      <formula>W$9&lt;8/24</formula>
    </cfRule>
  </conditionalFormatting>
  <conditionalFormatting sqref="AG51 B11:X11 R12:X14 F37:X37 C38:AF56">
    <cfRule type="expression" dxfId="1651" priority="301">
      <formula>B11&gt;$AG11</formula>
    </cfRule>
  </conditionalFormatting>
  <conditionalFormatting sqref="A100:A156 A84:A97 A11:A14 A16:A32 A45:A72 A80:A82 A74:A78 A35:A43 A169:A199">
    <cfRule type="expression" dxfId="1650" priority="300">
      <formula>$AH11=0</formula>
    </cfRule>
  </conditionalFormatting>
  <conditionalFormatting sqref="W98:X98">
    <cfRule type="expression" dxfId="1649" priority="296">
      <formula>W$9&gt;=20/24</formula>
    </cfRule>
    <cfRule type="expression" dxfId="1648" priority="297">
      <formula>AND(W$9&gt;=14/24,W$9&lt;20/24)</formula>
    </cfRule>
    <cfRule type="expression" dxfId="1647" priority="298">
      <formula>AND(W$9&gt;=8/24,W$9&lt;14/24)</formula>
    </cfRule>
    <cfRule type="expression" dxfId="1646" priority="299">
      <formula>W$9&lt;8/24</formula>
    </cfRule>
  </conditionalFormatting>
  <conditionalFormatting sqref="A98">
    <cfRule type="expression" dxfId="1645" priority="295">
      <formula>$AH98=0</formula>
    </cfRule>
  </conditionalFormatting>
  <conditionalFormatting sqref="M62:M67">
    <cfRule type="expression" dxfId="1644" priority="283">
      <formula>M$9&gt;=20/24</formula>
    </cfRule>
    <cfRule type="expression" dxfId="1643" priority="284">
      <formula>AND(M$9&gt;=14/24,M$9&lt;20/24)</formula>
    </cfRule>
    <cfRule type="expression" dxfId="1642" priority="285">
      <formula>AND(M$9&gt;=8/24,M$9&lt;14/24)</formula>
    </cfRule>
    <cfRule type="expression" dxfId="1641" priority="286">
      <formula>M$9&lt;8/24</formula>
    </cfRule>
  </conditionalFormatting>
  <conditionalFormatting sqref="AL32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640" priority="269">
      <formula>$AH34=0</formula>
    </cfRule>
  </conditionalFormatting>
  <conditionalFormatting sqref="A83">
    <cfRule type="expression" dxfId="1639" priority="268">
      <formula>$AH83=0</formula>
    </cfRule>
  </conditionalFormatting>
  <conditionalFormatting sqref="A15">
    <cfRule type="expression" dxfId="1638" priority="258">
      <formula>$AH15=0</formula>
    </cfRule>
  </conditionalFormatting>
  <conditionalFormatting sqref="A163:A168">
    <cfRule type="expression" dxfId="1637" priority="257">
      <formula>$AH163=0</formula>
    </cfRule>
  </conditionalFormatting>
  <conditionalFormatting sqref="A157:A162">
    <cfRule type="expression" dxfId="1636" priority="256">
      <formula>$AH157=0</formula>
    </cfRule>
  </conditionalFormatting>
  <conditionalFormatting sqref="Z44:AF44">
    <cfRule type="expression" dxfId="1635" priority="252">
      <formula>Z$9&gt;=20/24</formula>
    </cfRule>
    <cfRule type="expression" dxfId="1634" priority="253">
      <formula>AND(Z$9&gt;=14/24,Z$9&lt;20/24)</formula>
    </cfRule>
    <cfRule type="expression" dxfId="1633" priority="254">
      <formula>AND(Z$9&gt;=8/24,Z$9&lt;14/24)</formula>
    </cfRule>
    <cfRule type="expression" dxfId="1632" priority="255">
      <formula>Z$9&lt;8/24</formula>
    </cfRule>
  </conditionalFormatting>
  <conditionalFormatting sqref="M44:X44">
    <cfRule type="expression" dxfId="1631" priority="248">
      <formula>M$9&gt;=20/24</formula>
    </cfRule>
    <cfRule type="expression" dxfId="1630" priority="249">
      <formula>AND(M$9&gt;=14/24,M$9&lt;20/24)</formula>
    </cfRule>
    <cfRule type="expression" dxfId="1629" priority="250">
      <formula>AND(M$9&gt;=8/24,M$9&lt;14/24)</formula>
    </cfRule>
    <cfRule type="expression" dxfId="1628" priority="251">
      <formula>M$9&lt;8/24</formula>
    </cfRule>
  </conditionalFormatting>
  <conditionalFormatting sqref="S44:AF44">
    <cfRule type="expression" dxfId="1627" priority="244">
      <formula>S$9&gt;=20/24</formula>
    </cfRule>
    <cfRule type="expression" dxfId="1626" priority="245">
      <formula>AND(S$9&gt;=14/24,S$9&lt;20/24)</formula>
    </cfRule>
    <cfRule type="expression" dxfId="1625" priority="246">
      <formula>AND(S$9&gt;=8/24,S$9&lt;14/24)</formula>
    </cfRule>
    <cfRule type="expression" dxfId="1624" priority="247">
      <formula>S$9&lt;8/24</formula>
    </cfRule>
  </conditionalFormatting>
  <conditionalFormatting sqref="A44">
    <cfRule type="expression" dxfId="1623" priority="243">
      <formula>$AH44=0</formula>
    </cfRule>
  </conditionalFormatting>
  <conditionalFormatting sqref="A79">
    <cfRule type="expression" dxfId="1622" priority="242">
      <formula>$AH79=0</formula>
    </cfRule>
  </conditionalFormatting>
  <conditionalFormatting sqref="A73">
    <cfRule type="expression" dxfId="1621" priority="241">
      <formula>$AH73=0</formula>
    </cfRule>
  </conditionalFormatting>
  <conditionalFormatting sqref="AL34:AL35 AL7:AL31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C84:S91 T85:W91">
    <cfRule type="expression" dxfId="1620" priority="229">
      <formula>C$9&gt;=20/24</formula>
    </cfRule>
    <cfRule type="expression" dxfId="1619" priority="230">
      <formula>AND(C$9&gt;=14/24,C$9&lt;20/24)</formula>
    </cfRule>
    <cfRule type="expression" dxfId="1618" priority="231">
      <formula>AND(C$9&gt;=8/24,C$9&lt;14/24)</formula>
    </cfRule>
    <cfRule type="expression" dxfId="1617" priority="232">
      <formula>C$9&lt;8/24</formula>
    </cfRule>
  </conditionalFormatting>
  <conditionalFormatting sqref="T84:W84">
    <cfRule type="expression" dxfId="1616" priority="225">
      <formula>T$9&gt;=20/24</formula>
    </cfRule>
    <cfRule type="expression" dxfId="1615" priority="226">
      <formula>AND(T$9&gt;=14/24,T$9&lt;20/24)</formula>
    </cfRule>
    <cfRule type="expression" dxfId="1614" priority="227">
      <formula>AND(T$9&gt;=8/24,T$9&lt;14/24)</formula>
    </cfRule>
    <cfRule type="expression" dxfId="1613" priority="228">
      <formula>T$9&lt;8/24</formula>
    </cfRule>
  </conditionalFormatting>
  <conditionalFormatting sqref="C94:F94 F97:F98 C95:P97">
    <cfRule type="expression" dxfId="1612" priority="221">
      <formula>C$9&gt;=20/24</formula>
    </cfRule>
    <cfRule type="expression" dxfId="1611" priority="222">
      <formula>AND(C$9&gt;=14/24,C$9&lt;20/24)</formula>
    </cfRule>
    <cfRule type="expression" dxfId="1610" priority="223">
      <formula>AND(C$9&gt;=8/24,C$9&lt;14/24)</formula>
    </cfRule>
    <cfRule type="expression" dxfId="1609" priority="224">
      <formula>C$9&lt;8/24</formula>
    </cfRule>
  </conditionalFormatting>
  <conditionalFormatting sqref="Q94:S97">
    <cfRule type="expression" dxfId="1608" priority="217">
      <formula>Q$9&gt;=20/24</formula>
    </cfRule>
    <cfRule type="expression" dxfId="1607" priority="218">
      <formula>AND(Q$9&gt;=14/24,Q$9&lt;20/24)</formula>
    </cfRule>
    <cfRule type="expression" dxfId="1606" priority="219">
      <formula>AND(Q$9&gt;=8/24,Q$9&lt;14/24)</formula>
    </cfRule>
    <cfRule type="expression" dxfId="1605" priority="220">
      <formula>Q$9&lt;8/24</formula>
    </cfRule>
  </conditionalFormatting>
  <conditionalFormatting sqref="T94:V97">
    <cfRule type="expression" dxfId="1604" priority="213">
      <formula>T$9&gt;=20/24</formula>
    </cfRule>
    <cfRule type="expression" dxfId="1603" priority="214">
      <formula>AND(T$9&gt;=14/24,T$9&lt;20/24)</formula>
    </cfRule>
    <cfRule type="expression" dxfId="1602" priority="215">
      <formula>AND(T$9&gt;=8/24,T$9&lt;14/24)</formula>
    </cfRule>
    <cfRule type="expression" dxfId="1601" priority="216">
      <formula>T$9&lt;8/24</formula>
    </cfRule>
  </conditionalFormatting>
  <conditionalFormatting sqref="C98:P98">
    <cfRule type="expression" dxfId="1600" priority="209">
      <formula>C$9&gt;=20/24</formula>
    </cfRule>
    <cfRule type="expression" dxfId="1599" priority="210">
      <formula>AND(C$9&gt;=14/24,C$9&lt;20/24)</formula>
    </cfRule>
    <cfRule type="expression" dxfId="1598" priority="211">
      <formula>AND(C$9&gt;=8/24,C$9&lt;14/24)</formula>
    </cfRule>
    <cfRule type="expression" dxfId="1597" priority="212">
      <formula>C$9&lt;8/24</formula>
    </cfRule>
  </conditionalFormatting>
  <conditionalFormatting sqref="Q98:S98">
    <cfRule type="expression" dxfId="1596" priority="205">
      <formula>Q$9&gt;=20/24</formula>
    </cfRule>
    <cfRule type="expression" dxfId="1595" priority="206">
      <formula>AND(Q$9&gt;=14/24,Q$9&lt;20/24)</formula>
    </cfRule>
    <cfRule type="expression" dxfId="1594" priority="207">
      <formula>AND(Q$9&gt;=8/24,Q$9&lt;14/24)</formula>
    </cfRule>
    <cfRule type="expression" dxfId="1593" priority="208">
      <formula>Q$9&lt;8/24</formula>
    </cfRule>
  </conditionalFormatting>
  <conditionalFormatting sqref="T98:V98">
    <cfRule type="expression" dxfId="1592" priority="201">
      <formula>T$9&gt;=20/24</formula>
    </cfRule>
    <cfRule type="expression" dxfId="1591" priority="202">
      <formula>AND(T$9&gt;=14/24,T$9&lt;20/24)</formula>
    </cfRule>
    <cfRule type="expression" dxfId="1590" priority="203">
      <formula>AND(T$9&gt;=8/24,T$9&lt;14/24)</formula>
    </cfRule>
    <cfRule type="expression" dxfId="1589" priority="204">
      <formula>T$9&lt;8/24</formula>
    </cfRule>
  </conditionalFormatting>
  <conditionalFormatting sqref="M94:P94">
    <cfRule type="expression" dxfId="1588" priority="197">
      <formula>M$9&gt;=20/24</formula>
    </cfRule>
    <cfRule type="expression" dxfId="1587" priority="198">
      <formula>AND(M$9&gt;=14/24,M$9&lt;20/24)</formula>
    </cfRule>
    <cfRule type="expression" dxfId="1586" priority="199">
      <formula>AND(M$9&gt;=8/24,M$9&lt;14/24)</formula>
    </cfRule>
    <cfRule type="expression" dxfId="1585" priority="200">
      <formula>M$9&lt;8/24</formula>
    </cfRule>
  </conditionalFormatting>
  <conditionalFormatting sqref="G94:L94">
    <cfRule type="expression" dxfId="1584" priority="193">
      <formula>G$9&gt;=20/24</formula>
    </cfRule>
    <cfRule type="expression" dxfId="1583" priority="194">
      <formula>AND(G$9&gt;=14/24,G$9&lt;20/24)</formula>
    </cfRule>
    <cfRule type="expression" dxfId="1582" priority="195">
      <formula>AND(G$9&gt;=8/24,G$9&lt;14/24)</formula>
    </cfRule>
    <cfRule type="expression" dxfId="1581" priority="196">
      <formula>G$9&lt;8/24</formula>
    </cfRule>
  </conditionalFormatting>
  <conditionalFormatting sqref="W94">
    <cfRule type="expression" dxfId="1580" priority="189">
      <formula>W$9&gt;=20/24</formula>
    </cfRule>
    <cfRule type="expression" dxfId="1579" priority="190">
      <formula>AND(W$9&gt;=14/24,W$9&lt;20/24)</formula>
    </cfRule>
    <cfRule type="expression" dxfId="1578" priority="191">
      <formula>AND(W$9&gt;=8/24,W$9&lt;14/24)</formula>
    </cfRule>
    <cfRule type="expression" dxfId="1577" priority="192">
      <formula>W$9&lt;8/24</formula>
    </cfRule>
  </conditionalFormatting>
  <conditionalFormatting sqref="Q94:V94">
    <cfRule type="expression" dxfId="1576" priority="185">
      <formula>Q$9&gt;=20/24</formula>
    </cfRule>
    <cfRule type="expression" dxfId="1575" priority="186">
      <formula>AND(Q$9&gt;=14/24,Q$9&lt;20/24)</formula>
    </cfRule>
    <cfRule type="expression" dxfId="1574" priority="187">
      <formula>AND(Q$9&gt;=8/24,Q$9&lt;14/24)</formula>
    </cfRule>
    <cfRule type="expression" dxfId="1573" priority="188">
      <formula>Q$9&lt;8/24</formula>
    </cfRule>
  </conditionalFormatting>
  <conditionalFormatting sqref="W99:X99">
    <cfRule type="expression" dxfId="1572" priority="181">
      <formula>W$9&gt;=20/24</formula>
    </cfRule>
    <cfRule type="expression" dxfId="1571" priority="182">
      <formula>AND(W$9&gt;=14/24,W$9&lt;20/24)</formula>
    </cfRule>
    <cfRule type="expression" dxfId="1570" priority="183">
      <formula>AND(W$9&gt;=8/24,W$9&lt;14/24)</formula>
    </cfRule>
    <cfRule type="expression" dxfId="1569" priority="184">
      <formula>W$9&lt;8/24</formula>
    </cfRule>
  </conditionalFormatting>
  <conditionalFormatting sqref="C99:P99">
    <cfRule type="expression" dxfId="1568" priority="177">
      <formula>C$9&gt;=20/24</formula>
    </cfRule>
    <cfRule type="expression" dxfId="1567" priority="178">
      <formula>AND(C$9&gt;=14/24,C$9&lt;20/24)</formula>
    </cfRule>
    <cfRule type="expression" dxfId="1566" priority="179">
      <formula>AND(C$9&gt;=8/24,C$9&lt;14/24)</formula>
    </cfRule>
    <cfRule type="expression" dxfId="1565" priority="180">
      <formula>C$9&lt;8/24</formula>
    </cfRule>
  </conditionalFormatting>
  <conditionalFormatting sqref="Q99:S99">
    <cfRule type="expression" dxfId="1564" priority="173">
      <formula>Q$9&gt;=20/24</formula>
    </cfRule>
    <cfRule type="expression" dxfId="1563" priority="174">
      <formula>AND(Q$9&gt;=14/24,Q$9&lt;20/24)</formula>
    </cfRule>
    <cfRule type="expression" dxfId="1562" priority="175">
      <formula>AND(Q$9&gt;=8/24,Q$9&lt;14/24)</formula>
    </cfRule>
    <cfRule type="expression" dxfId="1561" priority="176">
      <formula>Q$9&lt;8/24</formula>
    </cfRule>
  </conditionalFormatting>
  <conditionalFormatting sqref="T99:V99">
    <cfRule type="expression" dxfId="1560" priority="169">
      <formula>T$9&gt;=20/24</formula>
    </cfRule>
    <cfRule type="expression" dxfId="1559" priority="170">
      <formula>AND(T$9&gt;=14/24,T$9&lt;20/24)</formula>
    </cfRule>
    <cfRule type="expression" dxfId="1558" priority="171">
      <formula>AND(T$9&gt;=8/24,T$9&lt;14/24)</formula>
    </cfRule>
    <cfRule type="expression" dxfId="1557" priority="172">
      <formula>T$9&lt;8/24</formula>
    </cfRule>
  </conditionalFormatting>
  <conditionalFormatting sqref="AL33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556" priority="386">
      <formula>C$9&gt;=20/24</formula>
    </cfRule>
    <cfRule type="expression" dxfId="1555" priority="387">
      <formula>AND(C$9&gt;=14/24,C$9&lt;20/24)</formula>
    </cfRule>
    <cfRule type="expression" dxfId="1554" priority="388">
      <formula>AND(C$9&gt;=8/24,C$9&lt;14/24)</formula>
    </cfRule>
    <cfRule type="expression" dxfId="1553" priority="389">
      <formula>C$9&lt;8/24</formula>
    </cfRule>
  </conditionalFormatting>
  <conditionalFormatting sqref="A200">
    <cfRule type="expression" dxfId="1552" priority="390">
      <formula>$AH200=0</formula>
    </cfRule>
  </conditionalFormatting>
  <conditionalFormatting sqref="AG212">
    <cfRule type="expression" dxfId="1551" priority="391">
      <formula>B$9&gt;=20/24</formula>
    </cfRule>
    <cfRule type="expression" dxfId="1550" priority="392">
      <formula>AND(B$9&gt;=14/24,B$9&lt;20/24)</formula>
    </cfRule>
    <cfRule type="expression" dxfId="1549" priority="393">
      <formula>AND(B$9&gt;=8/24,B$9&lt;14/24)</formula>
    </cfRule>
    <cfRule type="expression" dxfId="1548" priority="394">
      <formula>B$9&lt;8/24</formula>
    </cfRule>
  </conditionalFormatting>
  <conditionalFormatting sqref="S8">
    <cfRule type="expression" dxfId="1547" priority="147">
      <formula>U$9&gt;=20/24</formula>
    </cfRule>
    <cfRule type="expression" dxfId="1546" priority="148">
      <formula>AND(U$9&gt;=14/24,U$9&lt;20/24)</formula>
    </cfRule>
    <cfRule type="expression" dxfId="1545" priority="149">
      <formula>AND(U$9&gt;=8/24,U$9&lt;14/24)</formula>
    </cfRule>
    <cfRule type="expression" dxfId="1544" priority="150">
      <formula>U$9&lt;8/24</formula>
    </cfRule>
  </conditionalFormatting>
  <conditionalFormatting sqref="AB8">
    <cfRule type="expression" dxfId="1543" priority="143">
      <formula>AD$9&gt;=20/24</formula>
    </cfRule>
    <cfRule type="expression" dxfId="1542" priority="144">
      <formula>AND(AD$9&gt;=14/24,AD$9&lt;20/24)</formula>
    </cfRule>
    <cfRule type="expression" dxfId="1541" priority="145">
      <formula>AND(AD$9&gt;=8/24,AD$9&lt;14/24)</formula>
    </cfRule>
    <cfRule type="expression" dxfId="1540" priority="146">
      <formula>AD$9&lt;8/24</formula>
    </cfRule>
  </conditionalFormatting>
  <conditionalFormatting sqref="AH212:AX212">
    <cfRule type="expression" dxfId="1539" priority="395">
      <formula>AG$9&gt;=20/24</formula>
    </cfRule>
    <cfRule type="expression" dxfId="1538" priority="396">
      <formula>AND(AG$9&gt;=14/24,AG$9&lt;20/24)</formula>
    </cfRule>
    <cfRule type="expression" dxfId="1537" priority="397">
      <formula>AND(AG$9&gt;=8/24,AG$9&lt;14/24)</formula>
    </cfRule>
    <cfRule type="expression" dxfId="1536" priority="398">
      <formula>AG$9&lt;8/24</formula>
    </cfRule>
  </conditionalFormatting>
  <conditionalFormatting sqref="T212">
    <cfRule type="expression" dxfId="1535" priority="399">
      <formula>AX$9&gt;=20/24</formula>
    </cfRule>
    <cfRule type="expression" dxfId="1534" priority="400">
      <formula>AND(AX$9&gt;=14/24,AX$9&lt;20/24)</formula>
    </cfRule>
    <cfRule type="expression" dxfId="1533" priority="401">
      <formula>AND(AX$9&gt;=8/24,AX$9&lt;14/24)</formula>
    </cfRule>
    <cfRule type="expression" dxfId="1532" priority="402">
      <formula>AX$9&lt;8/24</formula>
    </cfRule>
  </conditionalFormatting>
  <conditionalFormatting sqref="A99">
    <cfRule type="expression" dxfId="1531" priority="142">
      <formula>$AH99=0</formula>
    </cfRule>
  </conditionalFormatting>
  <conditionalFormatting sqref="B94:B99 B53:B91 B36:X36 B18:X30">
    <cfRule type="expression" dxfId="1530" priority="125">
      <formula>B$9&gt;=20/24</formula>
    </cfRule>
    <cfRule type="expression" dxfId="1529" priority="126">
      <formula>AND(B$9&gt;=14/24,B$9&lt;20/24)</formula>
    </cfRule>
    <cfRule type="expression" dxfId="1528" priority="127">
      <formula>AND(B$9&gt;=8/24,B$9&lt;14/24)</formula>
    </cfRule>
    <cfRule type="expression" dxfId="1527" priority="128">
      <formula>B$9&lt;8/24</formula>
    </cfRule>
  </conditionalFormatting>
  <conditionalFormatting sqref="B37:E37">
    <cfRule type="expression" dxfId="1526" priority="121">
      <formula>B$9&gt;=20/24</formula>
    </cfRule>
    <cfRule type="expression" dxfId="1525" priority="122">
      <formula>AND(B$9&gt;=14/24,B$9&lt;20/24)</formula>
    </cfRule>
    <cfRule type="expression" dxfId="1524" priority="123">
      <formula>AND(B$9&gt;=8/24,B$9&lt;14/24)</formula>
    </cfRule>
    <cfRule type="expression" dxfId="1523" priority="124">
      <formula>B$9&lt;8/24</formula>
    </cfRule>
  </conditionalFormatting>
  <conditionalFormatting sqref="B31:X32 B35:X35">
    <cfRule type="expression" dxfId="1522" priority="117">
      <formula>B$9&gt;=20/24</formula>
    </cfRule>
    <cfRule type="expression" dxfId="1521" priority="118">
      <formula>AND(B$9&gt;=14/24,B$9&lt;20/24)</formula>
    </cfRule>
    <cfRule type="expression" dxfId="1520" priority="119">
      <formula>AND(B$9&gt;=8/24,B$9&lt;14/24)</formula>
    </cfRule>
    <cfRule type="expression" dxfId="1519" priority="120">
      <formula>B$9&lt;8/24</formula>
    </cfRule>
  </conditionalFormatting>
  <conditionalFormatting sqref="B34:B56 C34:E37 B18:X32 F34:X36">
    <cfRule type="expression" dxfId="1518" priority="116">
      <formula>B18&gt;$AG18</formula>
    </cfRule>
  </conditionalFormatting>
  <conditionalFormatting sqref="B34:X34">
    <cfRule type="expression" dxfId="1517" priority="112">
      <formula>B$9&gt;=20/24</formula>
    </cfRule>
    <cfRule type="expression" dxfId="1516" priority="113">
      <formula>AND(B$9&gt;=14/24,B$9&lt;20/24)</formula>
    </cfRule>
    <cfRule type="expression" dxfId="1515" priority="114">
      <formula>AND(B$9&gt;=8/24,B$9&lt;14/24)</formula>
    </cfRule>
    <cfRule type="expression" dxfId="1514" priority="115">
      <formula>B$9&lt;8/24</formula>
    </cfRule>
  </conditionalFormatting>
  <conditionalFormatting sqref="B12:Q16 R15:X16">
    <cfRule type="expression" dxfId="1513" priority="108">
      <formula>B$9&gt;=20/24</formula>
    </cfRule>
    <cfRule type="expression" dxfId="1512" priority="109">
      <formula>AND(B$9&gt;=14/24,B$9&lt;20/24)</formula>
    </cfRule>
    <cfRule type="expression" dxfId="1511" priority="110">
      <formula>AND(B$9&gt;=8/24,B$9&lt;14/24)</formula>
    </cfRule>
    <cfRule type="expression" dxfId="1510" priority="111">
      <formula>B$9&lt;8/24</formula>
    </cfRule>
  </conditionalFormatting>
  <conditionalFormatting sqref="B17:X17">
    <cfRule type="expression" dxfId="1509" priority="104">
      <formula>B$9&gt;=20/24</formula>
    </cfRule>
    <cfRule type="expression" dxfId="1508" priority="105">
      <formula>AND(B$9&gt;=14/24,B$9&lt;20/24)</formula>
    </cfRule>
    <cfRule type="expression" dxfId="1507" priority="106">
      <formula>AND(B$9&gt;=8/24,B$9&lt;14/24)</formula>
    </cfRule>
    <cfRule type="expression" dxfId="1506" priority="107">
      <formula>B$9&lt;8/24</formula>
    </cfRule>
  </conditionalFormatting>
  <conditionalFormatting sqref="B12:Q13">
    <cfRule type="expression" dxfId="1505" priority="100">
      <formula>B$9&gt;=20/24</formula>
    </cfRule>
    <cfRule type="expression" dxfId="1504" priority="101">
      <formula>AND(B$9&gt;=14/24,B$9&lt;20/24)</formula>
    </cfRule>
    <cfRule type="expression" dxfId="1503" priority="102">
      <formula>AND(B$9&gt;=8/24,B$9&lt;14/24)</formula>
    </cfRule>
    <cfRule type="expression" dxfId="1502" priority="103">
      <formula>B$9&lt;8/24</formula>
    </cfRule>
  </conditionalFormatting>
  <conditionalFormatting sqref="B33:X33">
    <cfRule type="expression" dxfId="1501" priority="96">
      <formula>B$9&gt;=20/24</formula>
    </cfRule>
    <cfRule type="expression" dxfId="1500" priority="97">
      <formula>AND(B$9&gt;=14/24,B$9&lt;20/24)</formula>
    </cfRule>
    <cfRule type="expression" dxfId="1499" priority="98">
      <formula>AND(B$9&gt;=8/24,B$9&lt;14/24)</formula>
    </cfRule>
    <cfRule type="expression" dxfId="1498" priority="99">
      <formula>B$9&lt;8/24</formula>
    </cfRule>
  </conditionalFormatting>
  <conditionalFormatting sqref="B33:X33">
    <cfRule type="expression" dxfId="1497" priority="95">
      <formula>B33&gt;$AG33</formula>
    </cfRule>
  </conditionalFormatting>
  <conditionalFormatting sqref="F99">
    <cfRule type="expression" dxfId="1496" priority="91">
      <formula>F$9&gt;=20/24</formula>
    </cfRule>
    <cfRule type="expression" dxfId="1495" priority="92">
      <formula>AND(F$9&gt;=14/24,F$9&lt;20/24)</formula>
    </cfRule>
    <cfRule type="expression" dxfId="1494" priority="93">
      <formula>AND(F$9&gt;=8/24,F$9&lt;14/24)</formula>
    </cfRule>
    <cfRule type="expression" dxfId="1493" priority="94">
      <formula>F$9&lt;8/24</formula>
    </cfRule>
  </conditionalFormatting>
  <conditionalFormatting sqref="M37">
    <cfRule type="expression" dxfId="1492" priority="87">
      <formula>M$9&gt;=20/24</formula>
    </cfRule>
    <cfRule type="expression" dxfId="1491" priority="88">
      <formula>AND(M$9&gt;=14/24,M$9&lt;20/24)</formula>
    </cfRule>
    <cfRule type="expression" dxfId="1490" priority="89">
      <formula>AND(M$9&gt;=8/24,M$9&lt;14/24)</formula>
    </cfRule>
    <cfRule type="expression" dxfId="1489" priority="90">
      <formula>M$9&lt;8/24</formula>
    </cfRule>
  </conditionalFormatting>
  <conditionalFormatting sqref="Y11:AF11 Y18:AF30 Y36:AF36">
    <cfRule type="expression" dxfId="1488" priority="83">
      <formula>Y$9&gt;=20/24</formula>
    </cfRule>
    <cfRule type="expression" dxfId="1487" priority="84">
      <formula>AND(Y$9&gt;=14/24,Y$9&lt;20/24)</formula>
    </cfRule>
    <cfRule type="expression" dxfId="1486" priority="85">
      <formula>AND(Y$9&gt;=8/24,Y$9&lt;14/24)</formula>
    </cfRule>
    <cfRule type="expression" dxfId="1485" priority="86">
      <formula>Y$9&lt;8/24</formula>
    </cfRule>
  </conditionalFormatting>
  <conditionalFormatting sqref="Y37:AF37">
    <cfRule type="expression" dxfId="1484" priority="79">
      <formula>Y$9&gt;=20/24</formula>
    </cfRule>
    <cfRule type="expression" dxfId="1483" priority="80">
      <formula>AND(Y$9&gt;=14/24,Y$9&lt;20/24)</formula>
    </cfRule>
    <cfRule type="expression" dxfId="1482" priority="81">
      <formula>AND(Y$9&gt;=8/24,Y$9&lt;14/24)</formula>
    </cfRule>
    <cfRule type="expression" dxfId="1481" priority="82">
      <formula>Y$9&lt;8/24</formula>
    </cfRule>
  </conditionalFormatting>
  <conditionalFormatting sqref="Y31:AF32 Y35:AF35">
    <cfRule type="expression" dxfId="1480" priority="75">
      <formula>Y$9&gt;=20/24</formula>
    </cfRule>
    <cfRule type="expression" dxfId="1479" priority="76">
      <formula>AND(Y$9&gt;=14/24,Y$9&lt;20/24)</formula>
    </cfRule>
    <cfRule type="expression" dxfId="1478" priority="77">
      <formula>AND(Y$9&gt;=8/24,Y$9&lt;14/24)</formula>
    </cfRule>
    <cfRule type="expression" dxfId="1477" priority="78">
      <formula>Y$9&lt;8/24</formula>
    </cfRule>
  </conditionalFormatting>
  <conditionalFormatting sqref="Y11:AF11 Y34:AF37 Y18:AF32">
    <cfRule type="expression" dxfId="1476" priority="74">
      <formula>Y11&gt;$AG11</formula>
    </cfRule>
  </conditionalFormatting>
  <conditionalFormatting sqref="Y34:AF34">
    <cfRule type="expression" dxfId="1475" priority="70">
      <formula>Y$9&gt;=20/24</formula>
    </cfRule>
    <cfRule type="expression" dxfId="1474" priority="71">
      <formula>AND(Y$9&gt;=14/24,Y$9&lt;20/24)</formula>
    </cfRule>
    <cfRule type="expression" dxfId="1473" priority="72">
      <formula>AND(Y$9&gt;=8/24,Y$9&lt;14/24)</formula>
    </cfRule>
    <cfRule type="expression" dxfId="1472" priority="73">
      <formula>Y$9&lt;8/24</formula>
    </cfRule>
  </conditionalFormatting>
  <conditionalFormatting sqref="Y12:AF16">
    <cfRule type="expression" dxfId="1471" priority="66">
      <formula>Y$9&gt;=20/24</formula>
    </cfRule>
    <cfRule type="expression" dxfId="1470" priority="67">
      <formula>AND(Y$9&gt;=14/24,Y$9&lt;20/24)</formula>
    </cfRule>
    <cfRule type="expression" dxfId="1469" priority="68">
      <formula>AND(Y$9&gt;=8/24,Y$9&lt;14/24)</formula>
    </cfRule>
    <cfRule type="expression" dxfId="1468" priority="69">
      <formula>Y$9&lt;8/24</formula>
    </cfRule>
  </conditionalFormatting>
  <conditionalFormatting sqref="Y17:AF17">
    <cfRule type="expression" dxfId="1467" priority="62">
      <formula>Y$9&gt;=20/24</formula>
    </cfRule>
    <cfRule type="expression" dxfId="1466" priority="63">
      <formula>AND(Y$9&gt;=14/24,Y$9&lt;20/24)</formula>
    </cfRule>
    <cfRule type="expression" dxfId="1465" priority="64">
      <formula>AND(Y$9&gt;=8/24,Y$9&lt;14/24)</formula>
    </cfRule>
    <cfRule type="expression" dxfId="1464" priority="65">
      <formula>Y$9&lt;8/24</formula>
    </cfRule>
  </conditionalFormatting>
  <conditionalFormatting sqref="Y12:AF13">
    <cfRule type="expression" dxfId="1463" priority="58">
      <formula>Y$9&gt;=20/24</formula>
    </cfRule>
    <cfRule type="expression" dxfId="1462" priority="59">
      <formula>AND(Y$9&gt;=14/24,Y$9&lt;20/24)</formula>
    </cfRule>
    <cfRule type="expression" dxfId="1461" priority="60">
      <formula>AND(Y$9&gt;=8/24,Y$9&lt;14/24)</formula>
    </cfRule>
    <cfRule type="expression" dxfId="1460" priority="61">
      <formula>Y$9&lt;8/24</formula>
    </cfRule>
  </conditionalFormatting>
  <conditionalFormatting sqref="Y33:AF33">
    <cfRule type="expression" dxfId="1459" priority="54">
      <formula>Y$9&gt;=20/24</formula>
    </cfRule>
    <cfRule type="expression" dxfId="1458" priority="55">
      <formula>AND(Y$9&gt;=14/24,Y$9&lt;20/24)</formula>
    </cfRule>
    <cfRule type="expression" dxfId="1457" priority="56">
      <formula>AND(Y$9&gt;=8/24,Y$9&lt;14/24)</formula>
    </cfRule>
    <cfRule type="expression" dxfId="1456" priority="57">
      <formula>Y$9&lt;8/24</formula>
    </cfRule>
  </conditionalFormatting>
  <conditionalFormatting sqref="Y33:AF33">
    <cfRule type="expression" dxfId="1455" priority="53">
      <formula>Y33&gt;$AG33</formula>
    </cfRule>
  </conditionalFormatting>
  <conditionalFormatting sqref="Y43:AE43">
    <cfRule type="expression" dxfId="1454" priority="49">
      <formula>Y$9&gt;=20/24</formula>
    </cfRule>
    <cfRule type="expression" dxfId="1453" priority="50">
      <formula>AND(Y$9&gt;=14/24,Y$9&lt;20/24)</formula>
    </cfRule>
    <cfRule type="expression" dxfId="1452" priority="51">
      <formula>AND(Y$9&gt;=8/24,Y$9&lt;14/24)</formula>
    </cfRule>
    <cfRule type="expression" dxfId="1451" priority="52">
      <formula>Y$9&lt;8/24</formula>
    </cfRule>
  </conditionalFormatting>
  <conditionalFormatting sqref="Y49:AF49">
    <cfRule type="expression" dxfId="1450" priority="45">
      <formula>Y$9&gt;=20/24</formula>
    </cfRule>
    <cfRule type="expression" dxfId="1449" priority="46">
      <formula>AND(Y$9&gt;=14/24,Y$9&lt;20/24)</formula>
    </cfRule>
    <cfRule type="expression" dxfId="1448" priority="47">
      <formula>AND(Y$9&gt;=8/24,Y$9&lt;14/24)</formula>
    </cfRule>
    <cfRule type="expression" dxfId="1447" priority="48">
      <formula>Y$9&lt;8/24</formula>
    </cfRule>
  </conditionalFormatting>
  <conditionalFormatting sqref="Y50:AF50">
    <cfRule type="expression" dxfId="1446" priority="41">
      <formula>Y$9&gt;=20/24</formula>
    </cfRule>
    <cfRule type="expression" dxfId="1445" priority="42">
      <formula>AND(Y$9&gt;=14/24,Y$9&lt;20/24)</formula>
    </cfRule>
    <cfRule type="expression" dxfId="1444" priority="43">
      <formula>AND(Y$9&gt;=8/24,Y$9&lt;14/24)</formula>
    </cfRule>
    <cfRule type="expression" dxfId="1443" priority="44">
      <formula>Y$9&lt;8/24</formula>
    </cfRule>
  </conditionalFormatting>
  <conditionalFormatting sqref="Y45:AF48">
    <cfRule type="expression" dxfId="1442" priority="37">
      <formula>Y$9&gt;=20/24</formula>
    </cfRule>
    <cfRule type="expression" dxfId="1441" priority="38">
      <formula>AND(Y$9&gt;=14/24,Y$9&lt;20/24)</formula>
    </cfRule>
    <cfRule type="expression" dxfId="1440" priority="39">
      <formula>AND(Y$9&gt;=8/24,Y$9&lt;14/24)</formula>
    </cfRule>
    <cfRule type="expression" dxfId="1439" priority="40">
      <formula>Y$9&lt;8/24</formula>
    </cfRule>
  </conditionalFormatting>
  <conditionalFormatting sqref="Y44:AF44">
    <cfRule type="expression" dxfId="1438" priority="33">
      <formula>Y$9&gt;=20/24</formula>
    </cfRule>
    <cfRule type="expression" dxfId="1437" priority="34">
      <formula>AND(Y$9&gt;=14/24,Y$9&lt;20/24)</formula>
    </cfRule>
    <cfRule type="expression" dxfId="1436" priority="35">
      <formula>AND(Y$9&gt;=8/24,Y$9&lt;14/24)</formula>
    </cfRule>
    <cfRule type="expression" dxfId="1435" priority="36">
      <formula>Y$9&lt;8/24</formula>
    </cfRule>
  </conditionalFormatting>
  <conditionalFormatting sqref="Y58:AE67">
    <cfRule type="expression" dxfId="1434" priority="29">
      <formula>Y$9&gt;=20/24</formula>
    </cfRule>
    <cfRule type="expression" dxfId="1433" priority="30">
      <formula>AND(Y$9&gt;=14/24,Y$9&lt;20/24)</formula>
    </cfRule>
    <cfRule type="expression" dxfId="1432" priority="31">
      <formula>AND(Y$9&gt;=8/24,Y$9&lt;14/24)</formula>
    </cfRule>
    <cfRule type="expression" dxfId="1431" priority="32">
      <formula>Y$9&lt;8/24</formula>
    </cfRule>
  </conditionalFormatting>
  <conditionalFormatting sqref="Y57:AE57">
    <cfRule type="expression" dxfId="1430" priority="25">
      <formula>Y$9&gt;=20/24</formula>
    </cfRule>
    <cfRule type="expression" dxfId="1429" priority="26">
      <formula>AND(Y$9&gt;=14/24,Y$9&lt;20/24)</formula>
    </cfRule>
    <cfRule type="expression" dxfId="1428" priority="27">
      <formula>AND(Y$9&gt;=8/24,Y$9&lt;14/24)</formula>
    </cfRule>
    <cfRule type="expression" dxfId="1427" priority="28">
      <formula>Y$9&lt;8/24</formula>
    </cfRule>
  </conditionalFormatting>
  <conditionalFormatting sqref="Y85:AE91">
    <cfRule type="expression" dxfId="1426" priority="21">
      <formula>Y$9&gt;=20/24</formula>
    </cfRule>
    <cfRule type="expression" dxfId="1425" priority="22">
      <formula>AND(Y$9&gt;=14/24,Y$9&lt;20/24)</formula>
    </cfRule>
    <cfRule type="expression" dxfId="1424" priority="23">
      <formula>AND(Y$9&gt;=8/24,Y$9&lt;14/24)</formula>
    </cfRule>
    <cfRule type="expression" dxfId="1423" priority="24">
      <formula>Y$9&lt;8/24</formula>
    </cfRule>
  </conditionalFormatting>
  <conditionalFormatting sqref="Y84:AE84">
    <cfRule type="expression" dxfId="1422" priority="17">
      <formula>Y$9&gt;=20/24</formula>
    </cfRule>
    <cfRule type="expression" dxfId="1421" priority="18">
      <formula>AND(Y$9&gt;=14/24,Y$9&lt;20/24)</formula>
    </cfRule>
    <cfRule type="expression" dxfId="1420" priority="19">
      <formula>AND(Y$9&gt;=8/24,Y$9&lt;14/24)</formula>
    </cfRule>
    <cfRule type="expression" dxfId="1419" priority="20">
      <formula>Y$9&lt;8/24</formula>
    </cfRule>
  </conditionalFormatting>
  <conditionalFormatting sqref="Y94:AB97">
    <cfRule type="expression" dxfId="1418" priority="13">
      <formula>Y$9&gt;=20/24</formula>
    </cfRule>
    <cfRule type="expression" dxfId="1417" priority="14">
      <formula>AND(Y$9&gt;=14/24,Y$9&lt;20/24)</formula>
    </cfRule>
    <cfRule type="expression" dxfId="1416" priority="15">
      <formula>AND(Y$9&gt;=8/24,Y$9&lt;14/24)</formula>
    </cfRule>
    <cfRule type="expression" dxfId="1415" priority="16">
      <formula>Y$9&lt;8/24</formula>
    </cfRule>
  </conditionalFormatting>
  <conditionalFormatting sqref="Y98:AB98">
    <cfRule type="expression" dxfId="1414" priority="9">
      <formula>Y$9&gt;=20/24</formula>
    </cfRule>
    <cfRule type="expression" dxfId="1413" priority="10">
      <formula>AND(Y$9&gt;=14/24,Y$9&lt;20/24)</formula>
    </cfRule>
    <cfRule type="expression" dxfId="1412" priority="11">
      <formula>AND(Y$9&gt;=8/24,Y$9&lt;14/24)</formula>
    </cfRule>
    <cfRule type="expression" dxfId="1411" priority="12">
      <formula>Y$9&lt;8/24</formula>
    </cfRule>
  </conditionalFormatting>
  <conditionalFormatting sqref="Y94:AB94">
    <cfRule type="expression" dxfId="1410" priority="5">
      <formula>Y$9&gt;=20/24</formula>
    </cfRule>
    <cfRule type="expression" dxfId="1409" priority="6">
      <formula>AND(Y$9&gt;=14/24,Y$9&lt;20/24)</formula>
    </cfRule>
    <cfRule type="expression" dxfId="1408" priority="7">
      <formula>AND(Y$9&gt;=8/24,Y$9&lt;14/24)</formula>
    </cfRule>
    <cfRule type="expression" dxfId="1407" priority="8">
      <formula>Y$9&lt;8/24</formula>
    </cfRule>
  </conditionalFormatting>
  <conditionalFormatting sqref="Y99:AB99">
    <cfRule type="expression" dxfId="1406" priority="1">
      <formula>Y$9&gt;=20/24</formula>
    </cfRule>
    <cfRule type="expression" dxfId="1405" priority="2">
      <formula>AND(Y$9&gt;=14/24,Y$9&lt;20/24)</formula>
    </cfRule>
    <cfRule type="expression" dxfId="1404" priority="3">
      <formula>AND(Y$9&gt;=8/24,Y$9&lt;14/24)</formula>
    </cfRule>
    <cfRule type="expression" dxfId="1403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2" id="{E1CB365D-A76F-43F4-9950-ECE1B60A0B8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B11" activePane="bottomRight" state="frozen"/>
      <selection activeCell="AD20" sqref="AD20"/>
      <selection pane="topRight" activeCell="AD20" sqref="AD20"/>
      <selection pane="bottomLeft" activeCell="AD20" sqref="AD20"/>
      <selection pane="bottomRight" activeCell="AB9" sqref="AB9:AB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9.140625" customWidth="1"/>
    <col min="12" max="13" width="6.425781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2078/09/28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213.3</v>
      </c>
      <c r="C5" s="32">
        <f t="shared" si="0"/>
        <v>285</v>
      </c>
      <c r="D5" s="32">
        <f t="shared" si="0"/>
        <v>276</v>
      </c>
      <c r="E5" s="32">
        <f t="shared" si="0"/>
        <v>249.9</v>
      </c>
      <c r="F5" s="32">
        <f t="shared" si="0"/>
        <v>285.7</v>
      </c>
      <c r="G5" s="32">
        <f t="shared" si="0"/>
        <v>325.5</v>
      </c>
      <c r="H5" s="32">
        <f t="shared" si="0"/>
        <v>354.79999999999995</v>
      </c>
      <c r="I5" s="32">
        <f t="shared" si="0"/>
        <v>399.7</v>
      </c>
      <c r="J5" s="32">
        <f t="shared" si="0"/>
        <v>183.3</v>
      </c>
      <c r="K5" s="32">
        <f t="shared" si="0"/>
        <v>192</v>
      </c>
      <c r="L5" s="32">
        <f t="shared" si="0"/>
        <v>227.70000000000002</v>
      </c>
      <c r="M5" s="32">
        <f t="shared" si="0"/>
        <v>266.90000000000003</v>
      </c>
      <c r="N5" s="32">
        <f t="shared" si="0"/>
        <v>420.20000000000005</v>
      </c>
      <c r="O5" s="32">
        <f t="shared" si="0"/>
        <v>444.3</v>
      </c>
      <c r="P5" s="32">
        <f t="shared" si="0"/>
        <v>426.1</v>
      </c>
      <c r="Q5" s="32">
        <f t="shared" si="0"/>
        <v>494.5</v>
      </c>
      <c r="R5" s="32">
        <f t="shared" si="0"/>
        <v>455</v>
      </c>
      <c r="S5" s="32">
        <f t="shared" si="0"/>
        <v>526.6</v>
      </c>
      <c r="T5" s="32">
        <f t="shared" si="0"/>
        <v>519.20000000000005</v>
      </c>
      <c r="U5" s="32">
        <f t="shared" si="0"/>
        <v>526.6</v>
      </c>
      <c r="V5" s="32">
        <f t="shared" si="0"/>
        <v>357.9</v>
      </c>
      <c r="W5" s="32">
        <f t="shared" si="0"/>
        <v>213.4</v>
      </c>
      <c r="X5" s="32">
        <f t="shared" si="0"/>
        <v>207.3</v>
      </c>
      <c r="Y5" s="32">
        <f t="shared" si="0"/>
        <v>199</v>
      </c>
      <c r="Z5" s="32">
        <f t="shared" si="0"/>
        <v>385</v>
      </c>
      <c r="AA5" s="32">
        <f t="shared" si="0"/>
        <v>425.29999999999995</v>
      </c>
      <c r="AB5" s="32">
        <f t="shared" si="0"/>
        <v>410.99999999999994</v>
      </c>
      <c r="AC5" s="32">
        <f t="shared" si="0"/>
        <v>442.09999999999997</v>
      </c>
      <c r="AD5" s="32">
        <f t="shared" si="0"/>
        <v>387.7</v>
      </c>
      <c r="AE5" s="32">
        <f t="shared" si="0"/>
        <v>307</v>
      </c>
      <c r="AF5" s="32">
        <f>B68</f>
        <v>199.10000000000002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1488MW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Load=883</v>
      </c>
      <c r="B7" s="37">
        <f>B75</f>
        <v>923.04000000000008</v>
      </c>
      <c r="C7" s="37">
        <f t="shared" ref="C7:AF7" si="1">C75</f>
        <v>900.54</v>
      </c>
      <c r="D7" s="37">
        <f t="shared" si="1"/>
        <v>884.14</v>
      </c>
      <c r="E7" s="37">
        <f t="shared" si="1"/>
        <v>882.74</v>
      </c>
      <c r="F7" s="37">
        <f t="shared" si="1"/>
        <v>888.33999999999992</v>
      </c>
      <c r="G7" s="37">
        <f t="shared" si="1"/>
        <v>929.33999999999992</v>
      </c>
      <c r="H7" s="37">
        <f t="shared" si="1"/>
        <v>1000.24</v>
      </c>
      <c r="I7" s="37">
        <f t="shared" si="1"/>
        <v>1072.74</v>
      </c>
      <c r="J7" s="37">
        <f t="shared" si="1"/>
        <v>1182.24</v>
      </c>
      <c r="K7" s="37">
        <f t="shared" si="1"/>
        <v>1299.04</v>
      </c>
      <c r="L7" s="37">
        <f t="shared" si="1"/>
        <v>1429.74</v>
      </c>
      <c r="M7" s="37">
        <f t="shared" si="1"/>
        <v>1487.6400000000003</v>
      </c>
      <c r="N7" s="37">
        <f t="shared" si="1"/>
        <v>1484.64</v>
      </c>
      <c r="O7" s="37">
        <f t="shared" si="1"/>
        <v>1398.7399999999998</v>
      </c>
      <c r="P7" s="37">
        <f t="shared" si="1"/>
        <v>1378.14</v>
      </c>
      <c r="Q7" s="37">
        <f t="shared" si="1"/>
        <v>1334.54</v>
      </c>
      <c r="R7" s="37">
        <f t="shared" si="1"/>
        <v>1327.94</v>
      </c>
      <c r="S7" s="37">
        <f t="shared" si="1"/>
        <v>1346.34</v>
      </c>
      <c r="T7" s="37">
        <f t="shared" si="1"/>
        <v>1342.64</v>
      </c>
      <c r="U7" s="37">
        <f t="shared" si="1"/>
        <v>1348.7400000000002</v>
      </c>
      <c r="V7" s="37">
        <f t="shared" si="1"/>
        <v>1335.8400000000001</v>
      </c>
      <c r="W7" s="37">
        <f t="shared" si="1"/>
        <v>1416.54</v>
      </c>
      <c r="X7" s="37">
        <f t="shared" si="1"/>
        <v>1521.6399999999999</v>
      </c>
      <c r="Y7" s="37">
        <f t="shared" si="1"/>
        <v>1568.84</v>
      </c>
      <c r="Z7" s="37">
        <f t="shared" si="1"/>
        <v>1474.54</v>
      </c>
      <c r="AA7" s="37">
        <f t="shared" si="1"/>
        <v>1525.54</v>
      </c>
      <c r="AB7" s="37">
        <f t="shared" si="1"/>
        <v>1457.74</v>
      </c>
      <c r="AC7" s="37">
        <f t="shared" si="1"/>
        <v>1282.44</v>
      </c>
      <c r="AD7" s="37">
        <f t="shared" si="1"/>
        <v>1215.3399999999999</v>
      </c>
      <c r="AE7" s="37">
        <f t="shared" si="1"/>
        <v>1033.04</v>
      </c>
      <c r="AF7" s="37">
        <f t="shared" si="1"/>
        <v>1023.74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90</v>
      </c>
      <c r="C11" s="49">
        <v>70</v>
      </c>
      <c r="D11" s="49">
        <v>15</v>
      </c>
      <c r="E11" s="49">
        <v>50</v>
      </c>
      <c r="F11" s="49">
        <v>60</v>
      </c>
      <c r="G11" s="49">
        <v>20</v>
      </c>
      <c r="H11" s="49">
        <v>20</v>
      </c>
      <c r="I11" s="49">
        <v>15</v>
      </c>
      <c r="J11" s="49">
        <v>35</v>
      </c>
      <c r="K11" s="49">
        <v>300</v>
      </c>
      <c r="L11" s="49">
        <v>330</v>
      </c>
      <c r="M11" s="50">
        <v>340</v>
      </c>
      <c r="N11" s="50">
        <v>300</v>
      </c>
      <c r="O11" s="50">
        <v>100</v>
      </c>
      <c r="P11" s="50">
        <v>70</v>
      </c>
      <c r="Q11" s="50">
        <v>80</v>
      </c>
      <c r="R11" s="51">
        <v>60</v>
      </c>
      <c r="S11" s="50">
        <v>60</v>
      </c>
      <c r="T11" s="50">
        <v>30</v>
      </c>
      <c r="U11" s="50">
        <v>50</v>
      </c>
      <c r="V11" s="50">
        <v>30</v>
      </c>
      <c r="W11" s="50">
        <v>210</v>
      </c>
      <c r="X11" s="50">
        <v>400</v>
      </c>
      <c r="Y11" s="50">
        <v>420</v>
      </c>
      <c r="Z11" s="52">
        <v>340</v>
      </c>
      <c r="AA11" s="50">
        <v>205</v>
      </c>
      <c r="AB11" s="50">
        <v>120</v>
      </c>
      <c r="AC11" s="50">
        <v>40</v>
      </c>
      <c r="AD11" s="50">
        <v>21</v>
      </c>
      <c r="AE11" s="50">
        <v>15</v>
      </c>
      <c r="AF11" s="50">
        <v>70</v>
      </c>
      <c r="AG11" s="53">
        <v>456</v>
      </c>
      <c r="AH11" s="54">
        <f>MAX(B11:AF11)</f>
        <v>420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42</v>
      </c>
      <c r="C12" s="58">
        <v>42</v>
      </c>
      <c r="D12" s="58">
        <v>42</v>
      </c>
      <c r="E12" s="58">
        <v>42</v>
      </c>
      <c r="F12" s="58">
        <v>42</v>
      </c>
      <c r="G12" s="58">
        <v>42</v>
      </c>
      <c r="H12" s="58">
        <v>42</v>
      </c>
      <c r="I12" s="58">
        <v>42</v>
      </c>
      <c r="J12" s="58">
        <v>42</v>
      </c>
      <c r="K12" s="58">
        <v>42</v>
      </c>
      <c r="L12" s="49">
        <v>42</v>
      </c>
      <c r="M12" s="49">
        <v>42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58">
        <v>42</v>
      </c>
      <c r="Z12" s="58">
        <v>42</v>
      </c>
      <c r="AA12" s="58">
        <v>42</v>
      </c>
      <c r="AB12" s="58">
        <v>40</v>
      </c>
      <c r="AC12" s="58">
        <v>40</v>
      </c>
      <c r="AD12" s="58">
        <v>40</v>
      </c>
      <c r="AE12" s="58">
        <v>40</v>
      </c>
      <c r="AF12" s="58">
        <v>40</v>
      </c>
      <c r="AG12" s="59">
        <v>60</v>
      </c>
      <c r="AH12" s="54">
        <f t="shared" ref="AH12:AH75" si="2">MAX(B12:AF12)</f>
        <v>42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23.1</v>
      </c>
      <c r="C13" s="58">
        <v>23.1</v>
      </c>
      <c r="D13" s="58">
        <v>23.1</v>
      </c>
      <c r="E13" s="58">
        <v>23.1</v>
      </c>
      <c r="F13" s="58">
        <v>24</v>
      </c>
      <c r="G13" s="58">
        <v>24</v>
      </c>
      <c r="H13" s="58">
        <v>24</v>
      </c>
      <c r="I13" s="58">
        <v>24</v>
      </c>
      <c r="J13" s="58">
        <v>24</v>
      </c>
      <c r="K13" s="58">
        <v>24</v>
      </c>
      <c r="L13" s="49">
        <v>24</v>
      </c>
      <c r="M13" s="49">
        <v>23.2</v>
      </c>
      <c r="N13" s="49">
        <v>23.2</v>
      </c>
      <c r="O13" s="49">
        <v>23.2</v>
      </c>
      <c r="P13" s="49">
        <v>23.2</v>
      </c>
      <c r="Q13" s="49">
        <v>23.2</v>
      </c>
      <c r="R13" s="49">
        <v>23.2</v>
      </c>
      <c r="S13" s="49">
        <v>23.2</v>
      </c>
      <c r="T13" s="49">
        <v>23.2</v>
      </c>
      <c r="U13" s="49">
        <v>23.2</v>
      </c>
      <c r="V13" s="49">
        <v>23.2</v>
      </c>
      <c r="W13" s="49">
        <v>23.2</v>
      </c>
      <c r="X13" s="49">
        <v>23.2</v>
      </c>
      <c r="Y13" s="58">
        <v>23</v>
      </c>
      <c r="Z13" s="58">
        <v>23</v>
      </c>
      <c r="AA13" s="58">
        <v>23</v>
      </c>
      <c r="AB13" s="58">
        <v>23</v>
      </c>
      <c r="AC13" s="58">
        <v>23</v>
      </c>
      <c r="AD13" s="58">
        <v>23</v>
      </c>
      <c r="AE13" s="58">
        <v>23</v>
      </c>
      <c r="AF13" s="58">
        <v>23</v>
      </c>
      <c r="AG13" s="59">
        <v>52.4</v>
      </c>
      <c r="AH13" s="54">
        <f t="shared" si="2"/>
        <v>24</v>
      </c>
      <c r="AI13" s="55">
        <f t="shared" si="3"/>
        <v>23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42.4</v>
      </c>
      <c r="C14" s="60">
        <v>42.4</v>
      </c>
      <c r="D14" s="60">
        <v>42.4</v>
      </c>
      <c r="E14" s="60">
        <v>42.4</v>
      </c>
      <c r="F14" s="60">
        <v>44.7</v>
      </c>
      <c r="G14" s="60">
        <v>44.7</v>
      </c>
      <c r="H14" s="60">
        <v>44.7</v>
      </c>
      <c r="I14" s="60">
        <v>44.5</v>
      </c>
      <c r="J14" s="60">
        <v>44.5</v>
      </c>
      <c r="K14" s="60">
        <v>44.5</v>
      </c>
      <c r="L14" s="49">
        <v>45.2</v>
      </c>
      <c r="M14" s="50">
        <v>44.9</v>
      </c>
      <c r="N14" s="50">
        <v>44.7</v>
      </c>
      <c r="O14" s="50">
        <v>44.2</v>
      </c>
      <c r="P14" s="50">
        <v>44.2</v>
      </c>
      <c r="Q14" s="50">
        <v>44.2</v>
      </c>
      <c r="R14" s="50">
        <v>44.2</v>
      </c>
      <c r="S14" s="50">
        <v>44.2</v>
      </c>
      <c r="T14" s="50">
        <v>44.2</v>
      </c>
      <c r="U14" s="50">
        <v>44.2</v>
      </c>
      <c r="V14" s="50">
        <v>44.2</v>
      </c>
      <c r="W14" s="50">
        <v>44.2</v>
      </c>
      <c r="X14" s="50">
        <v>42</v>
      </c>
      <c r="Y14" s="60">
        <v>42</v>
      </c>
      <c r="Z14" s="60">
        <v>42</v>
      </c>
      <c r="AA14" s="60">
        <v>42</v>
      </c>
      <c r="AB14" s="60">
        <v>41.8</v>
      </c>
      <c r="AC14" s="60">
        <v>41.8</v>
      </c>
      <c r="AD14" s="60">
        <v>41.8</v>
      </c>
      <c r="AE14" s="60">
        <v>41.8</v>
      </c>
      <c r="AF14" s="60">
        <v>41.8</v>
      </c>
      <c r="AG14" s="59">
        <v>50</v>
      </c>
      <c r="AH14" s="54">
        <f t="shared" si="2"/>
        <v>45.2</v>
      </c>
      <c r="AI14" s="55">
        <f t="shared" si="3"/>
        <v>41.8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23.8</v>
      </c>
      <c r="C15" s="60">
        <v>23.8</v>
      </c>
      <c r="D15" s="60">
        <v>23.8</v>
      </c>
      <c r="E15" s="60">
        <v>23.8</v>
      </c>
      <c r="F15" s="60">
        <v>23.9</v>
      </c>
      <c r="G15" s="60">
        <v>23.9</v>
      </c>
      <c r="H15" s="60">
        <v>23.9</v>
      </c>
      <c r="I15" s="60">
        <v>23.9</v>
      </c>
      <c r="J15" s="60">
        <v>23.8</v>
      </c>
      <c r="K15" s="60">
        <v>23.8</v>
      </c>
      <c r="L15" s="61">
        <v>23.8</v>
      </c>
      <c r="M15" s="50">
        <v>23.2</v>
      </c>
      <c r="N15" s="50">
        <v>23</v>
      </c>
      <c r="O15" s="50">
        <v>22.4</v>
      </c>
      <c r="P15" s="50">
        <v>22.4</v>
      </c>
      <c r="Q15" s="50">
        <v>22.4</v>
      </c>
      <c r="R15" s="50">
        <v>22.4</v>
      </c>
      <c r="S15" s="50">
        <v>22.4</v>
      </c>
      <c r="T15" s="50">
        <v>22.4</v>
      </c>
      <c r="U15" s="50">
        <v>22.4</v>
      </c>
      <c r="V15" s="50">
        <v>22.4</v>
      </c>
      <c r="W15" s="50">
        <v>22.4</v>
      </c>
      <c r="X15" s="50">
        <v>22.4</v>
      </c>
      <c r="Y15" s="60">
        <v>23.6</v>
      </c>
      <c r="Z15" s="60">
        <v>23.6</v>
      </c>
      <c r="AA15" s="60">
        <v>23.6</v>
      </c>
      <c r="AB15" s="60">
        <v>23.8</v>
      </c>
      <c r="AC15" s="60">
        <v>23.8</v>
      </c>
      <c r="AD15" s="60">
        <v>23.8</v>
      </c>
      <c r="AE15" s="60">
        <v>23.8</v>
      </c>
      <c r="AF15" s="60">
        <v>23.8</v>
      </c>
      <c r="AG15" s="62">
        <v>45</v>
      </c>
      <c r="AH15" s="54">
        <f t="shared" si="2"/>
        <v>23.9</v>
      </c>
      <c r="AI15" s="55">
        <f t="shared" si="3"/>
        <v>22.4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11</v>
      </c>
      <c r="C16" s="63">
        <v>11</v>
      </c>
      <c r="D16" s="63">
        <v>11</v>
      </c>
      <c r="E16" s="63">
        <v>11</v>
      </c>
      <c r="F16" s="63">
        <v>11</v>
      </c>
      <c r="G16" s="63">
        <v>11</v>
      </c>
      <c r="H16" s="63">
        <v>11</v>
      </c>
      <c r="I16" s="63">
        <v>11</v>
      </c>
      <c r="J16" s="63">
        <v>11</v>
      </c>
      <c r="K16" s="63">
        <v>11</v>
      </c>
      <c r="L16" s="63">
        <v>11</v>
      </c>
      <c r="M16" s="50">
        <v>11</v>
      </c>
      <c r="N16" s="50">
        <v>11</v>
      </c>
      <c r="O16" s="50">
        <v>11</v>
      </c>
      <c r="P16" s="50">
        <v>11</v>
      </c>
      <c r="Q16" s="50">
        <v>11</v>
      </c>
      <c r="R16" s="50">
        <v>11</v>
      </c>
      <c r="S16" s="50">
        <v>11</v>
      </c>
      <c r="T16" s="50">
        <v>11</v>
      </c>
      <c r="U16" s="50">
        <v>11</v>
      </c>
      <c r="V16" s="50">
        <v>11</v>
      </c>
      <c r="W16" s="50">
        <v>11</v>
      </c>
      <c r="X16" s="50">
        <v>11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11</v>
      </c>
      <c r="C17" s="60">
        <v>11</v>
      </c>
      <c r="D17" s="60">
        <v>11</v>
      </c>
      <c r="E17" s="60">
        <v>11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50">
        <v>11</v>
      </c>
      <c r="N17" s="50">
        <v>11</v>
      </c>
      <c r="O17" s="50">
        <v>11</v>
      </c>
      <c r="P17" s="50">
        <v>11</v>
      </c>
      <c r="Q17" s="50">
        <v>11</v>
      </c>
      <c r="R17" s="50">
        <v>11</v>
      </c>
      <c r="S17" s="50">
        <v>11</v>
      </c>
      <c r="T17" s="50">
        <v>11</v>
      </c>
      <c r="U17" s="50">
        <v>11</v>
      </c>
      <c r="V17" s="50">
        <v>11</v>
      </c>
      <c r="W17" s="50">
        <v>11</v>
      </c>
      <c r="X17" s="50">
        <v>11</v>
      </c>
      <c r="Y17" s="60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59">
        <v>42</v>
      </c>
      <c r="AH17" s="54">
        <f t="shared" si="2"/>
        <v>11</v>
      </c>
      <c r="AI17" s="55">
        <f t="shared" si="3"/>
        <v>11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9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12.6</v>
      </c>
      <c r="C22" s="50">
        <v>12.6</v>
      </c>
      <c r="D22" s="50">
        <v>12.6</v>
      </c>
      <c r="E22" s="50">
        <v>12.6</v>
      </c>
      <c r="F22" s="50">
        <v>13.6</v>
      </c>
      <c r="G22" s="50">
        <v>13.6</v>
      </c>
      <c r="H22" s="50">
        <v>13.6</v>
      </c>
      <c r="I22" s="50">
        <v>13.4</v>
      </c>
      <c r="J22" s="50">
        <v>13.2</v>
      </c>
      <c r="K22" s="50">
        <v>13.2</v>
      </c>
      <c r="L22" s="50">
        <v>12.6</v>
      </c>
      <c r="M22" s="50">
        <v>12.6</v>
      </c>
      <c r="N22" s="50">
        <v>12.6</v>
      </c>
      <c r="O22" s="50">
        <v>11.5</v>
      </c>
      <c r="P22" s="50">
        <v>11.5</v>
      </c>
      <c r="Q22" s="50">
        <v>11.5</v>
      </c>
      <c r="R22" s="50">
        <v>11.5</v>
      </c>
      <c r="S22" s="50">
        <v>11.5</v>
      </c>
      <c r="T22" s="50">
        <v>11.5</v>
      </c>
      <c r="U22" s="50">
        <v>11.5</v>
      </c>
      <c r="V22" s="50">
        <v>11.5</v>
      </c>
      <c r="W22" s="50">
        <v>11.5</v>
      </c>
      <c r="X22" s="50">
        <v>11.5</v>
      </c>
      <c r="Y22" s="50">
        <v>19.899999999999999</v>
      </c>
      <c r="Z22" s="50">
        <v>19.899999999999999</v>
      </c>
      <c r="AA22" s="50">
        <v>19.899999999999999</v>
      </c>
      <c r="AB22" s="50">
        <v>19.899999999999999</v>
      </c>
      <c r="AC22" s="50">
        <v>19.899999999999999</v>
      </c>
      <c r="AD22" s="50">
        <v>19.899999999999999</v>
      </c>
      <c r="AE22" s="50">
        <v>19.899999999999999</v>
      </c>
      <c r="AF22" s="50">
        <v>19.899999999999999</v>
      </c>
      <c r="AG22" s="59">
        <v>25</v>
      </c>
      <c r="AH22" s="54">
        <f t="shared" si="2"/>
        <v>19.899999999999999</v>
      </c>
      <c r="AI22" s="55">
        <f t="shared" si="3"/>
        <v>11.5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10.9</v>
      </c>
      <c r="C24" s="50">
        <v>10.9</v>
      </c>
      <c r="D24" s="50">
        <v>10.9</v>
      </c>
      <c r="E24" s="50">
        <v>10.9</v>
      </c>
      <c r="F24" s="50">
        <v>12.4</v>
      </c>
      <c r="G24" s="50">
        <v>12.8</v>
      </c>
      <c r="H24" s="50">
        <v>12.8</v>
      </c>
      <c r="I24" s="50">
        <v>12.4</v>
      </c>
      <c r="J24" s="50">
        <v>12.3</v>
      </c>
      <c r="K24" s="50">
        <v>12.3</v>
      </c>
      <c r="L24" s="50">
        <v>13.2</v>
      </c>
      <c r="M24" s="50">
        <v>13.2</v>
      </c>
      <c r="N24" s="50">
        <v>13.2</v>
      </c>
      <c r="O24" s="50">
        <v>11.5</v>
      </c>
      <c r="P24" s="50">
        <v>11.5</v>
      </c>
      <c r="Q24" s="50">
        <v>11.5</v>
      </c>
      <c r="R24" s="50">
        <v>11.5</v>
      </c>
      <c r="S24" s="50">
        <v>11.5</v>
      </c>
      <c r="T24" s="50">
        <v>11.5</v>
      </c>
      <c r="U24" s="50">
        <v>11.5</v>
      </c>
      <c r="V24" s="50">
        <v>11.5</v>
      </c>
      <c r="W24" s="50">
        <v>11.5</v>
      </c>
      <c r="X24" s="50">
        <v>11.5</v>
      </c>
      <c r="Y24" s="50">
        <v>10.9</v>
      </c>
      <c r="Z24" s="50">
        <v>10.9</v>
      </c>
      <c r="AA24" s="50">
        <v>10.9</v>
      </c>
      <c r="AB24" s="50">
        <v>11.3</v>
      </c>
      <c r="AC24" s="50">
        <v>11.3</v>
      </c>
      <c r="AD24" s="50">
        <v>11.3</v>
      </c>
      <c r="AE24" s="50">
        <v>11.3</v>
      </c>
      <c r="AF24" s="50">
        <v>11.3</v>
      </c>
      <c r="AG24" s="59">
        <v>25</v>
      </c>
      <c r="AH24" s="54">
        <f t="shared" si="2"/>
        <v>13.2</v>
      </c>
      <c r="AI24" s="55">
        <f t="shared" si="3"/>
        <v>10.9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8</v>
      </c>
      <c r="C26" s="50">
        <v>8</v>
      </c>
      <c r="D26" s="50">
        <v>8</v>
      </c>
      <c r="E26" s="50">
        <v>8</v>
      </c>
      <c r="F26" s="50">
        <v>8</v>
      </c>
      <c r="G26" s="50">
        <v>8</v>
      </c>
      <c r="H26" s="50">
        <v>8</v>
      </c>
      <c r="I26" s="50">
        <v>8</v>
      </c>
      <c r="J26" s="50">
        <v>8</v>
      </c>
      <c r="K26" s="50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59">
        <v>20</v>
      </c>
      <c r="AH26" s="54">
        <f t="shared" si="2"/>
        <v>8</v>
      </c>
      <c r="AI26" s="55">
        <f t="shared" si="3"/>
        <v>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v>53.9</v>
      </c>
      <c r="C37" s="61">
        <v>55.7</v>
      </c>
      <c r="D37" s="61">
        <v>55.6</v>
      </c>
      <c r="E37" s="61">
        <f>19.7+35.9</f>
        <v>55.599999999999994</v>
      </c>
      <c r="F37" s="61">
        <f>19.6+36</f>
        <v>55.6</v>
      </c>
      <c r="G37" s="61">
        <f>19.5+35.6</f>
        <v>55.1</v>
      </c>
      <c r="H37" s="61">
        <f>19.5+35.6</f>
        <v>55.1</v>
      </c>
      <c r="I37" s="61">
        <f>19.5+35.6</f>
        <v>55.1</v>
      </c>
      <c r="J37" s="61">
        <f>19.1+34.2</f>
        <v>53.300000000000004</v>
      </c>
      <c r="K37" s="61">
        <f>19+34.2</f>
        <v>53.2</v>
      </c>
      <c r="L37" s="61">
        <f>19+34.2</f>
        <v>53.2</v>
      </c>
      <c r="M37" s="70">
        <f>18.4+34.1</f>
        <v>52.5</v>
      </c>
      <c r="N37" s="70">
        <f>18.8+34.5</f>
        <v>53.3</v>
      </c>
      <c r="O37" s="70">
        <f>18.7+34</f>
        <v>52.7</v>
      </c>
      <c r="P37" s="70">
        <f>19.1+34.1</f>
        <v>53.2</v>
      </c>
      <c r="Q37" s="70">
        <f>34.7+19.3</f>
        <v>54</v>
      </c>
      <c r="R37" s="70">
        <f>34.7+19.3</f>
        <v>54</v>
      </c>
      <c r="S37" s="70">
        <f>34.7+19.3</f>
        <v>54</v>
      </c>
      <c r="T37" s="70">
        <f>34.7+19.3</f>
        <v>54</v>
      </c>
      <c r="U37" s="70">
        <f>34.8+19</f>
        <v>53.8</v>
      </c>
      <c r="V37" s="70">
        <f>34.8+19</f>
        <v>53.8</v>
      </c>
      <c r="W37" s="70">
        <f>34.8+19</f>
        <v>53.8</v>
      </c>
      <c r="X37" s="70">
        <f>31.8+17.6</f>
        <v>49.400000000000006</v>
      </c>
      <c r="Y37" s="70">
        <v>49</v>
      </c>
      <c r="Z37" s="70">
        <v>49</v>
      </c>
      <c r="AA37" s="70">
        <v>49</v>
      </c>
      <c r="AB37" s="70">
        <f>18.4+34.3</f>
        <v>52.699999999999996</v>
      </c>
      <c r="AC37" s="70">
        <f>18.4+34.3</f>
        <v>52.699999999999996</v>
      </c>
      <c r="AD37" s="70">
        <f>18.8+35.1</f>
        <v>53.900000000000006</v>
      </c>
      <c r="AE37" s="70">
        <f>18.8+35.1</f>
        <v>53.900000000000006</v>
      </c>
      <c r="AF37" s="70">
        <f>18.8+35.1</f>
        <v>53.900000000000006</v>
      </c>
      <c r="AG37" s="67">
        <v>240</v>
      </c>
      <c r="AH37" s="54">
        <f t="shared" si="2"/>
        <v>55.7</v>
      </c>
      <c r="AI37" s="55">
        <f t="shared" si="3"/>
        <v>49</v>
      </c>
      <c r="AK37" s="56"/>
    </row>
    <row r="38" spans="1:88" ht="15.75" thickBot="1" x14ac:dyDescent="0.3">
      <c r="A38" s="71" t="s">
        <v>46</v>
      </c>
      <c r="B38" s="72">
        <f>SUM(B11:B36)</f>
        <v>512.20000000000005</v>
      </c>
      <c r="C38" s="72">
        <f t="shared" ref="C38:AF38" si="4">SUM(C11:C36)</f>
        <v>492.2</v>
      </c>
      <c r="D38" s="72">
        <f t="shared" si="4"/>
        <v>437.2</v>
      </c>
      <c r="E38" s="72">
        <f t="shared" si="4"/>
        <v>472.2</v>
      </c>
      <c r="F38" s="72">
        <f t="shared" si="4"/>
        <v>487.99999999999994</v>
      </c>
      <c r="G38" s="72">
        <f t="shared" si="4"/>
        <v>448.4</v>
      </c>
      <c r="H38" s="72">
        <f t="shared" si="4"/>
        <v>448.4</v>
      </c>
      <c r="I38" s="72">
        <f t="shared" si="4"/>
        <v>442.59999999999997</v>
      </c>
      <c r="J38" s="72">
        <f t="shared" si="4"/>
        <v>462.2</v>
      </c>
      <c r="K38" s="72">
        <f t="shared" si="4"/>
        <v>727.2</v>
      </c>
      <c r="L38" s="72">
        <f t="shared" si="4"/>
        <v>758.2</v>
      </c>
      <c r="M38" s="72">
        <f t="shared" si="4"/>
        <v>766.50000000000011</v>
      </c>
      <c r="N38" s="72">
        <f t="shared" si="4"/>
        <v>724.1</v>
      </c>
      <c r="O38" s="72">
        <f t="shared" si="4"/>
        <v>519.19999999999993</v>
      </c>
      <c r="P38" s="72">
        <f t="shared" si="4"/>
        <v>489.2</v>
      </c>
      <c r="Q38" s="72">
        <f t="shared" si="4"/>
        <v>499.2</v>
      </c>
      <c r="R38" s="72">
        <f>SUM(R11:R36)</f>
        <v>479.2</v>
      </c>
      <c r="S38" s="72">
        <f t="shared" si="4"/>
        <v>479.2</v>
      </c>
      <c r="T38" s="72">
        <f t="shared" si="4"/>
        <v>449.2</v>
      </c>
      <c r="U38" s="72">
        <f t="shared" si="4"/>
        <v>469.2</v>
      </c>
      <c r="V38" s="72">
        <f t="shared" si="4"/>
        <v>449.2</v>
      </c>
      <c r="W38" s="72">
        <f t="shared" si="4"/>
        <v>629.19999999999993</v>
      </c>
      <c r="X38" s="72">
        <f t="shared" si="4"/>
        <v>817.00000000000011</v>
      </c>
      <c r="Y38" s="72">
        <v>849.80000000000007</v>
      </c>
      <c r="Z38" s="72">
        <f t="shared" si="4"/>
        <v>769.8</v>
      </c>
      <c r="AA38" s="72">
        <f t="shared" si="4"/>
        <v>634.79999999999995</v>
      </c>
      <c r="AB38" s="72">
        <f t="shared" si="4"/>
        <v>548.20000000000005</v>
      </c>
      <c r="AC38" s="72">
        <f t="shared" si="4"/>
        <v>468.2</v>
      </c>
      <c r="AD38" s="72">
        <f t="shared" si="4"/>
        <v>449.2</v>
      </c>
      <c r="AE38" s="72">
        <f t="shared" si="4"/>
        <v>443.2</v>
      </c>
      <c r="AF38" s="72">
        <f t="shared" si="4"/>
        <v>498.2</v>
      </c>
      <c r="AG38" s="67">
        <f>SUM(AG11:AG37)</f>
        <v>1492.8299999999997</v>
      </c>
      <c r="AH38" s="54">
        <f t="shared" si="2"/>
        <v>849.80000000000007</v>
      </c>
      <c r="AI38" s="55">
        <f t="shared" si="3"/>
        <v>437.2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0</v>
      </c>
      <c r="F39" s="61">
        <v>0</v>
      </c>
      <c r="G39" s="61">
        <v>35</v>
      </c>
      <c r="H39" s="61">
        <v>45.3</v>
      </c>
      <c r="I39" s="61">
        <v>93.9</v>
      </c>
      <c r="J39" s="61">
        <v>111</v>
      </c>
      <c r="K39" s="61">
        <v>139.1</v>
      </c>
      <c r="L39" s="61">
        <v>145.80000000000001</v>
      </c>
      <c r="M39" s="50">
        <v>145.9</v>
      </c>
      <c r="N39" s="50">
        <v>145.80000000000001</v>
      </c>
      <c r="O39" s="50">
        <v>121.5</v>
      </c>
      <c r="P39" s="50">
        <v>134.80000000000001</v>
      </c>
      <c r="Q39" s="50">
        <v>135.69999999999999</v>
      </c>
      <c r="R39" s="50">
        <v>120</v>
      </c>
      <c r="S39" s="50">
        <v>113</v>
      </c>
      <c r="T39" s="50">
        <v>80</v>
      </c>
      <c r="U39" s="50">
        <v>76</v>
      </c>
      <c r="V39" s="50">
        <v>78</v>
      </c>
      <c r="W39" s="50">
        <v>102</v>
      </c>
      <c r="X39" s="50">
        <v>128</v>
      </c>
      <c r="Y39" s="50">
        <v>145.19999999999999</v>
      </c>
      <c r="Z39" s="50">
        <v>145.19999999999999</v>
      </c>
      <c r="AA39" s="50">
        <v>145.19999999999999</v>
      </c>
      <c r="AB39" s="50">
        <v>125.5</v>
      </c>
      <c r="AC39" s="50">
        <v>91.7</v>
      </c>
      <c r="AD39" s="50">
        <v>70.400000000000006</v>
      </c>
      <c r="AE39" s="50">
        <v>30.8</v>
      </c>
      <c r="AF39" s="50">
        <v>48</v>
      </c>
      <c r="AG39" s="62">
        <v>144</v>
      </c>
      <c r="AH39" s="54">
        <f t="shared" si="2"/>
        <v>145.9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35.200000000000003</v>
      </c>
      <c r="C40" s="61">
        <v>30.8</v>
      </c>
      <c r="D40" s="61">
        <v>0</v>
      </c>
      <c r="E40" s="61">
        <v>0</v>
      </c>
      <c r="F40" s="61">
        <v>0</v>
      </c>
      <c r="G40" s="61">
        <v>0</v>
      </c>
      <c r="H40" s="61">
        <v>22.9</v>
      </c>
      <c r="I40" s="61">
        <v>23.3</v>
      </c>
      <c r="J40" s="61">
        <v>46.3</v>
      </c>
      <c r="K40" s="61">
        <v>67.8</v>
      </c>
      <c r="L40" s="61">
        <v>71.7</v>
      </c>
      <c r="M40" s="73">
        <v>70.7</v>
      </c>
      <c r="N40" s="73">
        <v>70.7</v>
      </c>
      <c r="O40" s="73">
        <v>69.400000000000006</v>
      </c>
      <c r="P40" s="73">
        <v>70.099999999999994</v>
      </c>
      <c r="Q40" s="73">
        <v>65.099999999999994</v>
      </c>
      <c r="R40" s="73">
        <v>35</v>
      </c>
      <c r="S40" s="73">
        <v>33</v>
      </c>
      <c r="T40" s="73">
        <v>35</v>
      </c>
      <c r="U40" s="73">
        <v>34.799999999999997</v>
      </c>
      <c r="V40" s="73">
        <v>34</v>
      </c>
      <c r="W40" s="73">
        <v>44.7</v>
      </c>
      <c r="X40" s="73">
        <v>70.3</v>
      </c>
      <c r="Y40" s="73">
        <v>70.3</v>
      </c>
      <c r="Z40" s="73">
        <v>70.3</v>
      </c>
      <c r="AA40" s="73">
        <v>70.3</v>
      </c>
      <c r="AB40" s="73">
        <v>70</v>
      </c>
      <c r="AC40" s="73">
        <v>50.8</v>
      </c>
      <c r="AD40" s="73">
        <v>52</v>
      </c>
      <c r="AE40" s="73">
        <v>35.1</v>
      </c>
      <c r="AF40" s="73">
        <v>35.1</v>
      </c>
      <c r="AG40" s="67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45.9</v>
      </c>
      <c r="C41" s="61">
        <v>39.200000000000003</v>
      </c>
      <c r="D41" s="61">
        <v>39.4</v>
      </c>
      <c r="E41" s="61">
        <v>21.2</v>
      </c>
      <c r="F41" s="61">
        <v>37.1</v>
      </c>
      <c r="G41" s="61">
        <v>36.9</v>
      </c>
      <c r="H41" s="61">
        <v>36.9</v>
      </c>
      <c r="I41" s="61">
        <v>36.9</v>
      </c>
      <c r="J41" s="61">
        <v>36.5</v>
      </c>
      <c r="K41" s="61">
        <v>60</v>
      </c>
      <c r="L41" s="61">
        <v>67.2</v>
      </c>
      <c r="M41" s="73">
        <v>67.599999999999994</v>
      </c>
      <c r="N41" s="73">
        <v>67.3</v>
      </c>
      <c r="O41" s="73">
        <v>60.3</v>
      </c>
      <c r="P41" s="73">
        <v>61.5</v>
      </c>
      <c r="Q41" s="73">
        <v>46.3</v>
      </c>
      <c r="R41" s="73">
        <v>46.3</v>
      </c>
      <c r="S41" s="73">
        <v>45.8</v>
      </c>
      <c r="T41" s="73">
        <v>38</v>
      </c>
      <c r="U41" s="73">
        <v>34.299999999999997</v>
      </c>
      <c r="V41" s="73">
        <v>33</v>
      </c>
      <c r="W41" s="73">
        <v>52.6</v>
      </c>
      <c r="X41" s="73">
        <v>66.7</v>
      </c>
      <c r="Y41" s="73">
        <v>66.599999999999994</v>
      </c>
      <c r="Z41" s="73">
        <v>66.599999999999994</v>
      </c>
      <c r="AA41" s="73">
        <v>66.599999999999994</v>
      </c>
      <c r="AB41" s="73">
        <v>66.599999999999994</v>
      </c>
      <c r="AC41" s="73">
        <v>52.4</v>
      </c>
      <c r="AD41" s="73">
        <v>33.9</v>
      </c>
      <c r="AE41" s="73">
        <v>24.6</v>
      </c>
      <c r="AF41" s="73">
        <v>23.8</v>
      </c>
      <c r="AG41" s="67">
        <v>69</v>
      </c>
      <c r="AH41" s="54">
        <f t="shared" si="2"/>
        <v>67.599999999999994</v>
      </c>
      <c r="AI41" s="55">
        <f t="shared" si="3"/>
        <v>21.2</v>
      </c>
      <c r="AK41" s="56"/>
    </row>
    <row r="42" spans="1:88" x14ac:dyDescent="0.25">
      <c r="A42" s="66" t="s">
        <v>50</v>
      </c>
      <c r="B42" s="61">
        <v>60.7</v>
      </c>
      <c r="C42" s="61">
        <v>60.7</v>
      </c>
      <c r="D42" s="61">
        <v>58.4</v>
      </c>
      <c r="E42" s="61">
        <v>58.4</v>
      </c>
      <c r="F42" s="61">
        <v>58.4</v>
      </c>
      <c r="G42" s="61">
        <v>58.4</v>
      </c>
      <c r="H42" s="61">
        <v>56.2</v>
      </c>
      <c r="I42" s="61">
        <v>56.2</v>
      </c>
      <c r="J42" s="61">
        <v>56.7</v>
      </c>
      <c r="K42" s="61">
        <v>56.7</v>
      </c>
      <c r="L42" s="61">
        <v>59</v>
      </c>
      <c r="M42" s="73">
        <v>60</v>
      </c>
      <c r="N42" s="73">
        <v>60</v>
      </c>
      <c r="O42" s="73">
        <v>58.2</v>
      </c>
      <c r="P42" s="73">
        <v>58.2</v>
      </c>
      <c r="Q42" s="73">
        <v>56.2</v>
      </c>
      <c r="R42" s="73">
        <v>55</v>
      </c>
      <c r="S42" s="73">
        <v>55</v>
      </c>
      <c r="T42" s="73">
        <v>56</v>
      </c>
      <c r="U42" s="73">
        <v>56.2</v>
      </c>
      <c r="V42" s="73">
        <v>56</v>
      </c>
      <c r="W42" s="73">
        <v>56.2</v>
      </c>
      <c r="X42" s="73">
        <v>56.4</v>
      </c>
      <c r="Y42" s="73">
        <v>56.7</v>
      </c>
      <c r="Z42" s="73">
        <v>56.7</v>
      </c>
      <c r="AA42" s="73">
        <v>56.7</v>
      </c>
      <c r="AB42" s="73">
        <v>58.3</v>
      </c>
      <c r="AC42" s="73">
        <v>60.2</v>
      </c>
      <c r="AD42" s="73">
        <v>60.2</v>
      </c>
      <c r="AE42" s="73">
        <v>60.2</v>
      </c>
      <c r="AF42" s="73">
        <v>60.2</v>
      </c>
      <c r="AG42" s="67">
        <v>60</v>
      </c>
      <c r="AH42" s="54">
        <f t="shared" si="2"/>
        <v>60.7</v>
      </c>
      <c r="AI42" s="55">
        <f t="shared" si="3"/>
        <v>55</v>
      </c>
      <c r="AK42" s="56"/>
    </row>
    <row r="43" spans="1:88" x14ac:dyDescent="0.25">
      <c r="A43" s="66" t="s">
        <v>51</v>
      </c>
      <c r="B43" s="61">
        <v>15</v>
      </c>
      <c r="C43" s="61">
        <v>9.4</v>
      </c>
      <c r="D43" s="61">
        <v>9.1999999999999993</v>
      </c>
      <c r="E43" s="61">
        <v>0</v>
      </c>
      <c r="F43" s="61">
        <v>0</v>
      </c>
      <c r="G43" s="61">
        <v>10</v>
      </c>
      <c r="H43" s="61">
        <v>10.1</v>
      </c>
      <c r="I43" s="61">
        <v>10.1</v>
      </c>
      <c r="J43" s="61">
        <v>14.9</v>
      </c>
      <c r="K43" s="61">
        <v>10</v>
      </c>
      <c r="L43" s="61">
        <v>23.6</v>
      </c>
      <c r="M43" s="50">
        <v>13.7</v>
      </c>
      <c r="N43" s="50">
        <v>13.5</v>
      </c>
      <c r="O43" s="50">
        <v>13.7</v>
      </c>
      <c r="P43" s="50">
        <v>13.7</v>
      </c>
      <c r="Q43" s="50">
        <v>0</v>
      </c>
      <c r="R43" s="50">
        <v>0</v>
      </c>
      <c r="S43" s="50">
        <v>15</v>
      </c>
      <c r="T43" s="50">
        <v>15</v>
      </c>
      <c r="U43" s="50">
        <v>15</v>
      </c>
      <c r="V43" s="50">
        <v>15</v>
      </c>
      <c r="W43" s="50">
        <v>27</v>
      </c>
      <c r="X43" s="50">
        <v>20.9</v>
      </c>
      <c r="Y43" s="50">
        <v>30</v>
      </c>
      <c r="Z43" s="50">
        <v>24</v>
      </c>
      <c r="AA43" s="50">
        <v>24</v>
      </c>
      <c r="AB43" s="50">
        <v>24</v>
      </c>
      <c r="AC43" s="50">
        <v>24</v>
      </c>
      <c r="AD43" s="50">
        <v>9.5</v>
      </c>
      <c r="AE43" s="50">
        <v>0</v>
      </c>
      <c r="AF43" s="50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14</v>
      </c>
      <c r="S45" s="50">
        <v>14</v>
      </c>
      <c r="T45" s="50">
        <v>14</v>
      </c>
      <c r="U45" s="50">
        <v>14</v>
      </c>
      <c r="V45" s="50">
        <v>14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14</v>
      </c>
      <c r="AK45" s="56"/>
    </row>
    <row r="46" spans="1:88" x14ac:dyDescent="0.25">
      <c r="A46" s="66" t="s">
        <v>54</v>
      </c>
      <c r="B46" s="50">
        <v>3.5</v>
      </c>
      <c r="C46" s="50">
        <v>3.5</v>
      </c>
      <c r="D46" s="50">
        <v>3.5</v>
      </c>
      <c r="E46" s="50">
        <v>3.5</v>
      </c>
      <c r="F46" s="50">
        <v>3.5</v>
      </c>
      <c r="G46" s="50">
        <v>3.5</v>
      </c>
      <c r="H46" s="50">
        <v>3.5</v>
      </c>
      <c r="I46" s="50">
        <v>3.5</v>
      </c>
      <c r="J46" s="50">
        <v>3.5</v>
      </c>
      <c r="K46" s="50">
        <v>3.5</v>
      </c>
      <c r="L46" s="50">
        <v>3.5</v>
      </c>
      <c r="M46" s="50">
        <v>3.5</v>
      </c>
      <c r="N46" s="50">
        <v>3.5</v>
      </c>
      <c r="O46" s="50">
        <v>3.5</v>
      </c>
      <c r="P46" s="50">
        <v>3.5</v>
      </c>
      <c r="Q46" s="50">
        <v>3.5</v>
      </c>
      <c r="R46" s="50">
        <v>3.5</v>
      </c>
      <c r="S46" s="50">
        <v>3.5</v>
      </c>
      <c r="T46" s="50">
        <v>3.5</v>
      </c>
      <c r="U46" s="50">
        <v>3.5</v>
      </c>
      <c r="V46" s="50">
        <v>3.5</v>
      </c>
      <c r="W46" s="50">
        <v>3.5</v>
      </c>
      <c r="X46" s="50">
        <v>3.5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3.5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6.4</v>
      </c>
      <c r="C48" s="50">
        <v>6.4</v>
      </c>
      <c r="D48" s="50">
        <v>6.4</v>
      </c>
      <c r="E48" s="50">
        <v>6.4</v>
      </c>
      <c r="F48" s="50">
        <v>6.4</v>
      </c>
      <c r="G48" s="50">
        <v>6.4</v>
      </c>
      <c r="H48" s="50">
        <v>6.4</v>
      </c>
      <c r="I48" s="50">
        <v>6.4</v>
      </c>
      <c r="J48" s="50">
        <v>6.4</v>
      </c>
      <c r="K48" s="50">
        <v>6.4</v>
      </c>
      <c r="L48" s="50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50">
        <v>6.5</v>
      </c>
      <c r="C49" s="50">
        <v>6.5</v>
      </c>
      <c r="D49" s="50">
        <v>6.5</v>
      </c>
      <c r="E49" s="50">
        <v>6.5</v>
      </c>
      <c r="F49" s="50">
        <v>6.5</v>
      </c>
      <c r="G49" s="50">
        <v>6.5</v>
      </c>
      <c r="H49" s="50">
        <v>6.5</v>
      </c>
      <c r="I49" s="50">
        <v>6.5</v>
      </c>
      <c r="J49" s="50">
        <v>6.5</v>
      </c>
      <c r="K49" s="50">
        <v>6.5</v>
      </c>
      <c r="L49" s="50">
        <v>6.5</v>
      </c>
      <c r="M49" s="50">
        <v>6.5</v>
      </c>
      <c r="N49" s="50">
        <v>6.5</v>
      </c>
      <c r="O49" s="50">
        <v>6.5</v>
      </c>
      <c r="P49" s="50">
        <v>6.5</v>
      </c>
      <c r="Q49" s="50">
        <v>6.5</v>
      </c>
      <c r="R49" s="50">
        <v>6.5</v>
      </c>
      <c r="S49" s="50">
        <v>6.5</v>
      </c>
      <c r="T49" s="50">
        <v>6.5</v>
      </c>
      <c r="U49" s="50">
        <v>6.5</v>
      </c>
      <c r="V49" s="50">
        <v>6.5</v>
      </c>
      <c r="W49" s="50">
        <v>6.5</v>
      </c>
      <c r="X49" s="50">
        <v>6.5</v>
      </c>
      <c r="Y49" s="50">
        <v>6.5</v>
      </c>
      <c r="Z49" s="50">
        <v>6.5</v>
      </c>
      <c r="AA49" s="50">
        <v>6.5</v>
      </c>
      <c r="AB49" s="50">
        <v>6.5</v>
      </c>
      <c r="AC49" s="50">
        <v>6.5</v>
      </c>
      <c r="AD49" s="50">
        <v>6.5</v>
      </c>
      <c r="AE49" s="50">
        <v>6.5</v>
      </c>
      <c r="AF49" s="50">
        <v>6.5</v>
      </c>
      <c r="AG49" s="67">
        <v>10.050000000000001</v>
      </c>
      <c r="AH49" s="54">
        <f t="shared" si="2"/>
        <v>6.5</v>
      </c>
      <c r="AI49" s="55">
        <f t="shared" si="3"/>
        <v>6.5</v>
      </c>
      <c r="AK49" s="56"/>
    </row>
    <row r="50" spans="1:37" x14ac:dyDescent="0.25">
      <c r="A50" s="66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7">
        <v>6.2</v>
      </c>
      <c r="AH50" s="54">
        <f t="shared" si="2"/>
        <v>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f t="shared" ref="B51" si="5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211.74</v>
      </c>
      <c r="C52" s="72">
        <f t="shared" ref="C52:AF52" si="7">SUM(C39:C51)</f>
        <v>195.04</v>
      </c>
      <c r="D52" s="72">
        <f t="shared" si="7"/>
        <v>161.94</v>
      </c>
      <c r="E52" s="72">
        <f t="shared" si="7"/>
        <v>134.54</v>
      </c>
      <c r="F52" s="72">
        <f t="shared" si="7"/>
        <v>150.44</v>
      </c>
      <c r="G52" s="72">
        <f t="shared" si="7"/>
        <v>195.24</v>
      </c>
      <c r="H52" s="72">
        <f t="shared" si="7"/>
        <v>226.34</v>
      </c>
      <c r="I52" s="72">
        <f t="shared" si="7"/>
        <v>275.34000000000003</v>
      </c>
      <c r="J52" s="72">
        <f t="shared" si="7"/>
        <v>320.33999999999997</v>
      </c>
      <c r="K52" s="72">
        <f t="shared" si="7"/>
        <v>388.53999999999996</v>
      </c>
      <c r="L52" s="72">
        <f t="shared" si="7"/>
        <v>422.24</v>
      </c>
      <c r="M52" s="72">
        <f t="shared" si="7"/>
        <v>412.84000000000003</v>
      </c>
      <c r="N52" s="72">
        <f t="shared" si="7"/>
        <v>412.24</v>
      </c>
      <c r="O52" s="72">
        <f t="shared" si="7"/>
        <v>378.03999999999996</v>
      </c>
      <c r="P52" s="72">
        <f t="shared" si="7"/>
        <v>393.23999999999995</v>
      </c>
      <c r="Q52" s="72">
        <f t="shared" si="7"/>
        <v>358.23999999999995</v>
      </c>
      <c r="R52" s="72">
        <f t="shared" si="7"/>
        <v>307.24</v>
      </c>
      <c r="S52" s="72">
        <f t="shared" si="7"/>
        <v>312.74</v>
      </c>
      <c r="T52" s="72">
        <f t="shared" si="7"/>
        <v>274.94</v>
      </c>
      <c r="U52" s="72">
        <f t="shared" si="7"/>
        <v>267.24000000000007</v>
      </c>
      <c r="V52" s="72">
        <f t="shared" si="7"/>
        <v>266.94</v>
      </c>
      <c r="W52" s="72">
        <f t="shared" si="7"/>
        <v>337.44</v>
      </c>
      <c r="X52" s="72">
        <f t="shared" si="7"/>
        <v>397.23999999999995</v>
      </c>
      <c r="Y52" s="72">
        <v>420.24</v>
      </c>
      <c r="Z52" s="72">
        <f t="shared" si="7"/>
        <v>414.24</v>
      </c>
      <c r="AA52" s="72">
        <f t="shared" si="7"/>
        <v>414.24</v>
      </c>
      <c r="AB52" s="72">
        <f t="shared" si="7"/>
        <v>395.84000000000003</v>
      </c>
      <c r="AC52" s="72">
        <f t="shared" si="7"/>
        <v>330.54</v>
      </c>
      <c r="AD52" s="72">
        <f t="shared" si="7"/>
        <v>277.44</v>
      </c>
      <c r="AE52" s="72">
        <f t="shared" si="7"/>
        <v>202.14</v>
      </c>
      <c r="AF52" s="72">
        <f t="shared" si="7"/>
        <v>218.54</v>
      </c>
      <c r="AG52" s="78">
        <f>SUM(AG39:AG51)</f>
        <v>489.91</v>
      </c>
      <c r="AH52" s="54">
        <f t="shared" si="2"/>
        <v>422.24</v>
      </c>
      <c r="AI52" s="55">
        <f t="shared" si="3"/>
        <v>134.54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33.799999999999997</v>
      </c>
      <c r="M53" s="79">
        <v>49.9</v>
      </c>
      <c r="N53" s="79">
        <v>49.7</v>
      </c>
      <c r="O53" s="79">
        <v>49.9</v>
      </c>
      <c r="P53" s="79">
        <v>30.1</v>
      </c>
      <c r="Q53" s="50">
        <v>30.1</v>
      </c>
      <c r="R53" s="50">
        <v>30.5</v>
      </c>
      <c r="S53" s="50">
        <v>60</v>
      </c>
      <c r="T53" s="50">
        <v>55</v>
      </c>
      <c r="U53" s="50">
        <v>56.2</v>
      </c>
      <c r="V53" s="50">
        <v>56.2</v>
      </c>
      <c r="W53" s="50">
        <v>55.8</v>
      </c>
      <c r="X53" s="50">
        <v>55.9</v>
      </c>
      <c r="Y53" s="50">
        <v>55.7</v>
      </c>
      <c r="Z53" s="50">
        <v>55.7</v>
      </c>
      <c r="AA53" s="50">
        <v>55.7</v>
      </c>
      <c r="AB53" s="50">
        <v>53</v>
      </c>
      <c r="AC53" s="50">
        <v>44.7</v>
      </c>
      <c r="AD53" s="50">
        <v>29.5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17.2</v>
      </c>
      <c r="M54" s="79">
        <v>22.5</v>
      </c>
      <c r="N54" s="79">
        <v>23.2</v>
      </c>
      <c r="O54" s="79">
        <v>23</v>
      </c>
      <c r="P54" s="79">
        <v>15.6</v>
      </c>
      <c r="Q54" s="73">
        <v>15.3</v>
      </c>
      <c r="R54" s="73">
        <v>12</v>
      </c>
      <c r="S54" s="50">
        <v>28.9</v>
      </c>
      <c r="T54" s="50">
        <v>27</v>
      </c>
      <c r="U54" s="50">
        <v>27</v>
      </c>
      <c r="V54" s="50">
        <v>27</v>
      </c>
      <c r="W54" s="73">
        <v>26.5</v>
      </c>
      <c r="X54" s="73">
        <v>27.9</v>
      </c>
      <c r="Y54" s="73">
        <v>26.2</v>
      </c>
      <c r="Z54" s="73">
        <v>26.2</v>
      </c>
      <c r="AA54" s="73">
        <v>26.2</v>
      </c>
      <c r="AB54" s="73">
        <v>25.9</v>
      </c>
      <c r="AC54" s="73">
        <v>20.5</v>
      </c>
      <c r="AD54" s="73">
        <v>12.5</v>
      </c>
      <c r="AE54" s="73">
        <v>0</v>
      </c>
      <c r="AF54" s="73">
        <v>0</v>
      </c>
      <c r="AG54" s="67">
        <v>32</v>
      </c>
      <c r="AH54" s="54">
        <f t="shared" si="2"/>
        <v>28.9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6.3</v>
      </c>
      <c r="M55" s="81">
        <v>8.1999999999999993</v>
      </c>
      <c r="N55" s="81">
        <v>8.5</v>
      </c>
      <c r="O55" s="81">
        <v>8.4</v>
      </c>
      <c r="P55" s="81">
        <v>5.7</v>
      </c>
      <c r="Q55" s="80">
        <v>5.6</v>
      </c>
      <c r="R55" s="80">
        <v>4.5</v>
      </c>
      <c r="S55" s="50">
        <v>10.5</v>
      </c>
      <c r="T55" s="50">
        <v>9.9</v>
      </c>
      <c r="U55" s="50">
        <v>9.9</v>
      </c>
      <c r="V55" s="50">
        <v>9.9</v>
      </c>
      <c r="W55" s="80">
        <v>9.6999999999999993</v>
      </c>
      <c r="X55" s="80">
        <v>10.199999999999999</v>
      </c>
      <c r="Y55" s="80">
        <v>9.6</v>
      </c>
      <c r="Z55" s="80">
        <v>9.6</v>
      </c>
      <c r="AA55" s="80">
        <v>9.6</v>
      </c>
      <c r="AB55" s="80">
        <v>9.5</v>
      </c>
      <c r="AC55" s="80">
        <v>7.5</v>
      </c>
      <c r="AD55" s="80">
        <v>4.5999999999999996</v>
      </c>
      <c r="AE55" s="80">
        <v>0</v>
      </c>
      <c r="AF55" s="80">
        <v>0</v>
      </c>
      <c r="AG55" s="82">
        <v>14</v>
      </c>
      <c r="AH55" s="54">
        <f t="shared" si="2"/>
        <v>10.5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0</v>
      </c>
      <c r="L56" s="72">
        <f t="shared" si="8"/>
        <v>57.3</v>
      </c>
      <c r="M56" s="72">
        <f t="shared" si="8"/>
        <v>80.600000000000009</v>
      </c>
      <c r="N56" s="72">
        <f t="shared" si="8"/>
        <v>81.400000000000006</v>
      </c>
      <c r="O56" s="72">
        <f t="shared" si="8"/>
        <v>81.300000000000011</v>
      </c>
      <c r="P56" s="72">
        <f t="shared" si="8"/>
        <v>51.400000000000006</v>
      </c>
      <c r="Q56" s="72">
        <f t="shared" si="8"/>
        <v>51.000000000000007</v>
      </c>
      <c r="R56" s="72">
        <f t="shared" si="8"/>
        <v>47</v>
      </c>
      <c r="S56" s="72">
        <f t="shared" si="8"/>
        <v>99.4</v>
      </c>
      <c r="T56" s="72">
        <f t="shared" si="8"/>
        <v>91.9</v>
      </c>
      <c r="U56" s="72">
        <f t="shared" si="8"/>
        <v>93.100000000000009</v>
      </c>
      <c r="V56" s="72">
        <f t="shared" si="8"/>
        <v>93.100000000000009</v>
      </c>
      <c r="W56" s="72">
        <f t="shared" si="8"/>
        <v>92</v>
      </c>
      <c r="X56" s="72">
        <f t="shared" si="8"/>
        <v>94</v>
      </c>
      <c r="Y56" s="72">
        <v>91.5</v>
      </c>
      <c r="Z56" s="72">
        <f t="shared" si="8"/>
        <v>91.5</v>
      </c>
      <c r="AA56" s="72">
        <f t="shared" si="8"/>
        <v>91.5</v>
      </c>
      <c r="AB56" s="72">
        <f t="shared" si="8"/>
        <v>88.4</v>
      </c>
      <c r="AC56" s="72">
        <f t="shared" si="8"/>
        <v>72.7</v>
      </c>
      <c r="AD56" s="72">
        <f t="shared" si="8"/>
        <v>46.6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99.4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61.7</v>
      </c>
      <c r="C57" s="50">
        <v>62.2</v>
      </c>
      <c r="D57" s="50">
        <v>61</v>
      </c>
      <c r="E57" s="50">
        <v>69</v>
      </c>
      <c r="F57" s="50">
        <v>68.400000000000006</v>
      </c>
      <c r="G57" s="50">
        <v>65.7</v>
      </c>
      <c r="H57" s="50">
        <v>60.5</v>
      </c>
      <c r="I57" s="50">
        <v>64.400000000000006</v>
      </c>
      <c r="J57" s="50">
        <v>72.7</v>
      </c>
      <c r="K57" s="50">
        <v>69.3</v>
      </c>
      <c r="L57" s="50">
        <v>65</v>
      </c>
      <c r="M57" s="50">
        <v>75.3</v>
      </c>
      <c r="N57" s="50">
        <v>72.400000000000006</v>
      </c>
      <c r="O57" s="50">
        <v>67.099999999999994</v>
      </c>
      <c r="P57" s="50">
        <v>66.5</v>
      </c>
      <c r="Q57" s="50">
        <v>62</v>
      </c>
      <c r="R57" s="50">
        <v>73</v>
      </c>
      <c r="S57" s="50">
        <v>68</v>
      </c>
      <c r="T57" s="50">
        <v>69</v>
      </c>
      <c r="U57" s="50">
        <v>64.2</v>
      </c>
      <c r="V57" s="50">
        <v>69.099999999999994</v>
      </c>
      <c r="W57" s="50">
        <v>56.9</v>
      </c>
      <c r="X57" s="50">
        <v>67</v>
      </c>
      <c r="Y57" s="50">
        <v>68.7</v>
      </c>
      <c r="Z57" s="50">
        <v>71</v>
      </c>
      <c r="AA57" s="50">
        <v>68</v>
      </c>
      <c r="AB57" s="50">
        <v>65.400000000000006</v>
      </c>
      <c r="AC57" s="50">
        <v>60.9</v>
      </c>
      <c r="AD57" s="50">
        <v>62.9</v>
      </c>
      <c r="AE57" s="50">
        <v>62.7</v>
      </c>
      <c r="AF57" s="50">
        <v>62</v>
      </c>
      <c r="AG57" s="62"/>
      <c r="AH57" s="54">
        <f t="shared" si="2"/>
        <v>75.3</v>
      </c>
      <c r="AI57" s="55">
        <f t="shared" si="3"/>
        <v>56.9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77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67"/>
      <c r="AH58" s="54">
        <f t="shared" si="2"/>
        <v>77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137.4</v>
      </c>
      <c r="C59" s="73">
        <v>151.1</v>
      </c>
      <c r="D59" s="73">
        <v>224</v>
      </c>
      <c r="E59" s="73">
        <v>207</v>
      </c>
      <c r="F59" s="73">
        <v>181.5</v>
      </c>
      <c r="G59" s="73">
        <v>220</v>
      </c>
      <c r="H59" s="50">
        <v>265</v>
      </c>
      <c r="I59" s="50">
        <v>290.39999999999998</v>
      </c>
      <c r="J59" s="50">
        <v>327</v>
      </c>
      <c r="K59" s="50">
        <v>64</v>
      </c>
      <c r="L59" s="50">
        <v>75</v>
      </c>
      <c r="M59" s="73">
        <v>100.5</v>
      </c>
      <c r="N59" s="73">
        <v>140.9</v>
      </c>
      <c r="O59" s="73">
        <v>299</v>
      </c>
      <c r="P59" s="73">
        <v>330.7</v>
      </c>
      <c r="Q59" s="73">
        <v>319</v>
      </c>
      <c r="R59" s="73">
        <v>341</v>
      </c>
      <c r="S59" s="73">
        <v>347</v>
      </c>
      <c r="T59" s="73">
        <v>333.6</v>
      </c>
      <c r="U59" s="73">
        <v>325</v>
      </c>
      <c r="V59" s="73">
        <v>340</v>
      </c>
      <c r="W59" s="73">
        <v>108</v>
      </c>
      <c r="X59" s="84">
        <v>27.4</v>
      </c>
      <c r="Y59" s="84">
        <v>12</v>
      </c>
      <c r="Z59" s="84">
        <v>29</v>
      </c>
      <c r="AA59" s="84">
        <v>198</v>
      </c>
      <c r="AB59" s="84">
        <v>239</v>
      </c>
      <c r="AC59" s="84">
        <v>230</v>
      </c>
      <c r="AD59" s="84">
        <v>257</v>
      </c>
      <c r="AE59" s="84">
        <v>254</v>
      </c>
      <c r="AF59" s="84">
        <v>174</v>
      </c>
      <c r="AG59" s="85"/>
      <c r="AH59" s="54">
        <f t="shared" si="2"/>
        <v>347</v>
      </c>
      <c r="AI59" s="55">
        <f t="shared" si="3"/>
        <v>12</v>
      </c>
      <c r="AK59" s="56"/>
    </row>
    <row r="60" spans="1:37" x14ac:dyDescent="0.25">
      <c r="A60" s="66" t="s">
        <v>68</v>
      </c>
      <c r="B60" s="73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50</v>
      </c>
      <c r="L60" s="58">
        <v>52</v>
      </c>
      <c r="M60" s="73">
        <v>51.9</v>
      </c>
      <c r="N60" s="73">
        <v>53.6</v>
      </c>
      <c r="O60" s="73">
        <v>54.1</v>
      </c>
      <c r="P60" s="73">
        <v>47.1</v>
      </c>
      <c r="Q60" s="73">
        <v>45.1</v>
      </c>
      <c r="R60" s="73">
        <v>40</v>
      </c>
      <c r="S60" s="73">
        <v>40</v>
      </c>
      <c r="T60" s="73">
        <v>40</v>
      </c>
      <c r="U60" s="73">
        <v>40</v>
      </c>
      <c r="V60" s="73">
        <v>35</v>
      </c>
      <c r="W60" s="73">
        <v>37</v>
      </c>
      <c r="X60" s="73">
        <v>38</v>
      </c>
      <c r="Y60" s="73">
        <v>46</v>
      </c>
      <c r="Z60" s="73">
        <v>42</v>
      </c>
      <c r="AA60" s="73">
        <v>43</v>
      </c>
      <c r="AB60" s="73">
        <v>39.9</v>
      </c>
      <c r="AC60" s="73">
        <v>39.9</v>
      </c>
      <c r="AD60" s="73">
        <v>46.2</v>
      </c>
      <c r="AE60" s="73">
        <v>0</v>
      </c>
      <c r="AF60" s="73">
        <v>0</v>
      </c>
      <c r="AG60" s="85"/>
      <c r="AH60" s="54">
        <f t="shared" si="2"/>
        <v>54.1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40.5</v>
      </c>
      <c r="S61" s="50">
        <v>0</v>
      </c>
      <c r="T61" s="50">
        <v>84</v>
      </c>
      <c r="U61" s="50">
        <v>90</v>
      </c>
      <c r="V61" s="50">
        <v>82.5</v>
      </c>
      <c r="W61" s="50">
        <v>79</v>
      </c>
      <c r="X61" s="50">
        <v>81</v>
      </c>
      <c r="Y61" s="50">
        <v>80.599999999999994</v>
      </c>
      <c r="Z61" s="50">
        <v>57</v>
      </c>
      <c r="AA61" s="50">
        <v>76</v>
      </c>
      <c r="AB61" s="50">
        <v>81</v>
      </c>
      <c r="AC61" s="50">
        <v>80.2</v>
      </c>
      <c r="AD61" s="50">
        <v>76</v>
      </c>
      <c r="AE61" s="50">
        <v>71</v>
      </c>
      <c r="AF61" s="50">
        <v>71</v>
      </c>
      <c r="AG61" s="85"/>
      <c r="AH61" s="54">
        <f t="shared" si="2"/>
        <v>90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5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50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199.10000000000002</v>
      </c>
      <c r="C68" s="72">
        <f>SUM(C57:C67)</f>
        <v>213.3</v>
      </c>
      <c r="D68" s="72">
        <f t="shared" ref="D68:AF68" si="9">SUM(D57:D67)</f>
        <v>285</v>
      </c>
      <c r="E68" s="72">
        <f t="shared" si="9"/>
        <v>276</v>
      </c>
      <c r="F68" s="72">
        <f t="shared" si="9"/>
        <v>249.9</v>
      </c>
      <c r="G68" s="72">
        <f t="shared" si="9"/>
        <v>285.7</v>
      </c>
      <c r="H68" s="72">
        <f t="shared" si="9"/>
        <v>325.5</v>
      </c>
      <c r="I68" s="72">
        <f t="shared" si="9"/>
        <v>354.79999999999995</v>
      </c>
      <c r="J68" s="72">
        <f t="shared" si="9"/>
        <v>399.7</v>
      </c>
      <c r="K68" s="72">
        <f t="shared" si="9"/>
        <v>183.3</v>
      </c>
      <c r="L68" s="72">
        <f t="shared" si="9"/>
        <v>192</v>
      </c>
      <c r="M68" s="72">
        <f t="shared" si="9"/>
        <v>227.70000000000002</v>
      </c>
      <c r="N68" s="72">
        <f t="shared" si="9"/>
        <v>266.90000000000003</v>
      </c>
      <c r="O68" s="72">
        <f t="shared" si="9"/>
        <v>420.20000000000005</v>
      </c>
      <c r="P68" s="72">
        <f t="shared" si="9"/>
        <v>444.3</v>
      </c>
      <c r="Q68" s="72">
        <f t="shared" si="9"/>
        <v>426.1</v>
      </c>
      <c r="R68" s="72">
        <f t="shared" si="9"/>
        <v>494.5</v>
      </c>
      <c r="S68" s="72">
        <f t="shared" si="9"/>
        <v>455</v>
      </c>
      <c r="T68" s="72">
        <f t="shared" si="9"/>
        <v>526.6</v>
      </c>
      <c r="U68" s="72">
        <f t="shared" si="9"/>
        <v>519.20000000000005</v>
      </c>
      <c r="V68" s="72">
        <f t="shared" si="9"/>
        <v>526.6</v>
      </c>
      <c r="W68" s="72">
        <f t="shared" si="9"/>
        <v>357.9</v>
      </c>
      <c r="X68" s="72">
        <f t="shared" si="9"/>
        <v>213.4</v>
      </c>
      <c r="Y68" s="72">
        <v>207.3</v>
      </c>
      <c r="Z68" s="72">
        <f t="shared" si="9"/>
        <v>199</v>
      </c>
      <c r="AA68" s="72">
        <f t="shared" si="9"/>
        <v>385</v>
      </c>
      <c r="AB68" s="72">
        <f t="shared" si="9"/>
        <v>425.29999999999995</v>
      </c>
      <c r="AC68" s="72">
        <f t="shared" si="9"/>
        <v>410.99999999999994</v>
      </c>
      <c r="AD68" s="72">
        <f t="shared" si="9"/>
        <v>442.09999999999997</v>
      </c>
      <c r="AE68" s="72">
        <f t="shared" si="9"/>
        <v>387.7</v>
      </c>
      <c r="AF68" s="72">
        <f t="shared" si="9"/>
        <v>307</v>
      </c>
      <c r="AG68" s="78">
        <f>SUM(AG57:AG67)</f>
        <v>0</v>
      </c>
      <c r="AH68" s="54">
        <f t="shared" si="2"/>
        <v>526.6</v>
      </c>
      <c r="AI68" s="55">
        <f t="shared" si="3"/>
        <v>183.3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923.04000000000008</v>
      </c>
      <c r="C73" s="89">
        <f>C68+C56+C52+C38+C72</f>
        <v>900.54</v>
      </c>
      <c r="D73" s="89">
        <f t="shared" ref="D73:AG73" si="11">D68+D56+D52+D38+D72</f>
        <v>884.14</v>
      </c>
      <c r="E73" s="89">
        <f t="shared" si="11"/>
        <v>882.74</v>
      </c>
      <c r="F73" s="89">
        <f t="shared" si="11"/>
        <v>888.33999999999992</v>
      </c>
      <c r="G73" s="89">
        <f t="shared" si="11"/>
        <v>929.33999999999992</v>
      </c>
      <c r="H73" s="89">
        <f t="shared" si="11"/>
        <v>1000.24</v>
      </c>
      <c r="I73" s="89">
        <f t="shared" si="11"/>
        <v>1072.74</v>
      </c>
      <c r="J73" s="89">
        <f t="shared" si="11"/>
        <v>1182.24</v>
      </c>
      <c r="K73" s="89">
        <f t="shared" si="11"/>
        <v>1299.04</v>
      </c>
      <c r="L73" s="89">
        <f t="shared" si="11"/>
        <v>1429.74</v>
      </c>
      <c r="M73" s="89">
        <f t="shared" si="11"/>
        <v>1487.6400000000003</v>
      </c>
      <c r="N73" s="89">
        <f t="shared" si="11"/>
        <v>1484.64</v>
      </c>
      <c r="O73" s="89">
        <f t="shared" si="11"/>
        <v>1398.7399999999998</v>
      </c>
      <c r="P73" s="89">
        <f t="shared" si="11"/>
        <v>1378.14</v>
      </c>
      <c r="Q73" s="89">
        <f t="shared" si="11"/>
        <v>1334.54</v>
      </c>
      <c r="R73" s="89">
        <f t="shared" si="11"/>
        <v>1327.94</v>
      </c>
      <c r="S73" s="89">
        <f t="shared" si="11"/>
        <v>1346.34</v>
      </c>
      <c r="T73" s="89">
        <f t="shared" si="11"/>
        <v>1342.64</v>
      </c>
      <c r="U73" s="89">
        <f t="shared" si="11"/>
        <v>1348.7400000000002</v>
      </c>
      <c r="V73" s="89">
        <f t="shared" si="11"/>
        <v>1335.8400000000001</v>
      </c>
      <c r="W73" s="89">
        <f t="shared" si="11"/>
        <v>1416.54</v>
      </c>
      <c r="X73" s="89">
        <f t="shared" si="11"/>
        <v>1521.6399999999999</v>
      </c>
      <c r="Y73" s="89">
        <v>1568.84</v>
      </c>
      <c r="Z73" s="89">
        <f t="shared" si="11"/>
        <v>1474.54</v>
      </c>
      <c r="AA73" s="89">
        <f t="shared" si="11"/>
        <v>1525.54</v>
      </c>
      <c r="AB73" s="89">
        <f t="shared" si="11"/>
        <v>1457.74</v>
      </c>
      <c r="AC73" s="89">
        <f t="shared" si="11"/>
        <v>1282.44</v>
      </c>
      <c r="AD73" s="89">
        <f t="shared" si="11"/>
        <v>1215.3399999999999</v>
      </c>
      <c r="AE73" s="89">
        <f t="shared" si="11"/>
        <v>1033.04</v>
      </c>
      <c r="AF73" s="89">
        <f t="shared" si="11"/>
        <v>1023.74</v>
      </c>
      <c r="AG73" s="89">
        <f t="shared" si="11"/>
        <v>2144.14</v>
      </c>
      <c r="AH73" s="54">
        <f t="shared" si="2"/>
        <v>1568.84</v>
      </c>
      <c r="AI73" s="55">
        <f t="shared" si="3"/>
        <v>882.74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923.04000000000008</v>
      </c>
      <c r="C75" s="89">
        <f>C73+C74</f>
        <v>900.54</v>
      </c>
      <c r="D75" s="89">
        <f t="shared" ref="D75:AF75" si="12">D72+D68+D56+D52+D38+D74</f>
        <v>884.14</v>
      </c>
      <c r="E75" s="89">
        <f t="shared" si="12"/>
        <v>882.74</v>
      </c>
      <c r="F75" s="89">
        <f t="shared" si="12"/>
        <v>888.33999999999992</v>
      </c>
      <c r="G75" s="89">
        <f t="shared" si="12"/>
        <v>929.33999999999992</v>
      </c>
      <c r="H75" s="89">
        <f t="shared" si="12"/>
        <v>1000.24</v>
      </c>
      <c r="I75" s="89">
        <f t="shared" si="12"/>
        <v>1072.74</v>
      </c>
      <c r="J75" s="89">
        <f t="shared" si="12"/>
        <v>1182.24</v>
      </c>
      <c r="K75" s="89">
        <f t="shared" si="12"/>
        <v>1299.04</v>
      </c>
      <c r="L75" s="89">
        <f t="shared" si="12"/>
        <v>1429.74</v>
      </c>
      <c r="M75" s="89">
        <f t="shared" si="12"/>
        <v>1487.6400000000003</v>
      </c>
      <c r="N75" s="89">
        <f t="shared" si="12"/>
        <v>1484.64</v>
      </c>
      <c r="O75" s="89">
        <f t="shared" si="12"/>
        <v>1398.7399999999998</v>
      </c>
      <c r="P75" s="89">
        <f t="shared" si="12"/>
        <v>1378.14</v>
      </c>
      <c r="Q75" s="89">
        <f t="shared" si="12"/>
        <v>1334.54</v>
      </c>
      <c r="R75" s="89">
        <f t="shared" si="12"/>
        <v>1327.94</v>
      </c>
      <c r="S75" s="89">
        <f t="shared" si="12"/>
        <v>1346.34</v>
      </c>
      <c r="T75" s="89">
        <f t="shared" si="12"/>
        <v>1342.64</v>
      </c>
      <c r="U75" s="89">
        <f t="shared" si="12"/>
        <v>1348.7400000000002</v>
      </c>
      <c r="V75" s="89">
        <f t="shared" si="12"/>
        <v>1335.8400000000001</v>
      </c>
      <c r="W75" s="89">
        <f t="shared" si="12"/>
        <v>1416.54</v>
      </c>
      <c r="X75" s="89">
        <f t="shared" si="12"/>
        <v>1521.6399999999999</v>
      </c>
      <c r="Y75" s="89">
        <v>1568.84</v>
      </c>
      <c r="Z75" s="89">
        <f t="shared" si="12"/>
        <v>1474.54</v>
      </c>
      <c r="AA75" s="89">
        <f t="shared" si="12"/>
        <v>1525.54</v>
      </c>
      <c r="AB75" s="89">
        <f t="shared" si="12"/>
        <v>1457.74</v>
      </c>
      <c r="AC75" s="89">
        <f t="shared" si="12"/>
        <v>1282.44</v>
      </c>
      <c r="AD75" s="89">
        <f t="shared" si="12"/>
        <v>1215.3399999999999</v>
      </c>
      <c r="AE75" s="89">
        <f t="shared" si="12"/>
        <v>1033.04</v>
      </c>
      <c r="AF75" s="89">
        <f t="shared" si="12"/>
        <v>1023.74</v>
      </c>
      <c r="AG75" s="78">
        <f>AG72+AG68+AG56+AG52+AG38+AG74</f>
        <v>2144.14</v>
      </c>
      <c r="AH75" s="54">
        <f t="shared" si="2"/>
        <v>1568.84</v>
      </c>
      <c r="AI75" s="55">
        <f t="shared" si="3"/>
        <v>882.74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/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1846.0800000000002</v>
      </c>
      <c r="C83" s="72">
        <f t="shared" ref="C83:AG83" si="21">SUM(C70:C82)</f>
        <v>1801.08</v>
      </c>
      <c r="D83" s="72">
        <f t="shared" si="21"/>
        <v>1768.28</v>
      </c>
      <c r="E83" s="72">
        <f t="shared" si="21"/>
        <v>1765.48</v>
      </c>
      <c r="F83" s="72">
        <f t="shared" si="21"/>
        <v>1776.6799999999998</v>
      </c>
      <c r="G83" s="72">
        <f t="shared" si="21"/>
        <v>1858.6799999999998</v>
      </c>
      <c r="H83" s="72">
        <f t="shared" si="21"/>
        <v>2000.48</v>
      </c>
      <c r="I83" s="72">
        <f t="shared" si="21"/>
        <v>2145.48</v>
      </c>
      <c r="J83" s="72">
        <f t="shared" si="21"/>
        <v>2364.48</v>
      </c>
      <c r="K83" s="72">
        <f t="shared" si="21"/>
        <v>2598.08</v>
      </c>
      <c r="L83" s="72">
        <f t="shared" si="21"/>
        <v>2859.48</v>
      </c>
      <c r="M83" s="72">
        <f t="shared" si="21"/>
        <v>2975.2800000000007</v>
      </c>
      <c r="N83" s="72">
        <f t="shared" si="21"/>
        <v>2969.28</v>
      </c>
      <c r="O83" s="72">
        <f t="shared" si="21"/>
        <v>2797.4799999999996</v>
      </c>
      <c r="P83" s="72">
        <f t="shared" si="21"/>
        <v>2756.28</v>
      </c>
      <c r="Q83" s="72">
        <f t="shared" si="21"/>
        <v>2669.08</v>
      </c>
      <c r="R83" s="72">
        <f t="shared" si="21"/>
        <v>2655.88</v>
      </c>
      <c r="S83" s="72">
        <f t="shared" si="21"/>
        <v>2692.68</v>
      </c>
      <c r="T83" s="72">
        <f t="shared" si="21"/>
        <v>2685.28</v>
      </c>
      <c r="U83" s="72">
        <f t="shared" si="21"/>
        <v>2697.4800000000005</v>
      </c>
      <c r="V83" s="72">
        <f t="shared" si="21"/>
        <v>2671.6800000000003</v>
      </c>
      <c r="W83" s="72">
        <f t="shared" si="21"/>
        <v>2833.08</v>
      </c>
      <c r="X83" s="72">
        <f t="shared" si="21"/>
        <v>3043.2799999999997</v>
      </c>
      <c r="Y83" s="72">
        <v>207.3</v>
      </c>
      <c r="Z83" s="72">
        <f t="shared" si="21"/>
        <v>2949.08</v>
      </c>
      <c r="AA83" s="72">
        <f t="shared" si="21"/>
        <v>3051.08</v>
      </c>
      <c r="AB83" s="72">
        <f t="shared" si="21"/>
        <v>2915.48</v>
      </c>
      <c r="AC83" s="72">
        <f t="shared" si="21"/>
        <v>2564.88</v>
      </c>
      <c r="AD83" s="72">
        <f t="shared" si="21"/>
        <v>2430.6799999999998</v>
      </c>
      <c r="AE83" s="72">
        <f t="shared" si="21"/>
        <v>2066.08</v>
      </c>
      <c r="AF83" s="72">
        <f t="shared" si="21"/>
        <v>2047.48</v>
      </c>
      <c r="AG83" s="78">
        <f t="shared" si="21"/>
        <v>4360.08</v>
      </c>
      <c r="AH83" s="54">
        <f t="shared" si="14"/>
        <v>3051.08</v>
      </c>
      <c r="AI83" s="55">
        <f t="shared" si="15"/>
        <v>207.3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49.973999999999997</v>
      </c>
      <c r="C84" s="95">
        <v>49.996000000000002</v>
      </c>
      <c r="D84" s="95">
        <v>50.023000000000003</v>
      </c>
      <c r="E84" s="95">
        <v>49.959000000000003</v>
      </c>
      <c r="F84" s="95">
        <v>49.945999999999998</v>
      </c>
      <c r="G84" s="95">
        <v>49.997999999999998</v>
      </c>
      <c r="H84" s="95">
        <v>49.945</v>
      </c>
      <c r="I84" s="95">
        <v>49.987000000000002</v>
      </c>
      <c r="J84" s="95">
        <v>50.075000000000003</v>
      </c>
      <c r="K84" s="95">
        <v>50.121000000000002</v>
      </c>
      <c r="L84" s="95">
        <v>50.037999999999997</v>
      </c>
      <c r="M84" s="95">
        <v>50.024000000000001</v>
      </c>
      <c r="N84" s="95">
        <v>50.058999999999997</v>
      </c>
      <c r="O84" s="95">
        <v>50.039000000000001</v>
      </c>
      <c r="P84" s="95">
        <v>50.043999999999997</v>
      </c>
      <c r="Q84" s="95">
        <v>50.08</v>
      </c>
      <c r="R84" s="95">
        <v>50.033999999999999</v>
      </c>
      <c r="S84" s="95">
        <v>50.097000000000001</v>
      </c>
      <c r="T84" s="95">
        <v>49.972999999999999</v>
      </c>
      <c r="U84" s="95">
        <v>50.009</v>
      </c>
      <c r="V84" s="95">
        <v>50.031999999999996</v>
      </c>
      <c r="W84" s="95">
        <v>50.072000000000003</v>
      </c>
      <c r="X84" s="95">
        <v>50.02</v>
      </c>
      <c r="Y84" s="95">
        <v>49.959000000000003</v>
      </c>
      <c r="Z84" s="95">
        <v>49.972999999999999</v>
      </c>
      <c r="AA84" s="95">
        <v>49.972999999999999</v>
      </c>
      <c r="AB84" s="95">
        <v>49.99</v>
      </c>
      <c r="AC84" s="95">
        <v>50.07</v>
      </c>
      <c r="AD84" s="95">
        <v>50.01</v>
      </c>
      <c r="AE84" s="95">
        <v>50.01</v>
      </c>
      <c r="AF84" s="95">
        <v>50.05</v>
      </c>
      <c r="AG84" s="96"/>
      <c r="AH84" s="54">
        <f t="shared" si="14"/>
        <v>50.121000000000002</v>
      </c>
      <c r="AI84" s="55">
        <f t="shared" si="15"/>
        <v>49.945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125.3</v>
      </c>
      <c r="C85" s="73">
        <v>126.8</v>
      </c>
      <c r="D85" s="73">
        <v>127</v>
      </c>
      <c r="E85" s="73">
        <v>126.4</v>
      </c>
      <c r="F85" s="73">
        <v>126.3</v>
      </c>
      <c r="G85" s="73">
        <v>127.1</v>
      </c>
      <c r="H85" s="73">
        <v>124.1</v>
      </c>
      <c r="I85" s="73">
        <v>123.9</v>
      </c>
      <c r="J85" s="73">
        <v>124.9</v>
      </c>
      <c r="K85" s="73">
        <v>122.9</v>
      </c>
      <c r="L85" s="73">
        <v>122.4</v>
      </c>
      <c r="M85" s="73">
        <v>121.2</v>
      </c>
      <c r="N85" s="73">
        <v>121.2</v>
      </c>
      <c r="O85" s="73">
        <v>123.4</v>
      </c>
      <c r="P85" s="73">
        <v>122.8</v>
      </c>
      <c r="Q85" s="73">
        <v>123.5</v>
      </c>
      <c r="R85" s="73">
        <v>123.6</v>
      </c>
      <c r="S85" s="73">
        <v>124.9</v>
      </c>
      <c r="T85" s="73">
        <v>125.4</v>
      </c>
      <c r="U85" s="98">
        <v>124.8</v>
      </c>
      <c r="V85" s="98">
        <v>125.7</v>
      </c>
      <c r="W85" s="98">
        <v>124.7</v>
      </c>
      <c r="X85" s="98">
        <v>125.1</v>
      </c>
      <c r="Y85" s="98">
        <v>123.8</v>
      </c>
      <c r="Z85" s="98">
        <v>125.6</v>
      </c>
      <c r="AA85" s="98">
        <v>125.6</v>
      </c>
      <c r="AB85" s="98">
        <v>127.8</v>
      </c>
      <c r="AC85" s="98">
        <v>127.8</v>
      </c>
      <c r="AD85" s="98">
        <v>128.4</v>
      </c>
      <c r="AE85" s="98">
        <v>128.4</v>
      </c>
      <c r="AF85" s="98">
        <v>126.1</v>
      </c>
      <c r="AG85" s="99"/>
      <c r="AH85" s="54">
        <f t="shared" si="14"/>
        <v>128.4</v>
      </c>
      <c r="AI85" s="55">
        <f t="shared" si="15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129.69999999999999</v>
      </c>
      <c r="C86" s="73">
        <v>130.9</v>
      </c>
      <c r="D86" s="73">
        <v>130.80000000000001</v>
      </c>
      <c r="E86" s="73">
        <v>130.30000000000001</v>
      </c>
      <c r="F86" s="73">
        <v>130.69999999999999</v>
      </c>
      <c r="G86" s="73">
        <v>130.9</v>
      </c>
      <c r="H86" s="73">
        <v>128.5</v>
      </c>
      <c r="I86" s="73">
        <v>127.8</v>
      </c>
      <c r="J86" s="73">
        <v>128</v>
      </c>
      <c r="K86" s="73">
        <v>125.4</v>
      </c>
      <c r="L86" s="73">
        <v>125.1</v>
      </c>
      <c r="M86" s="73">
        <v>124.7</v>
      </c>
      <c r="N86" s="73">
        <v>125.1</v>
      </c>
      <c r="O86" s="73">
        <v>126.3</v>
      </c>
      <c r="P86" s="73">
        <v>125.6</v>
      </c>
      <c r="Q86" s="73">
        <v>126.1</v>
      </c>
      <c r="R86" s="73">
        <v>125.8</v>
      </c>
      <c r="S86" s="73">
        <v>127</v>
      </c>
      <c r="T86" s="73">
        <v>127.3</v>
      </c>
      <c r="U86" s="98">
        <v>127.1</v>
      </c>
      <c r="V86" s="98">
        <v>128</v>
      </c>
      <c r="W86" s="98">
        <v>126.8</v>
      </c>
      <c r="X86" s="98">
        <v>126.4</v>
      </c>
      <c r="Y86" s="98">
        <v>125.6</v>
      </c>
      <c r="Z86" s="98">
        <v>126.9</v>
      </c>
      <c r="AA86" s="98">
        <v>126.9</v>
      </c>
      <c r="AB86" s="98">
        <v>129.1</v>
      </c>
      <c r="AC86" s="98">
        <v>129.5</v>
      </c>
      <c r="AD86" s="98">
        <v>129.5</v>
      </c>
      <c r="AE86" s="98">
        <v>129.5</v>
      </c>
      <c r="AF86" s="98">
        <v>130.30000000000001</v>
      </c>
      <c r="AG86" s="99"/>
      <c r="AH86" s="54">
        <f t="shared" si="14"/>
        <v>130.9</v>
      </c>
      <c r="AI86" s="55">
        <f t="shared" si="15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130.1</v>
      </c>
      <c r="C87" s="73">
        <v>130.80000000000001</v>
      </c>
      <c r="D87" s="73">
        <v>130.9</v>
      </c>
      <c r="E87" s="73">
        <v>129.4</v>
      </c>
      <c r="F87" s="73">
        <v>129.1</v>
      </c>
      <c r="G87" s="73">
        <v>129</v>
      </c>
      <c r="H87" s="73">
        <v>129.6</v>
      </c>
      <c r="I87" s="73">
        <v>128.5</v>
      </c>
      <c r="J87" s="73">
        <v>127.3</v>
      </c>
      <c r="K87" s="73">
        <v>127.9</v>
      </c>
      <c r="L87" s="73">
        <v>126.5</v>
      </c>
      <c r="M87" s="73">
        <v>127.5</v>
      </c>
      <c r="N87" s="73">
        <v>127.7</v>
      </c>
      <c r="O87" s="73">
        <v>128.69999999999999</v>
      </c>
      <c r="P87" s="73">
        <v>129.5</v>
      </c>
      <c r="Q87" s="73">
        <v>129.69999999999999</v>
      </c>
      <c r="R87" s="73">
        <v>129.4</v>
      </c>
      <c r="S87" s="73">
        <v>127.8</v>
      </c>
      <c r="T87" s="73">
        <v>127.8</v>
      </c>
      <c r="U87" s="73">
        <v>126.3</v>
      </c>
      <c r="V87" s="73">
        <v>128.19999999999999</v>
      </c>
      <c r="W87" s="73">
        <v>130.1</v>
      </c>
      <c r="X87" s="98">
        <v>128.1</v>
      </c>
      <c r="Y87" s="98">
        <v>128.9</v>
      </c>
      <c r="Z87" s="98">
        <v>130</v>
      </c>
      <c r="AA87" s="98">
        <v>130</v>
      </c>
      <c r="AB87" s="98">
        <v>131.19999999999999</v>
      </c>
      <c r="AC87" s="98">
        <v>132.30000000000001</v>
      </c>
      <c r="AD87" s="98">
        <v>132.9</v>
      </c>
      <c r="AE87" s="98">
        <v>132.9</v>
      </c>
      <c r="AF87" s="98">
        <v>132.1</v>
      </c>
      <c r="AG87" s="99"/>
      <c r="AH87" s="54">
        <f t="shared" si="14"/>
        <v>132.9</v>
      </c>
      <c r="AI87" s="55">
        <f t="shared" si="15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132.4</v>
      </c>
      <c r="C88" s="73">
        <v>133</v>
      </c>
      <c r="D88" s="73">
        <v>133.4</v>
      </c>
      <c r="E88" s="73">
        <v>132</v>
      </c>
      <c r="F88" s="73">
        <v>131.80000000000001</v>
      </c>
      <c r="G88" s="73">
        <v>131.80000000000001</v>
      </c>
      <c r="H88" s="73">
        <v>131.9</v>
      </c>
      <c r="I88" s="73">
        <v>130.80000000000001</v>
      </c>
      <c r="J88" s="73">
        <v>130.6</v>
      </c>
      <c r="K88" s="73">
        <v>131.69999999999999</v>
      </c>
      <c r="L88" s="73">
        <v>129.69999999999999</v>
      </c>
      <c r="M88" s="73">
        <v>131.9</v>
      </c>
      <c r="N88" s="73">
        <v>131.6</v>
      </c>
      <c r="O88" s="73">
        <v>132.9</v>
      </c>
      <c r="P88" s="73">
        <v>134.19999999999999</v>
      </c>
      <c r="Q88" s="73">
        <v>132.4</v>
      </c>
      <c r="R88" s="73">
        <v>133.6</v>
      </c>
      <c r="S88" s="73">
        <v>131.1</v>
      </c>
      <c r="T88" s="73">
        <v>130.9</v>
      </c>
      <c r="U88" s="73">
        <v>129.30000000000001</v>
      </c>
      <c r="V88" s="73">
        <v>131.6</v>
      </c>
      <c r="W88" s="73">
        <v>133</v>
      </c>
      <c r="X88" s="98">
        <v>132.19999999999999</v>
      </c>
      <c r="Y88" s="98">
        <v>134.9</v>
      </c>
      <c r="Z88" s="98">
        <v>133.5</v>
      </c>
      <c r="AA88" s="98">
        <v>133.5</v>
      </c>
      <c r="AB88" s="98">
        <v>133.30000000000001</v>
      </c>
      <c r="AC88" s="98">
        <v>134.4</v>
      </c>
      <c r="AD88" s="98">
        <v>134.4</v>
      </c>
      <c r="AE88" s="98">
        <v>134.4</v>
      </c>
      <c r="AF88" s="98">
        <v>134.6</v>
      </c>
      <c r="AG88" s="99"/>
      <c r="AH88" s="54">
        <f t="shared" si="14"/>
        <v>134.9</v>
      </c>
      <c r="AI88" s="55">
        <f t="shared" si="15"/>
        <v>129.30000000000001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123.9</v>
      </c>
      <c r="C89" s="101">
        <v>131.9</v>
      </c>
      <c r="D89" s="101">
        <v>131.4</v>
      </c>
      <c r="E89" s="101">
        <v>132.5</v>
      </c>
      <c r="F89" s="101">
        <v>130.9</v>
      </c>
      <c r="G89" s="101">
        <v>136.19999999999999</v>
      </c>
      <c r="H89" s="101">
        <v>130.1</v>
      </c>
      <c r="I89" s="101">
        <v>134.1</v>
      </c>
      <c r="J89" s="101">
        <v>131.69999999999999</v>
      </c>
      <c r="K89" s="101">
        <v>134.80000000000001</v>
      </c>
      <c r="L89" s="101">
        <v>132.80000000000001</v>
      </c>
      <c r="M89" s="101">
        <v>131.69999999999999</v>
      </c>
      <c r="N89" s="101">
        <v>132</v>
      </c>
      <c r="O89" s="101">
        <v>135.1</v>
      </c>
      <c r="P89" s="101">
        <v>134.80000000000001</v>
      </c>
      <c r="Q89" s="101">
        <v>134.9</v>
      </c>
      <c r="R89" s="101">
        <v>133.30000000000001</v>
      </c>
      <c r="S89" s="101">
        <v>131</v>
      </c>
      <c r="T89" s="101">
        <v>134</v>
      </c>
      <c r="U89" s="101">
        <v>132.9</v>
      </c>
      <c r="V89" s="101">
        <v>135.30000000000001</v>
      </c>
      <c r="W89" s="101">
        <v>133.69999999999999</v>
      </c>
      <c r="X89" s="98">
        <v>134.6</v>
      </c>
      <c r="Y89" s="98">
        <v>133.80000000000001</v>
      </c>
      <c r="Z89" s="98">
        <v>133.6</v>
      </c>
      <c r="AA89" s="98">
        <v>133.6</v>
      </c>
      <c r="AB89" s="98">
        <v>135.4</v>
      </c>
      <c r="AC89" s="98">
        <v>135.80000000000001</v>
      </c>
      <c r="AD89" s="98">
        <v>135.80000000000001</v>
      </c>
      <c r="AE89" s="98">
        <v>135.80000000000001</v>
      </c>
      <c r="AF89" s="98">
        <v>133.30000000000001</v>
      </c>
      <c r="AG89" s="102"/>
      <c r="AH89" s="54">
        <f t="shared" si="14"/>
        <v>136.19999999999999</v>
      </c>
      <c r="AI89" s="55">
        <f t="shared" si="15"/>
        <v>123.9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136.30000000000001</v>
      </c>
      <c r="C90" s="73">
        <v>135.1</v>
      </c>
      <c r="D90" s="73">
        <v>135.1</v>
      </c>
      <c r="E90" s="73">
        <v>137.1</v>
      </c>
      <c r="F90" s="73">
        <v>133.9</v>
      </c>
      <c r="G90" s="73">
        <v>132.6</v>
      </c>
      <c r="H90" s="73">
        <v>135.5</v>
      </c>
      <c r="I90" s="73">
        <v>134.69999999999999</v>
      </c>
      <c r="J90" s="73">
        <v>130.69999999999999</v>
      </c>
      <c r="K90" s="73">
        <v>130.4</v>
      </c>
      <c r="L90" s="73">
        <v>126.1</v>
      </c>
      <c r="M90" s="73">
        <v>124.2</v>
      </c>
      <c r="N90" s="73">
        <v>127.7</v>
      </c>
      <c r="O90" s="73">
        <v>125.1</v>
      </c>
      <c r="P90" s="73">
        <v>126.1</v>
      </c>
      <c r="Q90" s="73">
        <v>133.6</v>
      </c>
      <c r="R90" s="73">
        <v>130.1</v>
      </c>
      <c r="S90" s="73">
        <v>128.4</v>
      </c>
      <c r="T90" s="73">
        <v>128.30000000000001</v>
      </c>
      <c r="U90" s="73">
        <v>129.5</v>
      </c>
      <c r="V90" s="73">
        <v>131.1</v>
      </c>
      <c r="W90" s="73">
        <v>133</v>
      </c>
      <c r="X90" s="98">
        <v>131.69999999999999</v>
      </c>
      <c r="Y90" s="98">
        <v>129.5</v>
      </c>
      <c r="Z90" s="98">
        <v>131.19999999999999</v>
      </c>
      <c r="AA90" s="98">
        <v>131.19999999999999</v>
      </c>
      <c r="AB90" s="98">
        <v>129.80000000000001</v>
      </c>
      <c r="AC90" s="98">
        <v>131.19999999999999</v>
      </c>
      <c r="AD90" s="98">
        <v>131.19999999999999</v>
      </c>
      <c r="AE90" s="98">
        <v>131.19999999999999</v>
      </c>
      <c r="AF90" s="98">
        <v>137.30000000000001</v>
      </c>
      <c r="AG90" s="99"/>
      <c r="AH90" s="54">
        <f t="shared" si="14"/>
        <v>137.30000000000001</v>
      </c>
      <c r="AI90" s="55">
        <f t="shared" si="15"/>
        <v>124.2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65.400000000000006</v>
      </c>
      <c r="C91" s="103">
        <v>66</v>
      </c>
      <c r="D91" s="103">
        <v>66.099999999999994</v>
      </c>
      <c r="E91" s="103">
        <v>66.099999999999994</v>
      </c>
      <c r="F91" s="103">
        <v>65.8</v>
      </c>
      <c r="G91" s="103">
        <v>66</v>
      </c>
      <c r="H91" s="103">
        <v>65</v>
      </c>
      <c r="I91" s="103">
        <v>64.3</v>
      </c>
      <c r="J91" s="103">
        <v>65</v>
      </c>
      <c r="K91" s="103">
        <v>63.4</v>
      </c>
      <c r="L91" s="103">
        <v>63.3</v>
      </c>
      <c r="M91" s="103">
        <v>63.5</v>
      </c>
      <c r="N91" s="103">
        <v>63.6</v>
      </c>
      <c r="O91" s="103">
        <v>64.400000000000006</v>
      </c>
      <c r="P91" s="103">
        <v>64</v>
      </c>
      <c r="Q91" s="103">
        <v>64.2</v>
      </c>
      <c r="R91" s="103">
        <v>64.3</v>
      </c>
      <c r="S91" s="103">
        <v>64.5</v>
      </c>
      <c r="T91" s="103">
        <v>64</v>
      </c>
      <c r="U91" s="103">
        <v>63.9</v>
      </c>
      <c r="V91" s="103">
        <v>64.3</v>
      </c>
      <c r="W91" s="103">
        <v>63.9</v>
      </c>
      <c r="X91" s="103">
        <v>63.5</v>
      </c>
      <c r="Y91" s="103">
        <v>63.3</v>
      </c>
      <c r="Z91" s="103">
        <v>64</v>
      </c>
      <c r="AA91" s="103">
        <v>64</v>
      </c>
      <c r="AB91" s="103">
        <v>64.5</v>
      </c>
      <c r="AC91" s="103">
        <v>64.900000000000006</v>
      </c>
      <c r="AD91" s="103">
        <v>64.900000000000006</v>
      </c>
      <c r="AE91" s="103">
        <v>64.900000000000006</v>
      </c>
      <c r="AF91" s="103">
        <v>65.5</v>
      </c>
      <c r="AG91" s="104"/>
      <c r="AH91" s="54">
        <f t="shared" si="14"/>
        <v>66.099999999999994</v>
      </c>
      <c r="AI91" s="55">
        <f t="shared" si="15"/>
        <v>63.3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197.03999999999996</v>
      </c>
      <c r="C93" s="110">
        <f>SUM(C15,C18,C21:C22,C42,C44:C45,C47,C49,C94:C97,C102,C108,C114,C123,C125,C137,C144,C147:C148,C155,C157,C159,C163:C165,C167:C169,C174,C180:C181,C183:C185,C193,C198)</f>
        <v>180.23999999999995</v>
      </c>
      <c r="D93" s="110">
        <f t="shared" ref="D93:AF93" si="22">SUM(D15,D18,D21:D22,D42,D44:D45,D47,D49,D94:D97,D102,D108,D114,D123,D125,D137,D144,D147:D148,D155,D157,D159,D163:D165,D167:D169,D174,D180:D181,D183:D185,D193,D198)</f>
        <v>173.04</v>
      </c>
      <c r="E93" s="110">
        <f t="shared" si="22"/>
        <v>163.23999999999998</v>
      </c>
      <c r="F93" s="110">
        <f t="shared" si="22"/>
        <v>173.14</v>
      </c>
      <c r="G93" s="109">
        <f t="shared" si="22"/>
        <v>196.14</v>
      </c>
      <c r="H93" s="109">
        <f t="shared" si="22"/>
        <v>218.73999999999995</v>
      </c>
      <c r="I93" s="109">
        <f t="shared" si="22"/>
        <v>248.03999999999996</v>
      </c>
      <c r="J93" s="109">
        <f t="shared" si="22"/>
        <v>297.34000000000003</v>
      </c>
      <c r="K93" s="109">
        <f t="shared" si="22"/>
        <v>353.04</v>
      </c>
      <c r="L93" s="109">
        <f t="shared" si="22"/>
        <v>400.64</v>
      </c>
      <c r="M93" s="109">
        <f t="shared" si="22"/>
        <v>428.94000000000005</v>
      </c>
      <c r="N93" s="109">
        <f t="shared" si="22"/>
        <v>417.54</v>
      </c>
      <c r="O93" s="109">
        <f t="shared" si="22"/>
        <v>405.64</v>
      </c>
      <c r="P93" s="109">
        <f t="shared" si="22"/>
        <v>399.24</v>
      </c>
      <c r="Q93" s="109">
        <f t="shared" si="22"/>
        <v>396.34000000000003</v>
      </c>
      <c r="R93" s="109">
        <f t="shared" si="22"/>
        <v>396.04</v>
      </c>
      <c r="S93" s="109">
        <f t="shared" si="22"/>
        <v>422.74</v>
      </c>
      <c r="T93" s="109">
        <f t="shared" si="22"/>
        <v>420.24</v>
      </c>
      <c r="U93" s="109">
        <f t="shared" si="22"/>
        <v>403.84000000000003</v>
      </c>
      <c r="V93" s="109">
        <f t="shared" si="22"/>
        <v>411.24</v>
      </c>
      <c r="W93" s="109">
        <f t="shared" si="22"/>
        <v>437.94000000000005</v>
      </c>
      <c r="X93" s="109">
        <f t="shared" si="22"/>
        <v>487.24000000000007</v>
      </c>
      <c r="Y93" s="109">
        <v>505.6970833333333</v>
      </c>
      <c r="Z93" s="109">
        <f t="shared" si="22"/>
        <v>486.44000000000005</v>
      </c>
      <c r="AA93" s="109">
        <f t="shared" si="22"/>
        <v>486.44000000000005</v>
      </c>
      <c r="AB93" s="109">
        <f t="shared" si="22"/>
        <v>447.84000000000003</v>
      </c>
      <c r="AC93" s="109">
        <f t="shared" si="22"/>
        <v>421.54</v>
      </c>
      <c r="AD93" s="109">
        <f t="shared" si="22"/>
        <v>388.54000000000008</v>
      </c>
      <c r="AE93" s="109">
        <f t="shared" si="22"/>
        <v>305.04000000000008</v>
      </c>
      <c r="AF93" s="109">
        <f t="shared" si="22"/>
        <v>290.04000000000008</v>
      </c>
      <c r="AG93" s="111"/>
      <c r="AH93" s="54">
        <f>MAX(C93:AF93)</f>
        <v>505.6970833333333</v>
      </c>
      <c r="AI93" s="55">
        <f>MIN(C93:AF93)</f>
        <v>163.23999999999998</v>
      </c>
    </row>
    <row r="94" spans="1:88" x14ac:dyDescent="0.25">
      <c r="A94" s="112" t="s">
        <v>98</v>
      </c>
      <c r="B94" s="175">
        <v>9</v>
      </c>
      <c r="C94" s="58">
        <v>3.2</v>
      </c>
      <c r="D94" s="58">
        <v>-12.1</v>
      </c>
      <c r="E94" s="58">
        <v>-12.3</v>
      </c>
      <c r="F94" s="58">
        <v>-14.7</v>
      </c>
      <c r="G94" s="114">
        <v>0</v>
      </c>
      <c r="H94" s="114">
        <v>4.9000000000000004</v>
      </c>
      <c r="I94" s="114">
        <v>17.5</v>
      </c>
      <c r="J94" s="114">
        <v>33</v>
      </c>
      <c r="K94" s="114">
        <v>66.3</v>
      </c>
      <c r="L94" s="114">
        <v>62.1</v>
      </c>
      <c r="M94" s="113">
        <v>57</v>
      </c>
      <c r="N94" s="114">
        <v>61.4</v>
      </c>
      <c r="O94" s="114">
        <v>60.7</v>
      </c>
      <c r="P94" s="114">
        <v>64.5</v>
      </c>
      <c r="Q94" s="114">
        <v>62.3</v>
      </c>
      <c r="R94" s="114">
        <v>50.5</v>
      </c>
      <c r="S94" s="114">
        <v>47.8</v>
      </c>
      <c r="T94" s="114">
        <v>30.1</v>
      </c>
      <c r="U94" s="113">
        <v>22.7</v>
      </c>
      <c r="V94" s="113">
        <v>26.5</v>
      </c>
      <c r="W94" s="113">
        <v>47.5</v>
      </c>
      <c r="X94" s="114">
        <v>64.900000000000006</v>
      </c>
      <c r="Y94" s="114">
        <v>63.7</v>
      </c>
      <c r="Z94" s="114">
        <v>77.400000000000006</v>
      </c>
      <c r="AA94" s="114">
        <v>77.400000000000006</v>
      </c>
      <c r="AB94" s="114">
        <v>77.400000000000006</v>
      </c>
      <c r="AC94" s="113">
        <v>63.5</v>
      </c>
      <c r="AD94" s="113">
        <v>40.299999999999997</v>
      </c>
      <c r="AE94" s="113">
        <v>14.6</v>
      </c>
      <c r="AF94" s="113">
        <v>-18.2</v>
      </c>
      <c r="AG94" s="115">
        <v>75</v>
      </c>
      <c r="AH94" s="54">
        <f t="shared" ref="AH94:AH99" si="23">IF(ABS(MAX(C94:AF94))&gt;ABS(MIN(C94:AF94)),MAX(C94:AF94),MIN(C94:AF94))</f>
        <v>77.400000000000006</v>
      </c>
      <c r="AI94" s="116">
        <f t="shared" ref="AI94:AI99" si="24">INDEX($C$9:$AF$9,1,MATCH(AH94,C94:AF94,0))</f>
        <v>0.79166666666666663</v>
      </c>
    </row>
    <row r="95" spans="1:88" x14ac:dyDescent="0.25">
      <c r="A95" s="117" t="s">
        <v>99</v>
      </c>
      <c r="B95" s="176">
        <v>-72.099999999999994</v>
      </c>
      <c r="C95" s="60">
        <v>-78</v>
      </c>
      <c r="D95" s="60">
        <v>-72.5</v>
      </c>
      <c r="E95" s="60">
        <v>-77</v>
      </c>
      <c r="F95" s="60">
        <v>-74</v>
      </c>
      <c r="G95" s="60">
        <v>-63.3</v>
      </c>
      <c r="H95" s="60">
        <v>-56</v>
      </c>
      <c r="I95" s="60">
        <v>-43.2</v>
      </c>
      <c r="J95" s="60">
        <v>-22</v>
      </c>
      <c r="K95" s="60">
        <v>-14</v>
      </c>
      <c r="L95" s="60">
        <v>-8</v>
      </c>
      <c r="M95" s="60">
        <v>8.1</v>
      </c>
      <c r="N95" s="60">
        <v>-4.0999999999999996</v>
      </c>
      <c r="O95" s="60">
        <v>4</v>
      </c>
      <c r="P95" s="60">
        <v>8</v>
      </c>
      <c r="Q95" s="60">
        <v>11.1</v>
      </c>
      <c r="R95" s="60">
        <v>31.5</v>
      </c>
      <c r="S95" s="60">
        <f>25+20</f>
        <v>45</v>
      </c>
      <c r="T95" s="60">
        <f>27+22</f>
        <v>49</v>
      </c>
      <c r="U95" s="60">
        <v>35</v>
      </c>
      <c r="V95" s="60">
        <v>39</v>
      </c>
      <c r="W95" s="60">
        <f>36+32</f>
        <v>68</v>
      </c>
      <c r="X95" s="60">
        <f>42+39</f>
        <v>81</v>
      </c>
      <c r="Y95" s="60">
        <v>67</v>
      </c>
      <c r="Z95" s="60">
        <v>55</v>
      </c>
      <c r="AA95" s="60">
        <v>55</v>
      </c>
      <c r="AB95" s="60">
        <f>21.4+16.2</f>
        <v>37.599999999999994</v>
      </c>
      <c r="AC95" s="73">
        <f>19.8+16.3</f>
        <v>36.1</v>
      </c>
      <c r="AD95" s="73">
        <f>19+17.3</f>
        <v>36.299999999999997</v>
      </c>
      <c r="AE95" s="73">
        <f>2.1+2.2</f>
        <v>4.3000000000000007</v>
      </c>
      <c r="AF95" s="73">
        <f>25.7+28.7</f>
        <v>54.4</v>
      </c>
      <c r="AG95" s="115">
        <v>240</v>
      </c>
      <c r="AH95" s="54">
        <f t="shared" si="23"/>
        <v>81</v>
      </c>
      <c r="AI95" s="116">
        <f t="shared" si="24"/>
        <v>0.75</v>
      </c>
    </row>
    <row r="96" spans="1:88" x14ac:dyDescent="0.25">
      <c r="A96" s="117" t="s">
        <v>100</v>
      </c>
      <c r="B96" s="176">
        <v>13.6</v>
      </c>
      <c r="C96" s="60">
        <v>13.5</v>
      </c>
      <c r="D96" s="60">
        <v>11.3</v>
      </c>
      <c r="E96" s="60">
        <v>11.8</v>
      </c>
      <c r="F96" s="60">
        <v>11.5</v>
      </c>
      <c r="G96" s="60">
        <v>11.7</v>
      </c>
      <c r="H96" s="60">
        <v>11.5</v>
      </c>
      <c r="I96" s="60">
        <v>10.9</v>
      </c>
      <c r="J96" s="60">
        <v>10.5</v>
      </c>
      <c r="K96" s="60">
        <v>11.1</v>
      </c>
      <c r="L96" s="60">
        <v>51.7</v>
      </c>
      <c r="M96" s="60">
        <v>61.2</v>
      </c>
      <c r="N96" s="60">
        <v>61</v>
      </c>
      <c r="O96" s="60">
        <v>61.4</v>
      </c>
      <c r="P96" s="60">
        <v>38.200000000000003</v>
      </c>
      <c r="Q96" s="60">
        <v>39.700000000000003</v>
      </c>
      <c r="R96" s="60">
        <v>30.2</v>
      </c>
      <c r="S96" s="60">
        <v>52.7</v>
      </c>
      <c r="T96" s="60">
        <v>65.400000000000006</v>
      </c>
      <c r="U96" s="60">
        <v>66.2</v>
      </c>
      <c r="V96" s="60">
        <v>66.5</v>
      </c>
      <c r="W96" s="60">
        <v>66.8</v>
      </c>
      <c r="X96" s="60">
        <v>66.2</v>
      </c>
      <c r="Y96" s="60">
        <v>67.5</v>
      </c>
      <c r="Z96" s="60">
        <v>64.400000000000006</v>
      </c>
      <c r="AA96" s="60">
        <v>64.400000000000006</v>
      </c>
      <c r="AB96" s="60">
        <v>65.400000000000006</v>
      </c>
      <c r="AC96" s="73">
        <v>52.4</v>
      </c>
      <c r="AD96" s="73">
        <v>31.6</v>
      </c>
      <c r="AE96" s="73">
        <v>11</v>
      </c>
      <c r="AF96" s="73">
        <v>-3.2</v>
      </c>
      <c r="AG96" s="115">
        <v>60</v>
      </c>
      <c r="AH96" s="54">
        <f t="shared" si="23"/>
        <v>67.5</v>
      </c>
      <c r="AI96" s="116">
        <f t="shared" si="24"/>
        <v>0.77083333333333337</v>
      </c>
    </row>
    <row r="97" spans="1:37" x14ac:dyDescent="0.25">
      <c r="A97" s="118" t="s">
        <v>101</v>
      </c>
      <c r="B97" s="177">
        <v>58.6</v>
      </c>
      <c r="C97" s="63">
        <v>53.6</v>
      </c>
      <c r="D97" s="63">
        <v>60.7</v>
      </c>
      <c r="E97" s="63">
        <v>55.1</v>
      </c>
      <c r="F97" s="63">
        <v>63.6</v>
      </c>
      <c r="G97" s="63">
        <v>61</v>
      </c>
      <c r="H97" s="63">
        <v>73.8</v>
      </c>
      <c r="I97" s="63">
        <v>78.5</v>
      </c>
      <c r="J97" s="63">
        <v>91.3</v>
      </c>
      <c r="K97" s="63">
        <v>105.1</v>
      </c>
      <c r="L97" s="63">
        <v>108.6</v>
      </c>
      <c r="M97" s="63">
        <v>116</v>
      </c>
      <c r="N97" s="63">
        <v>112.8</v>
      </c>
      <c r="O97" s="63">
        <v>96.6</v>
      </c>
      <c r="P97" s="63">
        <v>105.6</v>
      </c>
      <c r="Q97" s="63">
        <v>102.3</v>
      </c>
      <c r="R97" s="63">
        <v>108.1</v>
      </c>
      <c r="S97" s="63">
        <v>101.5</v>
      </c>
      <c r="T97" s="63">
        <v>99</v>
      </c>
      <c r="U97" s="63">
        <v>103</v>
      </c>
      <c r="V97" s="63">
        <v>102.5</v>
      </c>
      <c r="W97" s="63">
        <v>74.7</v>
      </c>
      <c r="X97" s="63">
        <v>94</v>
      </c>
      <c r="Y97" s="63">
        <v>101.7</v>
      </c>
      <c r="Z97" s="63">
        <v>98.6</v>
      </c>
      <c r="AA97" s="63">
        <v>98.6</v>
      </c>
      <c r="AB97" s="63">
        <v>74.599999999999994</v>
      </c>
      <c r="AC97" s="119">
        <v>74.8</v>
      </c>
      <c r="AD97" s="119">
        <v>85.6</v>
      </c>
      <c r="AE97" s="119">
        <v>80.400000000000006</v>
      </c>
      <c r="AF97" s="119">
        <v>62.3</v>
      </c>
      <c r="AG97" s="120">
        <v>120</v>
      </c>
      <c r="AH97" s="54">
        <f t="shared" si="23"/>
        <v>116</v>
      </c>
      <c r="AI97" s="116">
        <f t="shared" si="24"/>
        <v>0.33333333333333331</v>
      </c>
    </row>
    <row r="98" spans="1:37" x14ac:dyDescent="0.25">
      <c r="A98" s="118" t="s">
        <v>102</v>
      </c>
      <c r="B98" s="177">
        <v>71.8</v>
      </c>
      <c r="C98" s="63">
        <v>68.5</v>
      </c>
      <c r="D98" s="63">
        <v>78.099999999999994</v>
      </c>
      <c r="E98" s="63">
        <v>71.7</v>
      </c>
      <c r="F98" s="63">
        <v>78.5</v>
      </c>
      <c r="G98" s="63">
        <v>77.7</v>
      </c>
      <c r="H98" s="63">
        <v>88.1</v>
      </c>
      <c r="I98" s="63">
        <v>92.7</v>
      </c>
      <c r="J98" s="63">
        <v>95</v>
      </c>
      <c r="K98" s="63">
        <v>89.1</v>
      </c>
      <c r="L98" s="63">
        <v>90</v>
      </c>
      <c r="M98" s="63">
        <v>99.6</v>
      </c>
      <c r="N98" s="63">
        <v>90.2</v>
      </c>
      <c r="O98" s="63">
        <v>94.5</v>
      </c>
      <c r="P98" s="63">
        <v>100.1</v>
      </c>
      <c r="Q98" s="63">
        <v>94</v>
      </c>
      <c r="R98" s="63">
        <v>105</v>
      </c>
      <c r="S98" s="63">
        <v>84.8</v>
      </c>
      <c r="T98" s="63">
        <v>80.900000000000006</v>
      </c>
      <c r="U98" s="63">
        <v>83.4</v>
      </c>
      <c r="V98" s="63">
        <v>80</v>
      </c>
      <c r="W98" s="63">
        <v>88.78</v>
      </c>
      <c r="X98" s="63">
        <v>82.4</v>
      </c>
      <c r="Y98" s="63">
        <v>78.3</v>
      </c>
      <c r="Z98" s="63">
        <v>62.1</v>
      </c>
      <c r="AA98" s="63">
        <v>62.1</v>
      </c>
      <c r="AB98" s="63">
        <v>36.200000000000003</v>
      </c>
      <c r="AC98" s="119">
        <v>54</v>
      </c>
      <c r="AD98" s="119">
        <v>65</v>
      </c>
      <c r="AE98" s="119">
        <v>69.5</v>
      </c>
      <c r="AF98" s="119">
        <v>74.599999999999994</v>
      </c>
      <c r="AG98" s="120"/>
      <c r="AH98" s="54">
        <f t="shared" si="23"/>
        <v>105</v>
      </c>
      <c r="AI98" s="116">
        <f t="shared" si="24"/>
        <v>0.54166666666666696</v>
      </c>
    </row>
    <row r="99" spans="1:37" ht="15.75" thickBot="1" x14ac:dyDescent="0.3">
      <c r="A99" s="118" t="s">
        <v>217</v>
      </c>
      <c r="B99" s="177">
        <v>63.9</v>
      </c>
      <c r="C99" s="63">
        <v>62.9</v>
      </c>
      <c r="D99" s="63">
        <v>64.3</v>
      </c>
      <c r="E99" s="63">
        <v>65.8</v>
      </c>
      <c r="F99" s="63">
        <v>64.2</v>
      </c>
      <c r="G99" s="63">
        <v>49.3</v>
      </c>
      <c r="H99" s="63">
        <v>56.9</v>
      </c>
      <c r="I99" s="63">
        <v>42.1</v>
      </c>
      <c r="J99" s="63">
        <v>48.4</v>
      </c>
      <c r="K99" s="63">
        <v>8.3000000000000007</v>
      </c>
      <c r="L99" s="63">
        <v>13.3</v>
      </c>
      <c r="M99" s="63">
        <v>18.100000000000001</v>
      </c>
      <c r="N99" s="63">
        <v>12.8</v>
      </c>
      <c r="O99" s="63">
        <v>20.3</v>
      </c>
      <c r="P99" s="63">
        <v>17.7</v>
      </c>
      <c r="Q99" s="63">
        <v>13.1</v>
      </c>
      <c r="R99" s="63">
        <v>10</v>
      </c>
      <c r="S99" s="63">
        <v>12.3</v>
      </c>
      <c r="T99" s="63"/>
      <c r="U99" s="63">
        <v>31.5</v>
      </c>
      <c r="V99" s="63">
        <v>21.8</v>
      </c>
      <c r="W99" s="63">
        <v>16.2</v>
      </c>
      <c r="X99" s="63">
        <v>17.100000000000001</v>
      </c>
      <c r="Y99" s="63">
        <v>15.4</v>
      </c>
      <c r="Z99" s="63">
        <v>4</v>
      </c>
      <c r="AA99" s="63">
        <v>4</v>
      </c>
      <c r="AB99" s="63">
        <v>-1.7</v>
      </c>
      <c r="AC99" s="119">
        <v>8.9</v>
      </c>
      <c r="AD99" s="119">
        <v>13.3</v>
      </c>
      <c r="AE99" s="119">
        <v>47.3</v>
      </c>
      <c r="AF99" s="119">
        <v>73.8</v>
      </c>
      <c r="AG99" s="121"/>
      <c r="AH99" s="54">
        <f t="shared" si="23"/>
        <v>73.8</v>
      </c>
      <c r="AI99" s="116">
        <f t="shared" si="24"/>
        <v>0.95833333333333304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1487.6400000000003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2078/09/28)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923.04000000000008</v>
      </c>
      <c r="U213" s="167">
        <f t="shared" si="61"/>
        <v>900.54</v>
      </c>
      <c r="V213" s="167">
        <f t="shared" si="61"/>
        <v>884.14</v>
      </c>
      <c r="W213" s="167">
        <f t="shared" si="61"/>
        <v>882.74</v>
      </c>
      <c r="X213" s="167">
        <f t="shared" si="61"/>
        <v>888.33999999999992</v>
      </c>
      <c r="Y213" s="167">
        <f t="shared" si="61"/>
        <v>929.33999999999992</v>
      </c>
      <c r="Z213" s="167">
        <f t="shared" si="61"/>
        <v>1000.24</v>
      </c>
      <c r="AA213" s="167">
        <f t="shared" si="61"/>
        <v>1072.74</v>
      </c>
      <c r="AB213" s="167">
        <f t="shared" si="61"/>
        <v>1182.24</v>
      </c>
      <c r="AC213" s="167">
        <f t="shared" si="61"/>
        <v>1299.04</v>
      </c>
      <c r="AD213" s="167">
        <f t="shared" si="61"/>
        <v>1429.74</v>
      </c>
      <c r="AE213" s="167">
        <f t="shared" si="61"/>
        <v>1487.6400000000003</v>
      </c>
      <c r="AF213" s="167">
        <f t="shared" si="61"/>
        <v>1484.64</v>
      </c>
      <c r="AG213" s="167">
        <f t="shared" si="61"/>
        <v>1398.7399999999998</v>
      </c>
      <c r="AH213" s="167">
        <f t="shared" si="61"/>
        <v>1378.14</v>
      </c>
      <c r="AI213" s="167">
        <f t="shared" si="61"/>
        <v>1334.54</v>
      </c>
      <c r="AJ213" s="167">
        <f t="shared" si="61"/>
        <v>1327.94</v>
      </c>
      <c r="AK213" s="167">
        <f t="shared" si="61"/>
        <v>1346.34</v>
      </c>
      <c r="AL213" s="167">
        <f t="shared" si="61"/>
        <v>1342.64</v>
      </c>
      <c r="AM213" s="167">
        <f t="shared" si="61"/>
        <v>1348.7400000000002</v>
      </c>
      <c r="AN213" s="167">
        <f t="shared" si="61"/>
        <v>1335.8400000000001</v>
      </c>
      <c r="AO213" s="167">
        <f t="shared" si="61"/>
        <v>1416.54</v>
      </c>
      <c r="AP213" s="167">
        <f t="shared" si="61"/>
        <v>1521.6399999999999</v>
      </c>
      <c r="AQ213" s="167">
        <f t="shared" si="61"/>
        <v>1568.84</v>
      </c>
      <c r="AR213" s="167">
        <f t="shared" si="61"/>
        <v>1474.54</v>
      </c>
      <c r="AS213" s="167">
        <f t="shared" si="61"/>
        <v>1525.54</v>
      </c>
      <c r="AT213" s="167">
        <f t="shared" si="61"/>
        <v>1457.74</v>
      </c>
      <c r="AU213" s="167">
        <f t="shared" si="61"/>
        <v>1282.44</v>
      </c>
      <c r="AV213" s="167">
        <f t="shared" si="61"/>
        <v>1215.3399999999999</v>
      </c>
      <c r="AW213" s="167">
        <f t="shared" si="61"/>
        <v>1033.04</v>
      </c>
      <c r="AX213" s="167">
        <f t="shared" si="61"/>
        <v>1023.74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C57:L59 N62:N67 O61:O67 M16:O20 U40:Y42 AB81:AF81 B81:R81 C56:AF56 B82:AF83 D193:AF199 B193:B199 AF84:AF91 B84:B91 B9:AF10 B191:AF191 B53:B56 AG73 B94:B99 U212:AF212 B68:AF80 L60:O60 C60:K61 L61:N61 C63:L67 O21:O32 O36:P36 P16:P32 M12:P14 P60:R67 T40:T41 M39:S42 M58:W59 N45:V48 M37:X37 W46:X48 M11:AF11 Y18:AF30 Y36:AF36 Z40:AF43 M53:AF55 X85:AF91 AC94:AF99">
    <cfRule type="expression" dxfId="1401" priority="358">
      <formula>B$9&gt;=20/24</formula>
    </cfRule>
    <cfRule type="expression" dxfId="1400" priority="359">
      <formula>AND(B$9&gt;=14/24,B$9&lt;20/24)</formula>
    </cfRule>
    <cfRule type="expression" dxfId="1399" priority="360">
      <formula>AND(B$9&gt;=8/24,B$9&lt;14/24)</formula>
    </cfRule>
    <cfRule type="expression" dxfId="1398" priority="361">
      <formula>B$9&lt;8/24</formula>
    </cfRule>
  </conditionalFormatting>
  <conditionalFormatting sqref="AL4:AL6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397" priority="353">
      <formula>M$9&gt;=20/24</formula>
    </cfRule>
    <cfRule type="expression" dxfId="1396" priority="354">
      <formula>AND(M$9&gt;=14/24,M$9&lt;20/24)</formula>
    </cfRule>
    <cfRule type="expression" dxfId="1395" priority="355">
      <formula>AND(M$9&gt;=8/24,M$9&lt;14/24)</formula>
    </cfRule>
    <cfRule type="expression" dxfId="1394" priority="356">
      <formula>M$9&lt;8/24</formula>
    </cfRule>
  </conditionalFormatting>
  <conditionalFormatting sqref="M43:S43">
    <cfRule type="expression" dxfId="1393" priority="349">
      <formula>M$9&gt;=20/24</formula>
    </cfRule>
    <cfRule type="expression" dxfId="1392" priority="350">
      <formula>AND(M$9&gt;=14/24,M$9&lt;20/24)</formula>
    </cfRule>
    <cfRule type="expression" dxfId="1391" priority="351">
      <formula>AND(M$9&gt;=8/24,M$9&lt;14/24)</formula>
    </cfRule>
    <cfRule type="expression" dxfId="1390" priority="352">
      <formula>M$9&lt;8/24</formula>
    </cfRule>
  </conditionalFormatting>
  <conditionalFormatting sqref="T39:AF39">
    <cfRule type="expression" dxfId="1389" priority="341">
      <formula>T$9&gt;=20/24</formula>
    </cfRule>
    <cfRule type="expression" dxfId="1388" priority="342">
      <formula>AND(T$9&gt;=14/24,T$9&lt;20/24)</formula>
    </cfRule>
    <cfRule type="expression" dxfId="1387" priority="343">
      <formula>AND(T$9&gt;=8/24,T$9&lt;14/24)</formula>
    </cfRule>
    <cfRule type="expression" dxfId="1386" priority="344">
      <formula>T$9&lt;8/24</formula>
    </cfRule>
  </conditionalFormatting>
  <conditionalFormatting sqref="S57:AF57">
    <cfRule type="expression" dxfId="1385" priority="337">
      <formula>S$9&gt;=20/24</formula>
    </cfRule>
    <cfRule type="expression" dxfId="1384" priority="338">
      <formula>AND(S$9&gt;=14/24,S$9&lt;20/24)</formula>
    </cfRule>
    <cfRule type="expression" dxfId="1383" priority="339">
      <formula>AND(S$9&gt;=8/24,S$9&lt;14/24)</formula>
    </cfRule>
    <cfRule type="expression" dxfId="1382" priority="340">
      <formula>S$9&lt;8/24</formula>
    </cfRule>
  </conditionalFormatting>
  <conditionalFormatting sqref="S81:AA81">
    <cfRule type="expression" dxfId="1381" priority="333">
      <formula>S$9&gt;=20/24</formula>
    </cfRule>
    <cfRule type="expression" dxfId="1380" priority="334">
      <formula>AND(S$9&gt;=14/24,S$9&lt;20/24)</formula>
    </cfRule>
    <cfRule type="expression" dxfId="1379" priority="335">
      <formula>AND(S$9&gt;=8/24,S$9&lt;14/24)</formula>
    </cfRule>
    <cfRule type="expression" dxfId="1378" priority="336">
      <formula>S$9&lt;8/24</formula>
    </cfRule>
  </conditionalFormatting>
  <conditionalFormatting sqref="U84:AE84">
    <cfRule type="expression" dxfId="1377" priority="329">
      <formula>U$9&gt;=20/24</formula>
    </cfRule>
    <cfRule type="expression" dxfId="1376" priority="330">
      <formula>AND(U$9&gt;=14/24,U$9&lt;20/24)</formula>
    </cfRule>
    <cfRule type="expression" dxfId="1375" priority="331">
      <formula>AND(U$9&gt;=8/24,U$9&lt;14/24)</formula>
    </cfRule>
    <cfRule type="expression" dxfId="1374" priority="332">
      <formula>U$9&lt;8/24</formula>
    </cfRule>
  </conditionalFormatting>
  <conditionalFormatting sqref="O35:P35">
    <cfRule type="expression" dxfId="1373" priority="325">
      <formula>O$9&gt;=20/24</formula>
    </cfRule>
    <cfRule type="expression" dxfId="1372" priority="326">
      <formula>AND(O$9&gt;=14/24,O$9&lt;20/24)</formula>
    </cfRule>
    <cfRule type="expression" dxfId="1371" priority="327">
      <formula>AND(O$9&gt;=8/24,O$9&lt;14/24)</formula>
    </cfRule>
    <cfRule type="expression" dxfId="1370" priority="328">
      <formula>O$9&lt;8/24</formula>
    </cfRule>
  </conditionalFormatting>
  <conditionalFormatting sqref="M49:X49">
    <cfRule type="expression" dxfId="1369" priority="321">
      <formula>M$9&gt;=20/24</formula>
    </cfRule>
    <cfRule type="expression" dxfId="1368" priority="322">
      <formula>AND(M$9&gt;=14/24,M$9&lt;20/24)</formula>
    </cfRule>
    <cfRule type="expression" dxfId="1367" priority="323">
      <formula>AND(M$9&gt;=8/24,M$9&lt;14/24)</formula>
    </cfRule>
    <cfRule type="expression" dxfId="1366" priority="324">
      <formula>M$9&lt;8/24</formula>
    </cfRule>
  </conditionalFormatting>
  <conditionalFormatting sqref="M50:X50">
    <cfRule type="expression" dxfId="1365" priority="317">
      <formula>M$9&gt;=20/24</formula>
    </cfRule>
    <cfRule type="expression" dxfId="1364" priority="318">
      <formula>AND(M$9&gt;=14/24,M$9&lt;20/24)</formula>
    </cfRule>
    <cfRule type="expression" dxfId="1363" priority="319">
      <formula>AND(M$9&gt;=8/24,M$9&lt;14/24)</formula>
    </cfRule>
    <cfRule type="expression" dxfId="1362" priority="320">
      <formula>M$9&lt;8/24</formula>
    </cfRule>
  </conditionalFormatting>
  <conditionalFormatting sqref="M45:O45 M47:N48 N46 O46:O48 P45:V48 W46:X48 Y46:AF46">
    <cfRule type="expression" dxfId="1361" priority="313">
      <formula>M$9&gt;=20/24</formula>
    </cfRule>
    <cfRule type="expression" dxfId="1360" priority="314">
      <formula>AND(M$9&gt;=14/24,M$9&lt;20/24)</formula>
    </cfRule>
    <cfRule type="expression" dxfId="1359" priority="315">
      <formula>AND(M$9&gt;=8/24,M$9&lt;14/24)</formula>
    </cfRule>
    <cfRule type="expression" dxfId="1358" priority="316">
      <formula>M$9&lt;8/24</formula>
    </cfRule>
  </conditionalFormatting>
  <conditionalFormatting sqref="Y37:AF37">
    <cfRule type="expression" dxfId="1357" priority="309">
      <formula>Y$9&gt;=20/24</formula>
    </cfRule>
    <cfRule type="expression" dxfId="1356" priority="310">
      <formula>AND(Y$9&gt;=14/24,Y$9&lt;20/24)</formula>
    </cfRule>
    <cfRule type="expression" dxfId="1355" priority="311">
      <formula>AND(Y$9&gt;=8/24,Y$9&lt;14/24)</formula>
    </cfRule>
    <cfRule type="expression" dxfId="1354" priority="312">
      <formula>Y$9&lt;8/24</formula>
    </cfRule>
  </conditionalFormatting>
  <conditionalFormatting sqref="Y31:AF32 Y35:AF35">
    <cfRule type="expression" dxfId="1353" priority="305">
      <formula>Y$9&gt;=20/24</formula>
    </cfRule>
    <cfRule type="expression" dxfId="1352" priority="306">
      <formula>AND(Y$9&gt;=14/24,Y$9&lt;20/24)</formula>
    </cfRule>
    <cfRule type="expression" dxfId="1351" priority="307">
      <formula>AND(Y$9&gt;=8/24,Y$9&lt;14/24)</formula>
    </cfRule>
    <cfRule type="expression" dxfId="1350" priority="308">
      <formula>Y$9&lt;8/24</formula>
    </cfRule>
  </conditionalFormatting>
  <conditionalFormatting sqref="T42:T43 U43:AF43 T45:AF48">
    <cfRule type="expression" dxfId="1349" priority="301">
      <formula>T$9&gt;=20/24</formula>
    </cfRule>
    <cfRule type="expression" dxfId="1348" priority="302">
      <formula>AND(T$9&gt;=14/24,T$9&lt;20/24)</formula>
    </cfRule>
    <cfRule type="expression" dxfId="1347" priority="303">
      <formula>AND(T$9&gt;=8/24,T$9&lt;14/24)</formula>
    </cfRule>
    <cfRule type="expression" dxfId="1346" priority="304">
      <formula>T$9&lt;8/24</formula>
    </cfRule>
  </conditionalFormatting>
  <conditionalFormatting sqref="T49:AF49">
    <cfRule type="expression" dxfId="1345" priority="297">
      <formula>T$9&gt;=20/24</formula>
    </cfRule>
    <cfRule type="expression" dxfId="1344" priority="298">
      <formula>AND(T$9&gt;=14/24,T$9&lt;20/24)</formula>
    </cfRule>
    <cfRule type="expression" dxfId="1343" priority="299">
      <formula>AND(T$9&gt;=8/24,T$9&lt;14/24)</formula>
    </cfRule>
    <cfRule type="expression" dxfId="1342" priority="300">
      <formula>T$9&lt;8/24</formula>
    </cfRule>
  </conditionalFormatting>
  <conditionalFormatting sqref="T50:AF50">
    <cfRule type="expression" dxfId="1341" priority="293">
      <formula>T$9&gt;=20/24</formula>
    </cfRule>
    <cfRule type="expression" dxfId="1340" priority="294">
      <formula>AND(T$9&gt;=14/24,T$9&lt;20/24)</formula>
    </cfRule>
    <cfRule type="expression" dxfId="1339" priority="295">
      <formula>AND(T$9&gt;=8/24,T$9&lt;14/24)</formula>
    </cfRule>
    <cfRule type="expression" dxfId="1338" priority="296">
      <formula>T$9&lt;8/24</formula>
    </cfRule>
  </conditionalFormatting>
  <conditionalFormatting sqref="S60:T67 U62:X67 X60:AF67">
    <cfRule type="expression" dxfId="1337" priority="289">
      <formula>S$9&gt;=20/24</formula>
    </cfRule>
    <cfRule type="expression" dxfId="1336" priority="290">
      <formula>AND(S$9&gt;=14/24,S$9&lt;20/24)</formula>
    </cfRule>
    <cfRule type="expression" dxfId="1335" priority="291">
      <formula>AND(S$9&gt;=8/24,S$9&lt;14/24)</formula>
    </cfRule>
    <cfRule type="expression" dxfId="1334" priority="292">
      <formula>S$9&lt;8/24</formula>
    </cfRule>
  </conditionalFormatting>
  <conditionalFormatting sqref="C62:L62">
    <cfRule type="expression" dxfId="1333" priority="285">
      <formula>C$9&gt;=20/24</formula>
    </cfRule>
    <cfRule type="expression" dxfId="1332" priority="286">
      <formula>AND(C$9&gt;=14/24,C$9&lt;20/24)</formula>
    </cfRule>
    <cfRule type="expression" dxfId="1331" priority="287">
      <formula>AND(C$9&gt;=8/24,C$9&lt;14/24)</formula>
    </cfRule>
    <cfRule type="expression" dxfId="1330" priority="288">
      <formula>C$9&lt;8/24</formula>
    </cfRule>
  </conditionalFormatting>
  <conditionalFormatting sqref="U94:AB97">
    <cfRule type="expression" dxfId="1329" priority="281">
      <formula>U$9&gt;=20/24</formula>
    </cfRule>
    <cfRule type="expression" dxfId="1328" priority="282">
      <formula>AND(U$9&gt;=14/24,U$9&lt;20/24)</formula>
    </cfRule>
    <cfRule type="expression" dxfId="1327" priority="283">
      <formula>AND(U$9&gt;=8/24,U$9&lt;14/24)</formula>
    </cfRule>
    <cfRule type="expression" dxfId="1326" priority="284">
      <formula>U$9&lt;8/24</formula>
    </cfRule>
  </conditionalFormatting>
  <conditionalFormatting sqref="M16:O20 B38:AF38 C51:AG51 D39:R41 G42:H42 D42:F43 H43:H44 G43 K42:R42 I42:J44 L43:R43 K43:K44 M44:O45 L44 O21:O32 M47:N50 N46 O46:O50 O34:P36 P16:P32 L12:P14 P44:R50 C37:X37 B11:AF11 Y18:AF32 Y34:AF37 S39:AF50 B52:AF56">
    <cfRule type="expression" dxfId="1325" priority="280">
      <formula>B11&gt;$AG11</formula>
    </cfRule>
  </conditionalFormatting>
  <conditionalFormatting sqref="A100:A156 A84:A97 A11:A14 A16:A32 A45:A72 A80:A82 A74:A78 A35:A43 A169:A199">
    <cfRule type="expression" dxfId="1324" priority="279">
      <formula>$AH11=0</formula>
    </cfRule>
  </conditionalFormatting>
  <conditionalFormatting sqref="U98:AB98">
    <cfRule type="expression" dxfId="1323" priority="275">
      <formula>U$9&gt;=20/24</formula>
    </cfRule>
    <cfRule type="expression" dxfId="1322" priority="276">
      <formula>AND(U$9&gt;=14/24,U$9&lt;20/24)</formula>
    </cfRule>
    <cfRule type="expression" dxfId="1321" priority="277">
      <formula>AND(U$9&gt;=8/24,U$9&lt;14/24)</formula>
    </cfRule>
    <cfRule type="expression" dxfId="1320" priority="278">
      <formula>U$9&lt;8/24</formula>
    </cfRule>
  </conditionalFormatting>
  <conditionalFormatting sqref="A98">
    <cfRule type="expression" dxfId="1319" priority="274">
      <formula>$AH98=0</formula>
    </cfRule>
  </conditionalFormatting>
  <conditionalFormatting sqref="M62:M67">
    <cfRule type="expression" dxfId="1318" priority="262">
      <formula>M$9&gt;=20/24</formula>
    </cfRule>
    <cfRule type="expression" dxfId="1317" priority="263">
      <formula>AND(M$9&gt;=14/24,M$9&lt;20/24)</formula>
    </cfRule>
    <cfRule type="expression" dxfId="1316" priority="264">
      <formula>AND(M$9&gt;=8/24,M$9&lt;14/24)</formula>
    </cfRule>
    <cfRule type="expression" dxfId="1315" priority="265">
      <formula>M$9&lt;8/24</formula>
    </cfRule>
  </conditionalFormatting>
  <conditionalFormatting sqref="AL32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O34:P34">
    <cfRule type="expression" dxfId="1314" priority="253">
      <formula>O$9&gt;=20/24</formula>
    </cfRule>
    <cfRule type="expression" dxfId="1313" priority="254">
      <formula>AND(O$9&gt;=14/24,O$9&lt;20/24)</formula>
    </cfRule>
    <cfRule type="expression" dxfId="1312" priority="255">
      <formula>AND(O$9&gt;=8/24,O$9&lt;14/24)</formula>
    </cfRule>
    <cfRule type="expression" dxfId="1311" priority="256">
      <formula>O$9&lt;8/24</formula>
    </cfRule>
  </conditionalFormatting>
  <conditionalFormatting sqref="Y34:AF34">
    <cfRule type="expression" dxfId="1310" priority="249">
      <formula>Y$9&gt;=20/24</formula>
    </cfRule>
    <cfRule type="expression" dxfId="1309" priority="250">
      <formula>AND(Y$9&gt;=14/24,Y$9&lt;20/24)</formula>
    </cfRule>
    <cfRule type="expression" dxfId="1308" priority="251">
      <formula>AND(Y$9&gt;=8/24,Y$9&lt;14/24)</formula>
    </cfRule>
    <cfRule type="expression" dxfId="1307" priority="252">
      <formula>Y$9&lt;8/24</formula>
    </cfRule>
  </conditionalFormatting>
  <conditionalFormatting sqref="A34">
    <cfRule type="expression" dxfId="1306" priority="248">
      <formula>$AH34=0</formula>
    </cfRule>
  </conditionalFormatting>
  <conditionalFormatting sqref="A83">
    <cfRule type="expression" dxfId="1305" priority="247">
      <formula>$AH83=0</formula>
    </cfRule>
  </conditionalFormatting>
  <conditionalFormatting sqref="M15:P15">
    <cfRule type="expression" dxfId="1304" priority="239">
      <formula>M$9&gt;=20/24</formula>
    </cfRule>
    <cfRule type="expression" dxfId="1303" priority="240">
      <formula>AND(M$9&gt;=14/24,M$9&lt;20/24)</formula>
    </cfRule>
    <cfRule type="expression" dxfId="1302" priority="241">
      <formula>AND(M$9&gt;=8/24,M$9&lt;14/24)</formula>
    </cfRule>
    <cfRule type="expression" dxfId="1301" priority="242">
      <formula>M$9&lt;8/24</formula>
    </cfRule>
  </conditionalFormatting>
  <conditionalFormatting sqref="L15:P15">
    <cfRule type="expression" dxfId="1300" priority="238">
      <formula>L15&gt;$AG15</formula>
    </cfRule>
  </conditionalFormatting>
  <conditionalFormatting sqref="A15">
    <cfRule type="expression" dxfId="1299" priority="237">
      <formula>$AH15=0</formula>
    </cfRule>
  </conditionalFormatting>
  <conditionalFormatting sqref="A163:A168">
    <cfRule type="expression" dxfId="1298" priority="236">
      <formula>$AH163=0</formula>
    </cfRule>
  </conditionalFormatting>
  <conditionalFormatting sqref="A157:A162">
    <cfRule type="expression" dxfId="1297" priority="235">
      <formula>$AH157=0</formula>
    </cfRule>
  </conditionalFormatting>
  <conditionalFormatting sqref="Z44:AF44">
    <cfRule type="expression" dxfId="1296" priority="231">
      <formula>Z$9&gt;=20/24</formula>
    </cfRule>
    <cfRule type="expression" dxfId="1295" priority="232">
      <formula>AND(Z$9&gt;=14/24,Z$9&lt;20/24)</formula>
    </cfRule>
    <cfRule type="expression" dxfId="1294" priority="233">
      <formula>AND(Z$9&gt;=8/24,Z$9&lt;14/24)</formula>
    </cfRule>
    <cfRule type="expression" dxfId="1293" priority="234">
      <formula>Z$9&lt;8/24</formula>
    </cfRule>
  </conditionalFormatting>
  <conditionalFormatting sqref="M44:U44">
    <cfRule type="expression" dxfId="1292" priority="227">
      <formula>M$9&gt;=20/24</formula>
    </cfRule>
    <cfRule type="expression" dxfId="1291" priority="228">
      <formula>AND(M$9&gt;=14/24,M$9&lt;20/24)</formula>
    </cfRule>
    <cfRule type="expression" dxfId="1290" priority="229">
      <formula>AND(M$9&gt;=8/24,M$9&lt;14/24)</formula>
    </cfRule>
    <cfRule type="expression" dxfId="1289" priority="230">
      <formula>M$9&lt;8/24</formula>
    </cfRule>
  </conditionalFormatting>
  <conditionalFormatting sqref="T44:AF44">
    <cfRule type="expression" dxfId="1288" priority="223">
      <formula>T$9&gt;=20/24</formula>
    </cfRule>
    <cfRule type="expression" dxfId="1287" priority="224">
      <formula>AND(T$9&gt;=14/24,T$9&lt;20/24)</formula>
    </cfRule>
    <cfRule type="expression" dxfId="1286" priority="225">
      <formula>AND(T$9&gt;=8/24,T$9&lt;14/24)</formula>
    </cfRule>
    <cfRule type="expression" dxfId="1285" priority="226">
      <formula>T$9&lt;8/24</formula>
    </cfRule>
  </conditionalFormatting>
  <conditionalFormatting sqref="A44">
    <cfRule type="expression" dxfId="1284" priority="222">
      <formula>$AH44=0</formula>
    </cfRule>
  </conditionalFormatting>
  <conditionalFormatting sqref="A79">
    <cfRule type="expression" dxfId="1283" priority="221">
      <formula>$AH79=0</formula>
    </cfRule>
  </conditionalFormatting>
  <conditionalFormatting sqref="A73">
    <cfRule type="expression" dxfId="1282" priority="220">
      <formula>$AH73=0</formula>
    </cfRule>
  </conditionalFormatting>
  <conditionalFormatting sqref="AL34:AL35 AL7:AL31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1281" priority="216">
      <formula>U$9&gt;=20/24</formula>
    </cfRule>
    <cfRule type="expression" dxfId="1280" priority="217">
      <formula>AND(U$9&gt;=14/24,U$9&lt;20/24)</formula>
    </cfRule>
    <cfRule type="expression" dxfId="1279" priority="218">
      <formula>AND(U$9&gt;=8/24,U$9&lt;14/24)</formula>
    </cfRule>
    <cfRule type="expression" dxfId="1278" priority="219">
      <formula>U$9&lt;8/24</formula>
    </cfRule>
  </conditionalFormatting>
  <conditionalFormatting sqref="U85:W91">
    <cfRule type="expression" dxfId="1277" priority="212">
      <formula>U$9&gt;=20/24</formula>
    </cfRule>
    <cfRule type="expression" dxfId="1276" priority="213">
      <formula>AND(U$9&gt;=14/24,U$9&lt;20/24)</formula>
    </cfRule>
    <cfRule type="expression" dxfId="1275" priority="214">
      <formula>AND(U$9&gt;=8/24,U$9&lt;14/24)</formula>
    </cfRule>
    <cfRule type="expression" dxfId="1274" priority="215">
      <formula>U$9&lt;8/24</formula>
    </cfRule>
  </conditionalFormatting>
  <conditionalFormatting sqref="S85:T91 C84:R91">
    <cfRule type="expression" dxfId="1273" priority="208">
      <formula>C$9&gt;=20/24</formula>
    </cfRule>
    <cfRule type="expression" dxfId="1272" priority="209">
      <formula>AND(C$9&gt;=14/24,C$9&lt;20/24)</formula>
    </cfRule>
    <cfRule type="expression" dxfId="1271" priority="210">
      <formula>AND(C$9&gt;=8/24,C$9&lt;14/24)</formula>
    </cfRule>
    <cfRule type="expression" dxfId="1270" priority="211">
      <formula>C$9&lt;8/24</formula>
    </cfRule>
  </conditionalFormatting>
  <conditionalFormatting sqref="S84:T84">
    <cfRule type="expression" dxfId="1269" priority="204">
      <formula>S$9&gt;=20/24</formula>
    </cfRule>
    <cfRule type="expression" dxfId="1268" priority="205">
      <formula>AND(S$9&gt;=14/24,S$9&lt;20/24)</formula>
    </cfRule>
    <cfRule type="expression" dxfId="1267" priority="206">
      <formula>AND(S$9&gt;=8/24,S$9&lt;14/24)</formula>
    </cfRule>
    <cfRule type="expression" dxfId="1266" priority="207">
      <formula>S$9&lt;8/24</formula>
    </cfRule>
  </conditionalFormatting>
  <conditionalFormatting sqref="C95:M97 C94:F94">
    <cfRule type="expression" dxfId="1265" priority="200">
      <formula>C$9&gt;=20/24</formula>
    </cfRule>
    <cfRule type="expression" dxfId="1264" priority="201">
      <formula>AND(C$9&gt;=14/24,C$9&lt;20/24)</formula>
    </cfRule>
    <cfRule type="expression" dxfId="1263" priority="202">
      <formula>AND(C$9&gt;=8/24,C$9&lt;14/24)</formula>
    </cfRule>
    <cfRule type="expression" dxfId="1262" priority="203">
      <formula>C$9&lt;8/24</formula>
    </cfRule>
  </conditionalFormatting>
  <conditionalFormatting sqref="N95:R97 O94:R94">
    <cfRule type="expression" dxfId="1261" priority="196">
      <formula>N$9&gt;=20/24</formula>
    </cfRule>
    <cfRule type="expression" dxfId="1260" priority="197">
      <formula>AND(N$9&gt;=14/24,N$9&lt;20/24)</formula>
    </cfRule>
    <cfRule type="expression" dxfId="1259" priority="198">
      <formula>AND(N$9&gt;=8/24,N$9&lt;14/24)</formula>
    </cfRule>
    <cfRule type="expression" dxfId="1258" priority="199">
      <formula>N$9&lt;8/24</formula>
    </cfRule>
  </conditionalFormatting>
  <conditionalFormatting sqref="S94:T97">
    <cfRule type="expression" dxfId="1257" priority="192">
      <formula>S$9&gt;=20/24</formula>
    </cfRule>
    <cfRule type="expression" dxfId="1256" priority="193">
      <formula>AND(S$9&gt;=14/24,S$9&lt;20/24)</formula>
    </cfRule>
    <cfRule type="expression" dxfId="1255" priority="194">
      <formula>AND(S$9&gt;=8/24,S$9&lt;14/24)</formula>
    </cfRule>
    <cfRule type="expression" dxfId="1254" priority="195">
      <formula>S$9&lt;8/24</formula>
    </cfRule>
  </conditionalFormatting>
  <conditionalFormatting sqref="C98:M98">
    <cfRule type="expression" dxfId="1253" priority="188">
      <formula>C$9&gt;=20/24</formula>
    </cfRule>
    <cfRule type="expression" dxfId="1252" priority="189">
      <formula>AND(C$9&gt;=14/24,C$9&lt;20/24)</formula>
    </cfRule>
    <cfRule type="expression" dxfId="1251" priority="190">
      <formula>AND(C$9&gt;=8/24,C$9&lt;14/24)</formula>
    </cfRule>
    <cfRule type="expression" dxfId="1250" priority="191">
      <formula>C$9&lt;8/24</formula>
    </cfRule>
  </conditionalFormatting>
  <conditionalFormatting sqref="N98:R98">
    <cfRule type="expression" dxfId="1249" priority="184">
      <formula>N$9&gt;=20/24</formula>
    </cfRule>
    <cfRule type="expression" dxfId="1248" priority="185">
      <formula>AND(N$9&gt;=14/24,N$9&lt;20/24)</formula>
    </cfRule>
    <cfRule type="expression" dxfId="1247" priority="186">
      <formula>AND(N$9&gt;=8/24,N$9&lt;14/24)</formula>
    </cfRule>
    <cfRule type="expression" dxfId="1246" priority="187">
      <formula>N$9&lt;8/24</formula>
    </cfRule>
  </conditionalFormatting>
  <conditionalFormatting sqref="S98:T98">
    <cfRule type="expression" dxfId="1245" priority="180">
      <formula>S$9&gt;=20/24</formula>
    </cfRule>
    <cfRule type="expression" dxfId="1244" priority="181">
      <formula>AND(S$9&gt;=14/24,S$9&lt;20/24)</formula>
    </cfRule>
    <cfRule type="expression" dxfId="1243" priority="182">
      <formula>AND(S$9&gt;=8/24,S$9&lt;14/24)</formula>
    </cfRule>
    <cfRule type="expression" dxfId="1242" priority="183">
      <formula>S$9&lt;8/24</formula>
    </cfRule>
  </conditionalFormatting>
  <conditionalFormatting sqref="M94:N94">
    <cfRule type="expression" dxfId="1241" priority="176">
      <formula>M$9&gt;=20/24</formula>
    </cfRule>
    <cfRule type="expression" dxfId="1240" priority="177">
      <formula>AND(M$9&gt;=14/24,M$9&lt;20/24)</formula>
    </cfRule>
    <cfRule type="expression" dxfId="1239" priority="178">
      <formula>AND(M$9&gt;=8/24,M$9&lt;14/24)</formula>
    </cfRule>
    <cfRule type="expression" dxfId="1238" priority="179">
      <formula>M$9&lt;8/24</formula>
    </cfRule>
  </conditionalFormatting>
  <conditionalFormatting sqref="G94:L94">
    <cfRule type="expression" dxfId="1237" priority="172">
      <formula>G$9&gt;=20/24</formula>
    </cfRule>
    <cfRule type="expression" dxfId="1236" priority="173">
      <formula>AND(G$9&gt;=14/24,G$9&lt;20/24)</formula>
    </cfRule>
    <cfRule type="expression" dxfId="1235" priority="174">
      <formula>AND(G$9&gt;=8/24,G$9&lt;14/24)</formula>
    </cfRule>
    <cfRule type="expression" dxfId="1234" priority="175">
      <formula>G$9&lt;8/24</formula>
    </cfRule>
  </conditionalFormatting>
  <conditionalFormatting sqref="U94:W94">
    <cfRule type="expression" dxfId="1233" priority="168">
      <formula>U$9&gt;=20/24</formula>
    </cfRule>
    <cfRule type="expression" dxfId="1232" priority="169">
      <formula>AND(U$9&gt;=14/24,U$9&lt;20/24)</formula>
    </cfRule>
    <cfRule type="expression" dxfId="1231" priority="170">
      <formula>AND(U$9&gt;=8/24,U$9&lt;14/24)</formula>
    </cfRule>
    <cfRule type="expression" dxfId="1230" priority="171">
      <formula>U$9&lt;8/24</formula>
    </cfRule>
  </conditionalFormatting>
  <conditionalFormatting sqref="N94:T94">
    <cfRule type="expression" dxfId="1229" priority="164">
      <formula>N$9&gt;=20/24</formula>
    </cfRule>
    <cfRule type="expression" dxfId="1228" priority="165">
      <formula>AND(N$9&gt;=14/24,N$9&lt;20/24)</formula>
    </cfRule>
    <cfRule type="expression" dxfId="1227" priority="166">
      <formula>AND(N$9&gt;=8/24,N$9&lt;14/24)</formula>
    </cfRule>
    <cfRule type="expression" dxfId="1226" priority="167">
      <formula>N$9&lt;8/24</formula>
    </cfRule>
  </conditionalFormatting>
  <conditionalFormatting sqref="U99:AB99">
    <cfRule type="expression" dxfId="1225" priority="160">
      <formula>U$9&gt;=20/24</formula>
    </cfRule>
    <cfRule type="expression" dxfId="1224" priority="161">
      <formula>AND(U$9&gt;=14/24,U$9&lt;20/24)</formula>
    </cfRule>
    <cfRule type="expression" dxfId="1223" priority="162">
      <formula>AND(U$9&gt;=8/24,U$9&lt;14/24)</formula>
    </cfRule>
    <cfRule type="expression" dxfId="1222" priority="163">
      <formula>U$9&lt;8/24</formula>
    </cfRule>
  </conditionalFormatting>
  <conditionalFormatting sqref="C99:M99">
    <cfRule type="expression" dxfId="1221" priority="156">
      <formula>C$9&gt;=20/24</formula>
    </cfRule>
    <cfRule type="expression" dxfId="1220" priority="157">
      <formula>AND(C$9&gt;=14/24,C$9&lt;20/24)</formula>
    </cfRule>
    <cfRule type="expression" dxfId="1219" priority="158">
      <formula>AND(C$9&gt;=8/24,C$9&lt;14/24)</formula>
    </cfRule>
    <cfRule type="expression" dxfId="1218" priority="159">
      <formula>C$9&lt;8/24</formula>
    </cfRule>
  </conditionalFormatting>
  <conditionalFormatting sqref="N99:R99">
    <cfRule type="expression" dxfId="1217" priority="152">
      <formula>N$9&gt;=20/24</formula>
    </cfRule>
    <cfRule type="expression" dxfId="1216" priority="153">
      <formula>AND(N$9&gt;=14/24,N$9&lt;20/24)</formula>
    </cfRule>
    <cfRule type="expression" dxfId="1215" priority="154">
      <formula>AND(N$9&gt;=8/24,N$9&lt;14/24)</formula>
    </cfRule>
    <cfRule type="expression" dxfId="1214" priority="155">
      <formula>N$9&lt;8/24</formula>
    </cfRule>
  </conditionalFormatting>
  <conditionalFormatting sqref="S99:T99">
    <cfRule type="expression" dxfId="1213" priority="148">
      <formula>S$9&gt;=20/24</formula>
    </cfRule>
    <cfRule type="expression" dxfId="1212" priority="149">
      <formula>AND(S$9&gt;=14/24,S$9&lt;20/24)</formula>
    </cfRule>
    <cfRule type="expression" dxfId="1211" priority="150">
      <formula>AND(S$9&gt;=8/24,S$9&lt;14/24)</formula>
    </cfRule>
    <cfRule type="expression" dxfId="1210" priority="151">
      <formula>S$9&lt;8/24</formula>
    </cfRule>
  </conditionalFormatting>
  <conditionalFormatting sqref="Y12:AF16">
    <cfRule type="expression" dxfId="1209" priority="144">
      <formula>Y$9&gt;=20/24</formula>
    </cfRule>
    <cfRule type="expression" dxfId="1208" priority="145">
      <formula>AND(Y$9&gt;=14/24,Y$9&lt;20/24)</formula>
    </cfRule>
    <cfRule type="expression" dxfId="1207" priority="146">
      <formula>AND(Y$9&gt;=8/24,Y$9&lt;14/24)</formula>
    </cfRule>
    <cfRule type="expression" dxfId="1206" priority="147">
      <formula>Y$9&lt;8/24</formula>
    </cfRule>
  </conditionalFormatting>
  <conditionalFormatting sqref="Y17:AF17">
    <cfRule type="expression" dxfId="1205" priority="140">
      <formula>Y$9&gt;=20/24</formula>
    </cfRule>
    <cfRule type="expression" dxfId="1204" priority="141">
      <formula>AND(Y$9&gt;=14/24,Y$9&lt;20/24)</formula>
    </cfRule>
    <cfRule type="expression" dxfId="1203" priority="142">
      <formula>AND(Y$9&gt;=8/24,Y$9&lt;14/24)</formula>
    </cfRule>
    <cfRule type="expression" dxfId="1202" priority="143">
      <formula>Y$9&lt;8/24</formula>
    </cfRule>
  </conditionalFormatting>
  <conditionalFormatting sqref="Y12:AF13">
    <cfRule type="expression" dxfId="1201" priority="136">
      <formula>Y$9&gt;=20/24</formula>
    </cfRule>
    <cfRule type="expression" dxfId="1200" priority="137">
      <formula>AND(Y$9&gt;=14/24,Y$9&lt;20/24)</formula>
    </cfRule>
    <cfRule type="expression" dxfId="1199" priority="138">
      <formula>AND(Y$9&gt;=8/24,Y$9&lt;14/24)</formula>
    </cfRule>
    <cfRule type="expression" dxfId="1198" priority="139">
      <formula>Y$9&lt;8/24</formula>
    </cfRule>
  </conditionalFormatting>
  <conditionalFormatting sqref="AL3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97" priority="365">
      <formula>C$9&gt;=20/24</formula>
    </cfRule>
    <cfRule type="expression" dxfId="1196" priority="366">
      <formula>AND(C$9&gt;=14/24,C$9&lt;20/24)</formula>
    </cfRule>
    <cfRule type="expression" dxfId="1195" priority="367">
      <formula>AND(C$9&gt;=8/24,C$9&lt;14/24)</formula>
    </cfRule>
    <cfRule type="expression" dxfId="1194" priority="368">
      <formula>C$9&lt;8/24</formula>
    </cfRule>
  </conditionalFormatting>
  <conditionalFormatting sqref="A200">
    <cfRule type="expression" dxfId="1193" priority="369">
      <formula>$AH200=0</formula>
    </cfRule>
  </conditionalFormatting>
  <conditionalFormatting sqref="AG212">
    <cfRule type="expression" dxfId="1192" priority="370">
      <formula>B$9&gt;=20/24</formula>
    </cfRule>
    <cfRule type="expression" dxfId="1191" priority="371">
      <formula>AND(B$9&gt;=14/24,B$9&lt;20/24)</formula>
    </cfRule>
    <cfRule type="expression" dxfId="1190" priority="372">
      <formula>AND(B$9&gt;=8/24,B$9&lt;14/24)</formula>
    </cfRule>
    <cfRule type="expression" dxfId="1189" priority="373">
      <formula>B$9&lt;8/24</formula>
    </cfRule>
  </conditionalFormatting>
  <conditionalFormatting sqref="S8">
    <cfRule type="expression" dxfId="1188" priority="126">
      <formula>U$9&gt;=20/24</formula>
    </cfRule>
    <cfRule type="expression" dxfId="1187" priority="127">
      <formula>AND(U$9&gt;=14/24,U$9&lt;20/24)</formula>
    </cfRule>
    <cfRule type="expression" dxfId="1186" priority="128">
      <formula>AND(U$9&gt;=8/24,U$9&lt;14/24)</formula>
    </cfRule>
    <cfRule type="expression" dxfId="1185" priority="129">
      <formula>U$9&lt;8/24</formula>
    </cfRule>
  </conditionalFormatting>
  <conditionalFormatting sqref="AB8">
    <cfRule type="expression" dxfId="1184" priority="122">
      <formula>AD$9&gt;=20/24</formula>
    </cfRule>
    <cfRule type="expression" dxfId="1183" priority="123">
      <formula>AND(AD$9&gt;=14/24,AD$9&lt;20/24)</formula>
    </cfRule>
    <cfRule type="expression" dxfId="1182" priority="124">
      <formula>AND(AD$9&gt;=8/24,AD$9&lt;14/24)</formula>
    </cfRule>
    <cfRule type="expression" dxfId="1181" priority="125">
      <formula>AD$9&lt;8/24</formula>
    </cfRule>
  </conditionalFormatting>
  <conditionalFormatting sqref="AH212:AX212">
    <cfRule type="expression" dxfId="1180" priority="374">
      <formula>AG$9&gt;=20/24</formula>
    </cfRule>
    <cfRule type="expression" dxfId="1179" priority="375">
      <formula>AND(AG$9&gt;=14/24,AG$9&lt;20/24)</formula>
    </cfRule>
    <cfRule type="expression" dxfId="1178" priority="376">
      <formula>AND(AG$9&gt;=8/24,AG$9&lt;14/24)</formula>
    </cfRule>
    <cfRule type="expression" dxfId="1177" priority="377">
      <formula>AG$9&lt;8/24</formula>
    </cfRule>
  </conditionalFormatting>
  <conditionalFormatting sqref="T212">
    <cfRule type="expression" dxfId="1176" priority="378">
      <formula>AX$9&gt;=20/24</formula>
    </cfRule>
    <cfRule type="expression" dxfId="1175" priority="379">
      <formula>AND(AX$9&gt;=14/24,AX$9&lt;20/24)</formula>
    </cfRule>
    <cfRule type="expression" dxfId="1174" priority="380">
      <formula>AND(AX$9&gt;=8/24,AX$9&lt;14/24)</formula>
    </cfRule>
    <cfRule type="expression" dxfId="1173" priority="381">
      <formula>AX$9&lt;8/24</formula>
    </cfRule>
  </conditionalFormatting>
  <conditionalFormatting sqref="A99">
    <cfRule type="expression" dxfId="1172" priority="121">
      <formula>$AH99=0</formula>
    </cfRule>
  </conditionalFormatting>
  <conditionalFormatting sqref="O33:P33">
    <cfRule type="expression" dxfId="1171" priority="117">
      <formula>O$9&gt;=20/24</formula>
    </cfRule>
    <cfRule type="expression" dxfId="1170" priority="118">
      <formula>AND(O$9&gt;=14/24,O$9&lt;20/24)</formula>
    </cfRule>
    <cfRule type="expression" dxfId="1169" priority="119">
      <formula>AND(O$9&gt;=8/24,O$9&lt;14/24)</formula>
    </cfRule>
    <cfRule type="expression" dxfId="1168" priority="120">
      <formula>O$9&lt;8/24</formula>
    </cfRule>
  </conditionalFormatting>
  <conditionalFormatting sqref="Y33:AF33">
    <cfRule type="expression" dxfId="1167" priority="109">
      <formula>Y$9&gt;=20/24</formula>
    </cfRule>
    <cfRule type="expression" dxfId="1166" priority="110">
      <formula>AND(Y$9&gt;=14/24,Y$9&lt;20/24)</formula>
    </cfRule>
    <cfRule type="expression" dxfId="1165" priority="111">
      <formula>AND(Y$9&gt;=8/24,Y$9&lt;14/24)</formula>
    </cfRule>
    <cfRule type="expression" dxfId="1164" priority="112">
      <formula>Y$9&lt;8/24</formula>
    </cfRule>
  </conditionalFormatting>
  <conditionalFormatting sqref="O33:P33 Y33:AF33">
    <cfRule type="expression" dxfId="1163" priority="108">
      <formula>O33&gt;$AG33</formula>
    </cfRule>
  </conditionalFormatting>
  <conditionalFormatting sqref="B37">
    <cfRule type="expression" dxfId="1162" priority="104">
      <formula>B$9&gt;=20/24</formula>
    </cfRule>
    <cfRule type="expression" dxfId="1161" priority="105">
      <formula>AND(B$9&gt;=14/24,B$9&lt;20/24)</formula>
    </cfRule>
    <cfRule type="expression" dxfId="1160" priority="106">
      <formula>AND(B$9&gt;=8/24,B$9&lt;14/24)</formula>
    </cfRule>
    <cfRule type="expression" dxfId="1159" priority="107">
      <formula>B$9&lt;8/24</formula>
    </cfRule>
  </conditionalFormatting>
  <conditionalFormatting sqref="B37">
    <cfRule type="expression" dxfId="1158" priority="103">
      <formula>B37&gt;$AG37</formula>
    </cfRule>
  </conditionalFormatting>
  <conditionalFormatting sqref="B18:L30 M21:N30 B36:N36">
    <cfRule type="expression" dxfId="1157" priority="99">
      <formula>B$9&gt;=20/24</formula>
    </cfRule>
    <cfRule type="expression" dxfId="1156" priority="100">
      <formula>AND(B$9&gt;=14/24,B$9&lt;20/24)</formula>
    </cfRule>
    <cfRule type="expression" dxfId="1155" priority="101">
      <formula>AND(B$9&gt;=8/24,B$9&lt;14/24)</formula>
    </cfRule>
    <cfRule type="expression" dxfId="1154" priority="102">
      <formula>B$9&lt;8/24</formula>
    </cfRule>
  </conditionalFormatting>
  <conditionalFormatting sqref="B31:N32 B35:N35">
    <cfRule type="expression" dxfId="1153" priority="95">
      <formula>B$9&gt;=20/24</formula>
    </cfRule>
    <cfRule type="expression" dxfId="1152" priority="96">
      <formula>AND(B$9&gt;=14/24,B$9&lt;20/24)</formula>
    </cfRule>
    <cfRule type="expression" dxfId="1151" priority="97">
      <formula>AND(B$9&gt;=8/24,B$9&lt;14/24)</formula>
    </cfRule>
    <cfRule type="expression" dxfId="1150" priority="98">
      <formula>B$9&lt;8/24</formula>
    </cfRule>
  </conditionalFormatting>
  <conditionalFormatting sqref="B18:L32 M21:N32 B34:N36">
    <cfRule type="expression" dxfId="1149" priority="94">
      <formula>B18&gt;$AG18</formula>
    </cfRule>
  </conditionalFormatting>
  <conditionalFormatting sqref="B34:N34">
    <cfRule type="expression" dxfId="1148" priority="90">
      <formula>B$9&gt;=20/24</formula>
    </cfRule>
    <cfRule type="expression" dxfId="1147" priority="91">
      <formula>AND(B$9&gt;=14/24,B$9&lt;20/24)</formula>
    </cfRule>
    <cfRule type="expression" dxfId="1146" priority="92">
      <formula>AND(B$9&gt;=8/24,B$9&lt;14/24)</formula>
    </cfRule>
    <cfRule type="expression" dxfId="1145" priority="93">
      <formula>B$9&lt;8/24</formula>
    </cfRule>
  </conditionalFormatting>
  <conditionalFormatting sqref="B12:K16 L16">
    <cfRule type="expression" dxfId="1144" priority="86">
      <formula>B$9&gt;=20/24</formula>
    </cfRule>
    <cfRule type="expression" dxfId="1143" priority="87">
      <formula>AND(B$9&gt;=14/24,B$9&lt;20/24)</formula>
    </cfRule>
    <cfRule type="expression" dxfId="1142" priority="88">
      <formula>AND(B$9&gt;=8/24,B$9&lt;14/24)</formula>
    </cfRule>
    <cfRule type="expression" dxfId="1141" priority="89">
      <formula>B$9&lt;8/24</formula>
    </cfRule>
  </conditionalFormatting>
  <conditionalFormatting sqref="B17:L17">
    <cfRule type="expression" dxfId="1140" priority="82">
      <formula>B$9&gt;=20/24</formula>
    </cfRule>
    <cfRule type="expression" dxfId="1139" priority="83">
      <formula>AND(B$9&gt;=14/24,B$9&lt;20/24)</formula>
    </cfRule>
    <cfRule type="expression" dxfId="1138" priority="84">
      <formula>AND(B$9&gt;=8/24,B$9&lt;14/24)</formula>
    </cfRule>
    <cfRule type="expression" dxfId="1137" priority="85">
      <formula>B$9&lt;8/24</formula>
    </cfRule>
  </conditionalFormatting>
  <conditionalFormatting sqref="B12:K13">
    <cfRule type="expression" dxfId="1136" priority="78">
      <formula>B$9&gt;=20/24</formula>
    </cfRule>
    <cfRule type="expression" dxfId="1135" priority="79">
      <formula>AND(B$9&gt;=14/24,B$9&lt;20/24)</formula>
    </cfRule>
    <cfRule type="expression" dxfId="1134" priority="80">
      <formula>AND(B$9&gt;=8/24,B$9&lt;14/24)</formula>
    </cfRule>
    <cfRule type="expression" dxfId="1133" priority="81">
      <formula>B$9&lt;8/24</formula>
    </cfRule>
  </conditionalFormatting>
  <conditionalFormatting sqref="B33:N33">
    <cfRule type="expression" dxfId="1132" priority="74">
      <formula>B$9&gt;=20/24</formula>
    </cfRule>
    <cfRule type="expression" dxfId="1131" priority="75">
      <formula>AND(B$9&gt;=14/24,B$9&lt;20/24)</formula>
    </cfRule>
    <cfRule type="expression" dxfId="1130" priority="76">
      <formula>AND(B$9&gt;=8/24,B$9&lt;14/24)</formula>
    </cfRule>
    <cfRule type="expression" dxfId="1129" priority="77">
      <formula>B$9&lt;8/24</formula>
    </cfRule>
  </conditionalFormatting>
  <conditionalFormatting sqref="B33:N33">
    <cfRule type="expression" dxfId="1128" priority="73">
      <formula>B33&gt;$AG33</formula>
    </cfRule>
  </conditionalFormatting>
  <conditionalFormatting sqref="B45:L45 B47:L48 B46:M46">
    <cfRule type="expression" dxfId="1127" priority="69">
      <formula>B$9&gt;=20/24</formula>
    </cfRule>
    <cfRule type="expression" dxfId="1126" priority="70">
      <formula>AND(B$9&gt;=14/24,B$9&lt;20/24)</formula>
    </cfRule>
    <cfRule type="expression" dxfId="1125" priority="71">
      <formula>AND(B$9&gt;=8/24,B$9&lt;14/24)</formula>
    </cfRule>
    <cfRule type="expression" dxfId="1124" priority="72">
      <formula>B$9&lt;8/24</formula>
    </cfRule>
  </conditionalFormatting>
  <conditionalFormatting sqref="B45:L45 B47:L48 B46:M46">
    <cfRule type="expression" dxfId="1123" priority="65">
      <formula>B$9&gt;=20/24</formula>
    </cfRule>
    <cfRule type="expression" dxfId="1122" priority="66">
      <formula>AND(B$9&gt;=14/24,B$9&lt;20/24)</formula>
    </cfRule>
    <cfRule type="expression" dxfId="1121" priority="67">
      <formula>AND(B$9&gt;=8/24,B$9&lt;14/24)</formula>
    </cfRule>
    <cfRule type="expression" dxfId="1120" priority="68">
      <formula>B$9&lt;8/24</formula>
    </cfRule>
  </conditionalFormatting>
  <conditionalFormatting sqref="B49:L49">
    <cfRule type="expression" dxfId="1119" priority="61">
      <formula>B$9&gt;=20/24</formula>
    </cfRule>
    <cfRule type="expression" dxfId="1118" priority="62">
      <formula>AND(B$9&gt;=14/24,B$9&lt;20/24)</formula>
    </cfRule>
    <cfRule type="expression" dxfId="1117" priority="63">
      <formula>AND(B$9&gt;=8/24,B$9&lt;14/24)</formula>
    </cfRule>
    <cfRule type="expression" dxfId="1116" priority="64">
      <formula>B$9&lt;8/24</formula>
    </cfRule>
  </conditionalFormatting>
  <conditionalFormatting sqref="B50:L50">
    <cfRule type="expression" dxfId="1115" priority="57">
      <formula>B$9&gt;=20/24</formula>
    </cfRule>
    <cfRule type="expression" dxfId="1114" priority="58">
      <formula>AND(B$9&gt;=14/24,B$9&lt;20/24)</formula>
    </cfRule>
    <cfRule type="expression" dxfId="1113" priority="59">
      <formula>AND(B$9&gt;=8/24,B$9&lt;14/24)</formula>
    </cfRule>
    <cfRule type="expression" dxfId="1112" priority="60">
      <formula>B$9&lt;8/24</formula>
    </cfRule>
  </conditionalFormatting>
  <conditionalFormatting sqref="B39:B51 C39:C45 D44:G45 H45:L45 C47:L50 C46:M46">
    <cfRule type="expression" dxfId="1111" priority="56">
      <formula>B39&gt;$AG39</formula>
    </cfRule>
  </conditionalFormatting>
  <conditionalFormatting sqref="B44:G44">
    <cfRule type="expression" dxfId="1110" priority="52">
      <formula>B$9&gt;=20/24</formula>
    </cfRule>
    <cfRule type="expression" dxfId="1109" priority="53">
      <formula>AND(B$9&gt;=14/24,B$9&lt;20/24)</formula>
    </cfRule>
    <cfRule type="expression" dxfId="1108" priority="54">
      <formula>AND(B$9&gt;=8/24,B$9&lt;14/24)</formula>
    </cfRule>
    <cfRule type="expression" dxfId="1107" priority="55">
      <formula>B$9&lt;8/24</formula>
    </cfRule>
  </conditionalFormatting>
  <conditionalFormatting sqref="B44:G44">
    <cfRule type="expression" dxfId="1106" priority="48">
      <formula>B$9&gt;=20/24</formula>
    </cfRule>
    <cfRule type="expression" dxfId="1105" priority="49">
      <formula>AND(B$9&gt;=14/24,B$9&lt;20/24)</formula>
    </cfRule>
    <cfRule type="expression" dxfId="1104" priority="50">
      <formula>AND(B$9&gt;=8/24,B$9&lt;14/24)</formula>
    </cfRule>
    <cfRule type="expression" dxfId="1103" priority="51">
      <formula>B$9&lt;8/24</formula>
    </cfRule>
  </conditionalFormatting>
  <conditionalFormatting sqref="B49:L49">
    <cfRule type="expression" dxfId="1102" priority="44">
      <formula>B$9&gt;=20/24</formula>
    </cfRule>
    <cfRule type="expression" dxfId="1101" priority="45">
      <formula>AND(B$9&gt;=14/24,B$9&lt;20/24)</formula>
    </cfRule>
    <cfRule type="expression" dxfId="1100" priority="46">
      <formula>AND(B$9&gt;=8/24,B$9&lt;14/24)</formula>
    </cfRule>
    <cfRule type="expression" dxfId="1099" priority="47">
      <formula>B$9&lt;8/24</formula>
    </cfRule>
  </conditionalFormatting>
  <conditionalFormatting sqref="B50:L50">
    <cfRule type="expression" dxfId="1098" priority="40">
      <formula>B$9&gt;=20/24</formula>
    </cfRule>
    <cfRule type="expression" dxfId="1097" priority="41">
      <formula>AND(B$9&gt;=14/24,B$9&lt;20/24)</formula>
    </cfRule>
    <cfRule type="expression" dxfId="1096" priority="42">
      <formula>AND(B$9&gt;=8/24,B$9&lt;14/24)</formula>
    </cfRule>
    <cfRule type="expression" dxfId="1095" priority="43">
      <formula>B$9&lt;8/24</formula>
    </cfRule>
  </conditionalFormatting>
  <conditionalFormatting sqref="B45:L45 B47:L48 B46:M46">
    <cfRule type="expression" dxfId="1094" priority="36">
      <formula>B$9&gt;=20/24</formula>
    </cfRule>
    <cfRule type="expression" dxfId="1093" priority="37">
      <formula>AND(B$9&gt;=14/24,B$9&lt;20/24)</formula>
    </cfRule>
    <cfRule type="expression" dxfId="1092" priority="38">
      <formula>AND(B$9&gt;=8/24,B$9&lt;14/24)</formula>
    </cfRule>
    <cfRule type="expression" dxfId="1091" priority="39">
      <formula>B$9&lt;8/24</formula>
    </cfRule>
  </conditionalFormatting>
  <conditionalFormatting sqref="B44:G44">
    <cfRule type="expression" dxfId="1090" priority="32">
      <formula>B$9&gt;=20/24</formula>
    </cfRule>
    <cfRule type="expression" dxfId="1089" priority="33">
      <formula>AND(B$9&gt;=14/24,B$9&lt;20/24)</formula>
    </cfRule>
    <cfRule type="expression" dxfId="1088" priority="34">
      <formula>AND(B$9&gt;=8/24,B$9&lt;14/24)</formula>
    </cfRule>
    <cfRule type="expression" dxfId="1087" priority="35">
      <formula>B$9&lt;8/24</formula>
    </cfRule>
  </conditionalFormatting>
  <conditionalFormatting sqref="B57:B59">
    <cfRule type="expression" dxfId="1086" priority="28">
      <formula>B$9&gt;=20/24</formula>
    </cfRule>
    <cfRule type="expression" dxfId="1085" priority="29">
      <formula>AND(B$9&gt;=14/24,B$9&lt;20/24)</formula>
    </cfRule>
    <cfRule type="expression" dxfId="1084" priority="30">
      <formula>AND(B$9&gt;=8/24,B$9&lt;14/24)</formula>
    </cfRule>
    <cfRule type="expression" dxfId="1083" priority="31">
      <formula>B$9&lt;8/24</formula>
    </cfRule>
  </conditionalFormatting>
  <conditionalFormatting sqref="B60:B67">
    <cfRule type="expression" dxfId="1082" priority="24">
      <formula>B$9&gt;=20/24</formula>
    </cfRule>
    <cfRule type="expression" dxfId="1081" priority="25">
      <formula>AND(B$9&gt;=14/24,B$9&lt;20/24)</formula>
    </cfRule>
    <cfRule type="expression" dxfId="1080" priority="26">
      <formula>AND(B$9&gt;=8/24,B$9&lt;14/24)</formula>
    </cfRule>
    <cfRule type="expression" dxfId="1079" priority="27">
      <formula>B$9&lt;8/24</formula>
    </cfRule>
  </conditionalFormatting>
  <conditionalFormatting sqref="Q36:X36 Q16:X32 Q12:X14">
    <cfRule type="expression" dxfId="1078" priority="20">
      <formula>Q$9&gt;=20/24</formula>
    </cfRule>
    <cfRule type="expression" dxfId="1077" priority="21">
      <formula>AND(Q$9&gt;=14/24,Q$9&lt;20/24)</formula>
    </cfRule>
    <cfRule type="expression" dxfId="1076" priority="22">
      <formula>AND(Q$9&gt;=8/24,Q$9&lt;14/24)</formula>
    </cfRule>
    <cfRule type="expression" dxfId="1075" priority="23">
      <formula>Q$9&lt;8/24</formula>
    </cfRule>
  </conditionalFormatting>
  <conditionalFormatting sqref="Q35:X35">
    <cfRule type="expression" dxfId="1074" priority="16">
      <formula>Q$9&gt;=20/24</formula>
    </cfRule>
    <cfRule type="expression" dxfId="1073" priority="17">
      <formula>AND(Q$9&gt;=14/24,Q$9&lt;20/24)</formula>
    </cfRule>
    <cfRule type="expression" dxfId="1072" priority="18">
      <formula>AND(Q$9&gt;=8/24,Q$9&lt;14/24)</formula>
    </cfRule>
    <cfRule type="expression" dxfId="1071" priority="19">
      <formula>Q$9&lt;8/24</formula>
    </cfRule>
  </conditionalFormatting>
  <conditionalFormatting sqref="Q34:X36 Q16:X32 Q12:X14">
    <cfRule type="expression" dxfId="1070" priority="15">
      <formula>Q12&gt;$AG12</formula>
    </cfRule>
  </conditionalFormatting>
  <conditionalFormatting sqref="Q34:X34">
    <cfRule type="expression" dxfId="1069" priority="11">
      <formula>Q$9&gt;=20/24</formula>
    </cfRule>
    <cfRule type="expression" dxfId="1068" priority="12">
      <formula>AND(Q$9&gt;=14/24,Q$9&lt;20/24)</formula>
    </cfRule>
    <cfRule type="expression" dxfId="1067" priority="13">
      <formula>AND(Q$9&gt;=8/24,Q$9&lt;14/24)</formula>
    </cfRule>
    <cfRule type="expression" dxfId="1066" priority="14">
      <formula>Q$9&lt;8/24</formula>
    </cfRule>
  </conditionalFormatting>
  <conditionalFormatting sqref="Q15:X15">
    <cfRule type="expression" dxfId="1065" priority="7">
      <formula>Q$9&gt;=20/24</formula>
    </cfRule>
    <cfRule type="expression" dxfId="1064" priority="8">
      <formula>AND(Q$9&gt;=14/24,Q$9&lt;20/24)</formula>
    </cfRule>
    <cfRule type="expression" dxfId="1063" priority="9">
      <formula>AND(Q$9&gt;=8/24,Q$9&lt;14/24)</formula>
    </cfRule>
    <cfRule type="expression" dxfId="1062" priority="10">
      <formula>Q$9&lt;8/24</formula>
    </cfRule>
  </conditionalFormatting>
  <conditionalFormatting sqref="Q15:X15">
    <cfRule type="expression" dxfId="1061" priority="6">
      <formula>Q15&gt;$AG15</formula>
    </cfRule>
  </conditionalFormatting>
  <conditionalFormatting sqref="Q33:X33">
    <cfRule type="expression" dxfId="1060" priority="2">
      <formula>Q$9&gt;=20/24</formula>
    </cfRule>
    <cfRule type="expression" dxfId="1059" priority="3">
      <formula>AND(Q$9&gt;=14/24,Q$9&lt;20/24)</formula>
    </cfRule>
    <cfRule type="expression" dxfId="1058" priority="4">
      <formula>AND(Q$9&gt;=8/24,Q$9&lt;14/24)</formula>
    </cfRule>
    <cfRule type="expression" dxfId="1057" priority="5">
      <formula>Q$9&lt;8/24</formula>
    </cfRule>
  </conditionalFormatting>
  <conditionalFormatting sqref="Q33:X33">
    <cfRule type="expression" dxfId="1056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1" id="{7663625C-8A5D-4F25-B36B-EE691253764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7" width="6.85546875" customWidth="1"/>
    <col min="28" max="28" width="8.5703125" bestFit="1" customWidth="1"/>
    <col min="29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2078/09/29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271.5</v>
      </c>
      <c r="C5" s="32">
        <f t="shared" si="0"/>
        <v>278</v>
      </c>
      <c r="D5" s="32">
        <f t="shared" si="0"/>
        <v>260</v>
      </c>
      <c r="E5" s="32">
        <f t="shared" si="0"/>
        <v>247</v>
      </c>
      <c r="F5" s="32">
        <f t="shared" si="0"/>
        <v>238</v>
      </c>
      <c r="G5" s="32">
        <f t="shared" si="0"/>
        <v>260</v>
      </c>
      <c r="H5" s="32">
        <f t="shared" si="0"/>
        <v>259</v>
      </c>
      <c r="I5" s="32">
        <f t="shared" si="0"/>
        <v>386</v>
      </c>
      <c r="J5" s="32">
        <f t="shared" si="0"/>
        <v>431</v>
      </c>
      <c r="K5" s="32">
        <f t="shared" si="0"/>
        <v>164.6</v>
      </c>
      <c r="L5" s="32">
        <f t="shared" si="0"/>
        <v>172</v>
      </c>
      <c r="M5" s="32">
        <f t="shared" si="0"/>
        <v>182</v>
      </c>
      <c r="N5" s="32">
        <f t="shared" si="0"/>
        <v>400.7</v>
      </c>
      <c r="O5" s="32">
        <f t="shared" si="0"/>
        <v>431.3</v>
      </c>
      <c r="P5" s="32">
        <f t="shared" si="0"/>
        <v>431</v>
      </c>
      <c r="Q5" s="32">
        <f t="shared" si="0"/>
        <v>430.8</v>
      </c>
      <c r="R5" s="32">
        <f t="shared" si="0"/>
        <v>439.2</v>
      </c>
      <c r="S5" s="32">
        <f t="shared" si="0"/>
        <v>435.90000000000003</v>
      </c>
      <c r="T5" s="32">
        <f t="shared" si="0"/>
        <v>446.5</v>
      </c>
      <c r="U5" s="32">
        <f t="shared" si="0"/>
        <v>220.3</v>
      </c>
      <c r="V5" s="32">
        <f t="shared" si="0"/>
        <v>273.89999999999998</v>
      </c>
      <c r="W5" s="32">
        <f t="shared" si="0"/>
        <v>243</v>
      </c>
      <c r="X5" s="32">
        <f t="shared" si="0"/>
        <v>278.90000000000003</v>
      </c>
      <c r="Y5" s="32">
        <f t="shared" si="0"/>
        <v>192</v>
      </c>
      <c r="Z5" s="32">
        <f t="shared" si="0"/>
        <v>211.9</v>
      </c>
      <c r="AA5" s="32">
        <f t="shared" si="0"/>
        <v>424.59999999999997</v>
      </c>
      <c r="AB5" s="32">
        <f t="shared" si="0"/>
        <v>434.30000000000007</v>
      </c>
      <c r="AC5" s="32">
        <f t="shared" si="0"/>
        <v>452.4</v>
      </c>
      <c r="AD5" s="32">
        <f t="shared" si="0"/>
        <v>424.1</v>
      </c>
      <c r="AE5" s="32">
        <f t="shared" si="0"/>
        <v>341.90000000000003</v>
      </c>
      <c r="AF5" s="32">
        <f>B68</f>
        <v>282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1449MW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Load=832</v>
      </c>
      <c r="B7" s="37">
        <f>B75</f>
        <v>918.64</v>
      </c>
      <c r="C7" s="37">
        <f t="shared" ref="C7:AF7" si="1">C75</f>
        <v>882.1400000000001</v>
      </c>
      <c r="D7" s="37">
        <f t="shared" si="1"/>
        <v>878.94</v>
      </c>
      <c r="E7" s="37">
        <f t="shared" si="1"/>
        <v>860.94</v>
      </c>
      <c r="F7" s="37">
        <f t="shared" si="1"/>
        <v>831.84</v>
      </c>
      <c r="G7" s="37">
        <f t="shared" si="1"/>
        <v>863.24</v>
      </c>
      <c r="H7" s="37">
        <f t="shared" si="1"/>
        <v>932.33999999999992</v>
      </c>
      <c r="I7" s="37">
        <f t="shared" si="1"/>
        <v>976.74</v>
      </c>
      <c r="J7" s="37">
        <f t="shared" si="1"/>
        <v>1152.8400000000001</v>
      </c>
      <c r="K7" s="37">
        <f t="shared" si="1"/>
        <v>1222.8400000000001</v>
      </c>
      <c r="L7" s="37">
        <f t="shared" si="1"/>
        <v>1378.7399999999998</v>
      </c>
      <c r="M7" s="37">
        <f t="shared" si="1"/>
        <v>1435.1399999999999</v>
      </c>
      <c r="N7" s="37">
        <f t="shared" si="1"/>
        <v>1448.7399999999998</v>
      </c>
      <c r="O7" s="37">
        <f t="shared" si="1"/>
        <v>1408.7399999999998</v>
      </c>
      <c r="P7" s="37">
        <f t="shared" si="1"/>
        <v>1349.84</v>
      </c>
      <c r="Q7" s="37">
        <f t="shared" si="1"/>
        <v>1242.74</v>
      </c>
      <c r="R7" s="37">
        <f t="shared" si="1"/>
        <v>1228.04</v>
      </c>
      <c r="S7" s="37">
        <f t="shared" si="1"/>
        <v>1231.9399999999998</v>
      </c>
      <c r="T7" s="37">
        <f t="shared" si="1"/>
        <v>1237.3399999999999</v>
      </c>
      <c r="U7" s="37">
        <f t="shared" si="1"/>
        <v>1282.4399999999998</v>
      </c>
      <c r="V7" s="37">
        <f t="shared" si="1"/>
        <v>1270.1399999999999</v>
      </c>
      <c r="W7" s="37">
        <f t="shared" si="1"/>
        <v>1326.1399999999999</v>
      </c>
      <c r="X7" s="37">
        <f t="shared" si="1"/>
        <v>1609.24</v>
      </c>
      <c r="Y7" s="37">
        <f t="shared" si="1"/>
        <v>1606.5400000000002</v>
      </c>
      <c r="Z7" s="37">
        <f t="shared" si="1"/>
        <v>1567.64</v>
      </c>
      <c r="AA7" s="37">
        <f t="shared" si="1"/>
        <v>1511.5400000000002</v>
      </c>
      <c r="AB7" s="37">
        <f t="shared" si="1"/>
        <v>1422.74</v>
      </c>
      <c r="AC7" s="37">
        <f t="shared" si="1"/>
        <v>1381.74</v>
      </c>
      <c r="AD7" s="37">
        <f t="shared" si="1"/>
        <v>1267.54</v>
      </c>
      <c r="AE7" s="37">
        <f t="shared" si="1"/>
        <v>1105.8399999999999</v>
      </c>
      <c r="AF7" s="37">
        <f t="shared" si="1"/>
        <v>998.24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40</v>
      </c>
      <c r="C11" s="50">
        <v>22</v>
      </c>
      <c r="D11" s="50">
        <v>20</v>
      </c>
      <c r="E11" s="50">
        <v>20</v>
      </c>
      <c r="F11" s="49">
        <v>15</v>
      </c>
      <c r="G11" s="49">
        <v>55</v>
      </c>
      <c r="H11" s="49">
        <v>40</v>
      </c>
      <c r="I11" s="49">
        <v>30</v>
      </c>
      <c r="J11" s="49">
        <v>30</v>
      </c>
      <c r="K11" s="49">
        <v>55</v>
      </c>
      <c r="L11" s="49">
        <v>355</v>
      </c>
      <c r="M11" s="50">
        <v>370</v>
      </c>
      <c r="N11" s="50">
        <v>340</v>
      </c>
      <c r="O11" s="50">
        <v>100</v>
      </c>
      <c r="P11" s="50">
        <v>40</v>
      </c>
      <c r="Q11" s="50">
        <v>20</v>
      </c>
      <c r="R11" s="50">
        <v>20</v>
      </c>
      <c r="S11" s="50">
        <v>20</v>
      </c>
      <c r="T11" s="50">
        <v>42</v>
      </c>
      <c r="U11" s="50">
        <v>61.5</v>
      </c>
      <c r="V11" s="50">
        <v>225</v>
      </c>
      <c r="W11" s="50">
        <v>225</v>
      </c>
      <c r="X11" s="50">
        <v>456</v>
      </c>
      <c r="Y11" s="50">
        <v>400</v>
      </c>
      <c r="Z11" s="52">
        <v>456</v>
      </c>
      <c r="AA11" s="50">
        <v>380</v>
      </c>
      <c r="AB11" s="50">
        <v>100</v>
      </c>
      <c r="AC11" s="50">
        <v>80</v>
      </c>
      <c r="AD11" s="50">
        <v>80</v>
      </c>
      <c r="AE11" s="50">
        <v>50</v>
      </c>
      <c r="AF11" s="49">
        <v>78</v>
      </c>
      <c r="AG11" s="53">
        <v>456</v>
      </c>
      <c r="AH11" s="54">
        <f>MAX(B11:AF11)</f>
        <v>456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40</v>
      </c>
      <c r="C12" s="58">
        <v>40</v>
      </c>
      <c r="D12" s="58">
        <v>40</v>
      </c>
      <c r="E12" s="58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58">
        <v>40</v>
      </c>
      <c r="Z12" s="58">
        <v>40</v>
      </c>
      <c r="AA12" s="58">
        <v>40</v>
      </c>
      <c r="AB12" s="50">
        <v>40</v>
      </c>
      <c r="AC12" s="50">
        <v>40</v>
      </c>
      <c r="AD12" s="50">
        <v>40</v>
      </c>
      <c r="AE12" s="50">
        <v>40</v>
      </c>
      <c r="AF12" s="50">
        <v>40</v>
      </c>
      <c r="AG12" s="59">
        <v>60</v>
      </c>
      <c r="AH12" s="54">
        <f t="shared" ref="AH12:AH75" si="2">MAX(B12:AF12)</f>
        <v>40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8">
        <v>23.8</v>
      </c>
      <c r="C13" s="58">
        <v>23.8</v>
      </c>
      <c r="D13" s="58">
        <v>23.8</v>
      </c>
      <c r="E13" s="58">
        <v>23.8</v>
      </c>
      <c r="F13" s="58">
        <v>23.8</v>
      </c>
      <c r="G13" s="58">
        <v>23.8</v>
      </c>
      <c r="H13" s="58">
        <v>23.8</v>
      </c>
      <c r="I13" s="49">
        <v>23.8</v>
      </c>
      <c r="J13" s="49">
        <v>23.8</v>
      </c>
      <c r="K13" s="49">
        <v>23.8</v>
      </c>
      <c r="L13" s="49">
        <v>23.8</v>
      </c>
      <c r="M13" s="49">
        <v>23.8</v>
      </c>
      <c r="N13" s="49">
        <v>23.8</v>
      </c>
      <c r="O13" s="49">
        <v>23.8</v>
      </c>
      <c r="P13" s="49">
        <v>25.3</v>
      </c>
      <c r="Q13" s="49">
        <v>25.3</v>
      </c>
      <c r="R13" s="49">
        <v>25.3</v>
      </c>
      <c r="S13" s="49">
        <v>25.3</v>
      </c>
      <c r="T13" s="49">
        <v>25.3</v>
      </c>
      <c r="U13" s="49">
        <v>25.3</v>
      </c>
      <c r="V13" s="49">
        <v>25.3</v>
      </c>
      <c r="W13" s="49">
        <v>25.3</v>
      </c>
      <c r="X13" s="49">
        <v>25.3</v>
      </c>
      <c r="Y13" s="58">
        <v>25.3</v>
      </c>
      <c r="Z13" s="58">
        <v>25.3</v>
      </c>
      <c r="AA13" s="58">
        <v>25.3</v>
      </c>
      <c r="AB13" s="50">
        <v>23.3</v>
      </c>
      <c r="AC13" s="50">
        <v>23.3</v>
      </c>
      <c r="AD13" s="50">
        <v>23.3</v>
      </c>
      <c r="AE13" s="50">
        <v>23.3</v>
      </c>
      <c r="AF13" s="50">
        <v>23.3</v>
      </c>
      <c r="AG13" s="59">
        <v>52.4</v>
      </c>
      <c r="AH13" s="54">
        <f t="shared" si="2"/>
        <v>25.3</v>
      </c>
      <c r="AI13" s="55">
        <f t="shared" si="3"/>
        <v>23.3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60">
        <v>44.6</v>
      </c>
      <c r="C14" s="60">
        <v>44.6</v>
      </c>
      <c r="D14" s="60">
        <v>44.6</v>
      </c>
      <c r="E14" s="60">
        <v>44.6</v>
      </c>
      <c r="F14" s="60">
        <v>44.6</v>
      </c>
      <c r="G14" s="60">
        <v>44.6</v>
      </c>
      <c r="H14" s="60">
        <v>44.6</v>
      </c>
      <c r="I14" s="60">
        <v>44.6</v>
      </c>
      <c r="J14" s="60">
        <v>44.6</v>
      </c>
      <c r="K14" s="60">
        <v>44.6</v>
      </c>
      <c r="L14" s="60">
        <v>44.6</v>
      </c>
      <c r="M14" s="60">
        <v>44.6</v>
      </c>
      <c r="N14" s="60">
        <v>44.6</v>
      </c>
      <c r="O14" s="60">
        <v>44.6</v>
      </c>
      <c r="P14" s="60">
        <v>46.2</v>
      </c>
      <c r="Q14" s="60">
        <v>46.2</v>
      </c>
      <c r="R14" s="60">
        <v>46.2</v>
      </c>
      <c r="S14" s="60">
        <v>46.2</v>
      </c>
      <c r="T14" s="60">
        <v>46.2</v>
      </c>
      <c r="U14" s="60">
        <v>46.2</v>
      </c>
      <c r="V14" s="60">
        <v>46.2</v>
      </c>
      <c r="W14" s="60">
        <v>46.2</v>
      </c>
      <c r="X14" s="60">
        <v>46.2</v>
      </c>
      <c r="Y14" s="60">
        <v>46.2</v>
      </c>
      <c r="Z14" s="60">
        <v>46.2</v>
      </c>
      <c r="AA14" s="60">
        <v>46.2</v>
      </c>
      <c r="AB14" s="50">
        <v>42.4</v>
      </c>
      <c r="AC14" s="50">
        <v>42.3</v>
      </c>
      <c r="AD14" s="50">
        <v>42.5</v>
      </c>
      <c r="AE14" s="50">
        <v>42.5</v>
      </c>
      <c r="AF14" s="50">
        <v>42.5</v>
      </c>
      <c r="AG14" s="59">
        <v>50</v>
      </c>
      <c r="AH14" s="54">
        <f t="shared" si="2"/>
        <v>46.2</v>
      </c>
      <c r="AI14" s="55">
        <f t="shared" si="3"/>
        <v>42.3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0">
        <v>23.9</v>
      </c>
      <c r="C15" s="60">
        <v>23.9</v>
      </c>
      <c r="D15" s="60">
        <v>23.9</v>
      </c>
      <c r="E15" s="60">
        <v>23.9</v>
      </c>
      <c r="F15" s="60">
        <v>23.9</v>
      </c>
      <c r="G15" s="60">
        <v>23.9</v>
      </c>
      <c r="H15" s="60">
        <v>23.9</v>
      </c>
      <c r="I15" s="60">
        <v>23.9</v>
      </c>
      <c r="J15" s="60">
        <v>23.9</v>
      </c>
      <c r="K15" s="60">
        <v>23.9</v>
      </c>
      <c r="L15" s="60">
        <v>23.9</v>
      </c>
      <c r="M15" s="60">
        <v>23.9</v>
      </c>
      <c r="N15" s="60">
        <v>23.9</v>
      </c>
      <c r="O15" s="60">
        <v>23.9</v>
      </c>
      <c r="P15" s="60">
        <v>23.7</v>
      </c>
      <c r="Q15" s="60">
        <v>23.7</v>
      </c>
      <c r="R15" s="60">
        <v>23.7</v>
      </c>
      <c r="S15" s="60">
        <v>23.7</v>
      </c>
      <c r="T15" s="60">
        <v>23.7</v>
      </c>
      <c r="U15" s="60">
        <v>23.7</v>
      </c>
      <c r="V15" s="60">
        <v>23.7</v>
      </c>
      <c r="W15" s="60">
        <v>23.7</v>
      </c>
      <c r="X15" s="60">
        <v>23.7</v>
      </c>
      <c r="Y15" s="60">
        <v>23.7</v>
      </c>
      <c r="Z15" s="60">
        <v>23.7</v>
      </c>
      <c r="AA15" s="60">
        <v>23.7</v>
      </c>
      <c r="AB15" s="50">
        <v>23.3</v>
      </c>
      <c r="AC15" s="50">
        <v>23.7</v>
      </c>
      <c r="AD15" s="50">
        <v>23.7</v>
      </c>
      <c r="AE15" s="50">
        <v>23.7</v>
      </c>
      <c r="AF15" s="50">
        <v>23.7</v>
      </c>
      <c r="AG15" s="62">
        <v>45</v>
      </c>
      <c r="AH15" s="54">
        <f t="shared" si="2"/>
        <v>23.9</v>
      </c>
      <c r="AI15" s="55">
        <f t="shared" si="3"/>
        <v>23.3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63">
        <v>12</v>
      </c>
      <c r="C16" s="63">
        <v>12</v>
      </c>
      <c r="D16" s="63">
        <v>12</v>
      </c>
      <c r="E16" s="63">
        <v>12</v>
      </c>
      <c r="F16" s="63">
        <v>12</v>
      </c>
      <c r="G16" s="63">
        <v>12</v>
      </c>
      <c r="H16" s="63">
        <v>12</v>
      </c>
      <c r="I16" s="63">
        <v>12</v>
      </c>
      <c r="J16" s="63">
        <v>12</v>
      </c>
      <c r="K16" s="63">
        <v>12</v>
      </c>
      <c r="L16" s="63">
        <v>12</v>
      </c>
      <c r="M16" s="63">
        <v>12</v>
      </c>
      <c r="N16" s="63">
        <v>12</v>
      </c>
      <c r="O16" s="63">
        <v>12</v>
      </c>
      <c r="P16" s="63">
        <v>12</v>
      </c>
      <c r="Q16" s="63">
        <v>12</v>
      </c>
      <c r="R16" s="63">
        <v>12</v>
      </c>
      <c r="S16" s="63">
        <v>12</v>
      </c>
      <c r="T16" s="63">
        <v>12</v>
      </c>
      <c r="U16" s="63">
        <v>12</v>
      </c>
      <c r="V16" s="63">
        <v>12</v>
      </c>
      <c r="W16" s="63">
        <v>12</v>
      </c>
      <c r="X16" s="63">
        <v>12</v>
      </c>
      <c r="Y16" s="63">
        <v>12</v>
      </c>
      <c r="Z16" s="63">
        <v>12</v>
      </c>
      <c r="AA16" s="63">
        <v>12</v>
      </c>
      <c r="AB16" s="50">
        <v>12</v>
      </c>
      <c r="AC16" s="50">
        <v>12</v>
      </c>
      <c r="AD16" s="50">
        <v>12</v>
      </c>
      <c r="AE16" s="50">
        <v>12</v>
      </c>
      <c r="AF16" s="50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60">
        <v>11</v>
      </c>
      <c r="C17" s="60">
        <v>11</v>
      </c>
      <c r="D17" s="60">
        <v>11</v>
      </c>
      <c r="E17" s="60">
        <v>11</v>
      </c>
      <c r="F17" s="60">
        <v>11</v>
      </c>
      <c r="G17" s="60">
        <v>11</v>
      </c>
      <c r="H17" s="60">
        <v>11</v>
      </c>
      <c r="I17" s="60">
        <v>11</v>
      </c>
      <c r="J17" s="60">
        <v>11</v>
      </c>
      <c r="K17" s="60">
        <v>11</v>
      </c>
      <c r="L17" s="60">
        <v>11</v>
      </c>
      <c r="M17" s="60">
        <v>11</v>
      </c>
      <c r="N17" s="60">
        <v>11</v>
      </c>
      <c r="O17" s="60">
        <v>11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9">
        <v>42</v>
      </c>
      <c r="AH17" s="54">
        <f t="shared" si="2"/>
        <v>11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0</v>
      </c>
      <c r="U18" s="50">
        <v>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10.8</v>
      </c>
      <c r="AG19" s="59">
        <v>30</v>
      </c>
      <c r="AH19" s="54">
        <f t="shared" si="2"/>
        <v>10.8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19.899999999999999</v>
      </c>
      <c r="C22" s="50">
        <v>19.899999999999999</v>
      </c>
      <c r="D22" s="50">
        <v>19.899999999999999</v>
      </c>
      <c r="E22" s="50">
        <v>19.899999999999999</v>
      </c>
      <c r="F22" s="50">
        <v>19.899999999999999</v>
      </c>
      <c r="G22" s="50">
        <v>19.899999999999999</v>
      </c>
      <c r="H22" s="50">
        <v>19.899999999999999</v>
      </c>
      <c r="I22" s="50">
        <v>19.899999999999999</v>
      </c>
      <c r="J22" s="50">
        <v>19.899999999999999</v>
      </c>
      <c r="K22" s="50">
        <v>19.899999999999999</v>
      </c>
      <c r="L22" s="50">
        <v>19.899999999999999</v>
      </c>
      <c r="M22" s="50">
        <v>19.899999999999999</v>
      </c>
      <c r="N22" s="50">
        <v>19.899999999999999</v>
      </c>
      <c r="O22" s="50">
        <v>19.899999999999999</v>
      </c>
      <c r="P22" s="50">
        <v>13.5</v>
      </c>
      <c r="Q22" s="50">
        <v>13.5</v>
      </c>
      <c r="R22" s="50">
        <v>13.5</v>
      </c>
      <c r="S22" s="50">
        <v>13.5</v>
      </c>
      <c r="T22" s="50">
        <v>13.5</v>
      </c>
      <c r="U22" s="50">
        <v>13.5</v>
      </c>
      <c r="V22" s="50">
        <v>13.5</v>
      </c>
      <c r="W22" s="50">
        <v>13.5</v>
      </c>
      <c r="X22" s="50">
        <v>13.5</v>
      </c>
      <c r="Y22" s="50">
        <v>19.5</v>
      </c>
      <c r="Z22" s="50">
        <v>19.5</v>
      </c>
      <c r="AA22" s="50">
        <v>19.5</v>
      </c>
      <c r="AB22" s="50">
        <v>13.6</v>
      </c>
      <c r="AC22" s="50">
        <v>13.6</v>
      </c>
      <c r="AD22" s="50">
        <v>13.9</v>
      </c>
      <c r="AE22" s="50">
        <v>14.2</v>
      </c>
      <c r="AF22" s="50">
        <v>14.2</v>
      </c>
      <c r="AG22" s="59">
        <v>25</v>
      </c>
      <c r="AH22" s="54">
        <f t="shared" si="2"/>
        <v>19.899999999999999</v>
      </c>
      <c r="AI22" s="55">
        <f t="shared" si="3"/>
        <v>13.5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11.3</v>
      </c>
      <c r="C24" s="50">
        <v>11.3</v>
      </c>
      <c r="D24" s="50">
        <v>11.3</v>
      </c>
      <c r="E24" s="50">
        <v>11.3</v>
      </c>
      <c r="F24" s="50">
        <v>11.3</v>
      </c>
      <c r="G24" s="50">
        <v>11.3</v>
      </c>
      <c r="H24" s="50">
        <v>11.3</v>
      </c>
      <c r="I24" s="50">
        <v>11.3</v>
      </c>
      <c r="J24" s="50">
        <v>11.3</v>
      </c>
      <c r="K24" s="50">
        <v>11.3</v>
      </c>
      <c r="L24" s="50">
        <v>11.3</v>
      </c>
      <c r="M24" s="50">
        <v>11.3</v>
      </c>
      <c r="N24" s="50">
        <v>11.3</v>
      </c>
      <c r="O24" s="50">
        <v>11.3</v>
      </c>
      <c r="P24" s="50">
        <v>18</v>
      </c>
      <c r="Q24" s="50">
        <v>18</v>
      </c>
      <c r="R24" s="50">
        <v>18</v>
      </c>
      <c r="S24" s="50">
        <v>18</v>
      </c>
      <c r="T24" s="50">
        <v>18</v>
      </c>
      <c r="U24" s="50">
        <v>18</v>
      </c>
      <c r="V24" s="50">
        <v>18</v>
      </c>
      <c r="W24" s="50">
        <v>18</v>
      </c>
      <c r="X24" s="50">
        <v>18</v>
      </c>
      <c r="Y24" s="50">
        <v>18</v>
      </c>
      <c r="Z24" s="50">
        <v>18</v>
      </c>
      <c r="AA24" s="50">
        <v>18</v>
      </c>
      <c r="AB24" s="50">
        <v>17</v>
      </c>
      <c r="AC24" s="50">
        <v>15</v>
      </c>
      <c r="AD24" s="50">
        <v>15</v>
      </c>
      <c r="AE24" s="50">
        <v>15</v>
      </c>
      <c r="AF24" s="50">
        <v>15</v>
      </c>
      <c r="AG24" s="59">
        <v>25</v>
      </c>
      <c r="AH24" s="54">
        <f t="shared" si="2"/>
        <v>18</v>
      </c>
      <c r="AI24" s="55">
        <f t="shared" si="3"/>
        <v>11.3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8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9">
        <v>20</v>
      </c>
      <c r="AH26" s="54">
        <f t="shared" si="2"/>
        <v>8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0</v>
      </c>
      <c r="U33" s="50">
        <v>0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19.2+36</f>
        <v>55.2</v>
      </c>
      <c r="C37" s="70">
        <f t="shared" ref="C37" si="4">19.2+36</f>
        <v>55.2</v>
      </c>
      <c r="D37" s="70">
        <v>55.6</v>
      </c>
      <c r="E37" s="70">
        <v>55.6</v>
      </c>
      <c r="F37" s="70">
        <v>55.6</v>
      </c>
      <c r="G37" s="70">
        <v>56</v>
      </c>
      <c r="H37" s="70">
        <v>56</v>
      </c>
      <c r="I37" s="70">
        <v>56</v>
      </c>
      <c r="J37" s="70">
        <v>55.6</v>
      </c>
      <c r="K37" s="70">
        <v>55.6</v>
      </c>
      <c r="L37" s="70">
        <v>55.6</v>
      </c>
      <c r="M37" s="70">
        <f>35+19.8</f>
        <v>54.8</v>
      </c>
      <c r="N37" s="70">
        <v>56.8</v>
      </c>
      <c r="O37" s="70">
        <v>56.6</v>
      </c>
      <c r="P37" s="70">
        <f>14.5+31.5</f>
        <v>46</v>
      </c>
      <c r="Q37" s="70">
        <f>14.5+31.5</f>
        <v>46</v>
      </c>
      <c r="R37" s="70">
        <f>14.5+31.5</f>
        <v>46</v>
      </c>
      <c r="S37" s="70">
        <f>31.4+14.3</f>
        <v>45.7</v>
      </c>
      <c r="T37" s="70">
        <f>31.4+14.3</f>
        <v>45.7</v>
      </c>
      <c r="U37" s="70">
        <f>31.4+14.3</f>
        <v>45.7</v>
      </c>
      <c r="V37" s="70">
        <v>40</v>
      </c>
      <c r="W37" s="70">
        <v>38</v>
      </c>
      <c r="X37" s="70">
        <f>26.8+12.1</f>
        <v>38.9</v>
      </c>
      <c r="Y37" s="70">
        <v>38</v>
      </c>
      <c r="Z37" s="70">
        <v>38</v>
      </c>
      <c r="AA37" s="70">
        <v>38</v>
      </c>
      <c r="AB37" s="70">
        <f>12.6+28.4</f>
        <v>41</v>
      </c>
      <c r="AC37" s="70">
        <f>12.7+28.4</f>
        <v>41.099999999999994</v>
      </c>
      <c r="AD37" s="70">
        <f>13+28.9</f>
        <v>41.9</v>
      </c>
      <c r="AE37" s="70">
        <f>13.4+29.7</f>
        <v>43.1</v>
      </c>
      <c r="AF37" s="61">
        <f>14+31</f>
        <v>45</v>
      </c>
      <c r="AG37" s="67">
        <v>240</v>
      </c>
      <c r="AH37" s="54">
        <f t="shared" si="2"/>
        <v>56.8</v>
      </c>
      <c r="AI37" s="55">
        <f t="shared" si="3"/>
        <v>38</v>
      </c>
      <c r="AK37" s="56"/>
    </row>
    <row r="38" spans="1:88" ht="15.75" thickBot="1" x14ac:dyDescent="0.3">
      <c r="A38" s="71" t="s">
        <v>46</v>
      </c>
      <c r="B38" s="72">
        <f>SUM(B11:B36)</f>
        <v>471.9</v>
      </c>
      <c r="C38" s="72">
        <f t="shared" ref="C38:AF38" si="5">SUM(C11:C36)</f>
        <v>445.90000000000003</v>
      </c>
      <c r="D38" s="72">
        <f t="shared" si="5"/>
        <v>443.90000000000003</v>
      </c>
      <c r="E38" s="72">
        <f t="shared" si="5"/>
        <v>443.90000000000003</v>
      </c>
      <c r="F38" s="72">
        <f t="shared" si="5"/>
        <v>438.90000000000003</v>
      </c>
      <c r="G38" s="72">
        <f t="shared" si="5"/>
        <v>478.9</v>
      </c>
      <c r="H38" s="72">
        <f t="shared" si="5"/>
        <v>463.9</v>
      </c>
      <c r="I38" s="72">
        <f t="shared" si="5"/>
        <v>453.90000000000003</v>
      </c>
      <c r="J38" s="72">
        <f t="shared" si="5"/>
        <v>453.90000000000003</v>
      </c>
      <c r="K38" s="72">
        <f t="shared" si="5"/>
        <v>478.9</v>
      </c>
      <c r="L38" s="72">
        <f t="shared" si="5"/>
        <v>778.9</v>
      </c>
      <c r="M38" s="72">
        <f t="shared" si="5"/>
        <v>793.9</v>
      </c>
      <c r="N38" s="72">
        <f t="shared" si="5"/>
        <v>763.9</v>
      </c>
      <c r="O38" s="72">
        <f t="shared" si="5"/>
        <v>523.9</v>
      </c>
      <c r="P38" s="72">
        <f t="shared" si="5"/>
        <v>456.09999999999997</v>
      </c>
      <c r="Q38" s="72">
        <f t="shared" si="5"/>
        <v>436.09999999999997</v>
      </c>
      <c r="R38" s="72">
        <f t="shared" si="5"/>
        <v>436.09999999999997</v>
      </c>
      <c r="S38" s="72">
        <f t="shared" si="5"/>
        <v>436.09999999999997</v>
      </c>
      <c r="T38" s="72">
        <f t="shared" si="5"/>
        <v>443.09999999999997</v>
      </c>
      <c r="U38" s="72">
        <f t="shared" si="5"/>
        <v>462.59999999999997</v>
      </c>
      <c r="V38" s="72">
        <f t="shared" si="5"/>
        <v>641.09999999999991</v>
      </c>
      <c r="W38" s="72">
        <f t="shared" si="5"/>
        <v>641.09999999999991</v>
      </c>
      <c r="X38" s="72">
        <f t="shared" si="5"/>
        <v>872.10000000000014</v>
      </c>
      <c r="Y38" s="72">
        <v>822.10000000000014</v>
      </c>
      <c r="Z38" s="72">
        <f t="shared" si="5"/>
        <v>878.10000000000014</v>
      </c>
      <c r="AA38" s="72">
        <f t="shared" si="5"/>
        <v>802.10000000000014</v>
      </c>
      <c r="AB38" s="72">
        <f t="shared" si="5"/>
        <v>509.00000000000006</v>
      </c>
      <c r="AC38" s="72">
        <f t="shared" si="5"/>
        <v>487.3</v>
      </c>
      <c r="AD38" s="72">
        <f t="shared" si="5"/>
        <v>487.79999999999995</v>
      </c>
      <c r="AE38" s="72">
        <f t="shared" si="5"/>
        <v>458.09999999999997</v>
      </c>
      <c r="AF38" s="72">
        <f t="shared" si="5"/>
        <v>496.9</v>
      </c>
      <c r="AG38" s="67">
        <f>SUM(AG11:AG37)</f>
        <v>1492.8299999999997</v>
      </c>
      <c r="AH38" s="54">
        <f t="shared" si="2"/>
        <v>878.10000000000014</v>
      </c>
      <c r="AI38" s="55">
        <f t="shared" si="3"/>
        <v>436.09999999999997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35</v>
      </c>
      <c r="I39" s="61">
        <v>71</v>
      </c>
      <c r="J39" s="61">
        <v>96</v>
      </c>
      <c r="K39" s="61">
        <v>96</v>
      </c>
      <c r="L39" s="61">
        <v>95.2</v>
      </c>
      <c r="M39" s="50">
        <v>117</v>
      </c>
      <c r="N39" s="50">
        <v>145.80000000000001</v>
      </c>
      <c r="O39" s="50">
        <v>145.80000000000001</v>
      </c>
      <c r="P39" s="50">
        <v>145.6</v>
      </c>
      <c r="Q39" s="50">
        <v>135</v>
      </c>
      <c r="R39" s="50">
        <v>124</v>
      </c>
      <c r="S39" s="50">
        <v>121.5</v>
      </c>
      <c r="T39" s="50">
        <v>121.5</v>
      </c>
      <c r="U39" s="50">
        <v>121.5</v>
      </c>
      <c r="V39" s="50">
        <v>130</v>
      </c>
      <c r="W39" s="50">
        <v>131</v>
      </c>
      <c r="X39" s="50">
        <v>140.19999999999999</v>
      </c>
      <c r="Y39" s="50">
        <v>145</v>
      </c>
      <c r="Z39" s="50">
        <v>145</v>
      </c>
      <c r="AA39" s="50">
        <v>145</v>
      </c>
      <c r="AB39" s="50">
        <v>144.6</v>
      </c>
      <c r="AC39" s="50">
        <v>144.5</v>
      </c>
      <c r="AD39" s="50">
        <v>101.8</v>
      </c>
      <c r="AE39" s="50">
        <v>30.6</v>
      </c>
      <c r="AF39" s="49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35.200000000000003</v>
      </c>
      <c r="C40" s="61">
        <v>35.200000000000003</v>
      </c>
      <c r="D40" s="61">
        <v>0</v>
      </c>
      <c r="E40" s="61">
        <v>0</v>
      </c>
      <c r="F40" s="61">
        <v>0</v>
      </c>
      <c r="G40" s="61">
        <v>0</v>
      </c>
      <c r="H40" s="61">
        <v>25</v>
      </c>
      <c r="I40" s="61">
        <v>45</v>
      </c>
      <c r="J40" s="61">
        <v>60</v>
      </c>
      <c r="K40" s="61">
        <v>60</v>
      </c>
      <c r="L40" s="61">
        <v>70</v>
      </c>
      <c r="M40" s="73">
        <v>70.3</v>
      </c>
      <c r="N40" s="73">
        <v>69.7</v>
      </c>
      <c r="O40" s="73">
        <v>69.7</v>
      </c>
      <c r="P40" s="73">
        <v>71.099999999999994</v>
      </c>
      <c r="Q40" s="73">
        <v>34</v>
      </c>
      <c r="R40" s="73">
        <v>35</v>
      </c>
      <c r="S40" s="73">
        <v>34.799999999999997</v>
      </c>
      <c r="T40" s="73">
        <v>34.799999999999997</v>
      </c>
      <c r="U40" s="73">
        <v>44</v>
      </c>
      <c r="V40" s="73">
        <v>69</v>
      </c>
      <c r="W40" s="73">
        <v>49</v>
      </c>
      <c r="X40" s="73">
        <v>70</v>
      </c>
      <c r="Y40" s="73">
        <v>69.3</v>
      </c>
      <c r="Z40" s="73">
        <v>69.3</v>
      </c>
      <c r="AA40" s="73">
        <v>69.3</v>
      </c>
      <c r="AB40" s="73">
        <v>70.2</v>
      </c>
      <c r="AC40" s="73">
        <v>71.3</v>
      </c>
      <c r="AD40" s="73">
        <v>33.4</v>
      </c>
      <c r="AE40" s="73">
        <v>35.299999999999997</v>
      </c>
      <c r="AF40" s="61">
        <v>23.9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16.7</v>
      </c>
      <c r="C41" s="61">
        <v>16.7</v>
      </c>
      <c r="D41" s="61">
        <v>34.200000000000003</v>
      </c>
      <c r="E41" s="61">
        <v>34.200000000000003</v>
      </c>
      <c r="F41" s="61">
        <v>23.1</v>
      </c>
      <c r="G41" s="61">
        <v>23.2</v>
      </c>
      <c r="H41" s="61">
        <v>23.6</v>
      </c>
      <c r="I41" s="61">
        <v>23</v>
      </c>
      <c r="J41" s="61">
        <v>32</v>
      </c>
      <c r="K41" s="61">
        <v>32</v>
      </c>
      <c r="L41" s="61">
        <v>68.099999999999994</v>
      </c>
      <c r="M41" s="73">
        <v>61</v>
      </c>
      <c r="N41" s="73">
        <v>68.099999999999994</v>
      </c>
      <c r="O41" s="73">
        <v>68.099999999999994</v>
      </c>
      <c r="P41" s="73">
        <v>66.8</v>
      </c>
      <c r="Q41" s="73">
        <v>54</v>
      </c>
      <c r="R41" s="73">
        <v>55</v>
      </c>
      <c r="S41" s="73">
        <v>54.7</v>
      </c>
      <c r="T41" s="73">
        <v>54.8</v>
      </c>
      <c r="U41" s="73">
        <v>61.7</v>
      </c>
      <c r="V41" s="73">
        <v>65.5</v>
      </c>
      <c r="W41" s="73">
        <v>55</v>
      </c>
      <c r="X41" s="73">
        <v>67.099999999999994</v>
      </c>
      <c r="Y41" s="73">
        <v>66.7</v>
      </c>
      <c r="Z41" s="73">
        <v>66.7</v>
      </c>
      <c r="AA41" s="73">
        <v>66.7</v>
      </c>
      <c r="AB41" s="73">
        <v>65.900000000000006</v>
      </c>
      <c r="AC41" s="73">
        <v>66.5</v>
      </c>
      <c r="AD41" s="73">
        <v>45.8</v>
      </c>
      <c r="AE41" s="73">
        <v>44.9</v>
      </c>
      <c r="AF41" s="61">
        <v>22.7</v>
      </c>
      <c r="AG41" s="67">
        <v>69</v>
      </c>
      <c r="AH41" s="54">
        <f t="shared" si="2"/>
        <v>68.099999999999994</v>
      </c>
      <c r="AI41" s="55">
        <f t="shared" si="3"/>
        <v>16.7</v>
      </c>
      <c r="AK41" s="56"/>
    </row>
    <row r="42" spans="1:88" x14ac:dyDescent="0.25">
      <c r="A42" s="66" t="s">
        <v>50</v>
      </c>
      <c r="B42" s="61">
        <v>58.2</v>
      </c>
      <c r="C42" s="61">
        <v>58.2</v>
      </c>
      <c r="D42" s="61">
        <v>58.2</v>
      </c>
      <c r="E42" s="61">
        <v>58.2</v>
      </c>
      <c r="F42" s="61">
        <v>58.2</v>
      </c>
      <c r="G42" s="61">
        <v>58.5</v>
      </c>
      <c r="H42" s="61">
        <v>60</v>
      </c>
      <c r="I42" s="61">
        <v>60</v>
      </c>
      <c r="J42" s="61">
        <v>60</v>
      </c>
      <c r="K42" s="61">
        <v>60</v>
      </c>
      <c r="L42" s="61">
        <v>60</v>
      </c>
      <c r="M42" s="61">
        <v>58</v>
      </c>
      <c r="N42" s="73">
        <v>58.2</v>
      </c>
      <c r="O42" s="73">
        <v>58.2</v>
      </c>
      <c r="P42" s="73">
        <v>58.4</v>
      </c>
      <c r="Q42" s="73">
        <v>58.4</v>
      </c>
      <c r="R42" s="73">
        <v>58</v>
      </c>
      <c r="S42" s="73">
        <v>57.9</v>
      </c>
      <c r="T42" s="73">
        <v>57.9</v>
      </c>
      <c r="U42" s="73">
        <v>57.9</v>
      </c>
      <c r="V42" s="73">
        <v>56.7</v>
      </c>
      <c r="W42" s="73">
        <v>56.7</v>
      </c>
      <c r="X42" s="73">
        <v>56.4</v>
      </c>
      <c r="Y42" s="73">
        <v>56.7</v>
      </c>
      <c r="Z42" s="73">
        <v>56.7</v>
      </c>
      <c r="AA42" s="73">
        <v>56.7</v>
      </c>
      <c r="AB42" s="73">
        <v>56.9</v>
      </c>
      <c r="AC42" s="73">
        <v>57.2</v>
      </c>
      <c r="AD42" s="73">
        <v>57.2</v>
      </c>
      <c r="AE42" s="73">
        <v>57.2</v>
      </c>
      <c r="AF42" s="61">
        <v>57.2</v>
      </c>
      <c r="AG42" s="67">
        <v>60</v>
      </c>
      <c r="AH42" s="54">
        <f t="shared" si="2"/>
        <v>60</v>
      </c>
      <c r="AI42" s="55">
        <f t="shared" si="3"/>
        <v>56.4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10</v>
      </c>
      <c r="E43" s="61">
        <v>10</v>
      </c>
      <c r="F43" s="61">
        <v>10</v>
      </c>
      <c r="G43" s="61">
        <v>10</v>
      </c>
      <c r="H43" s="61">
        <v>10.199999999999999</v>
      </c>
      <c r="I43" s="61">
        <v>10.199999999999999</v>
      </c>
      <c r="J43" s="61">
        <v>10.3</v>
      </c>
      <c r="K43" s="61">
        <v>10.3</v>
      </c>
      <c r="L43" s="61">
        <v>15</v>
      </c>
      <c r="M43" s="61">
        <v>27</v>
      </c>
      <c r="N43" s="50">
        <v>23</v>
      </c>
      <c r="O43" s="50">
        <v>23</v>
      </c>
      <c r="P43" s="50">
        <v>22</v>
      </c>
      <c r="Q43" s="50">
        <v>15</v>
      </c>
      <c r="R43" s="50">
        <v>10</v>
      </c>
      <c r="S43" s="50">
        <v>10</v>
      </c>
      <c r="T43" s="50">
        <v>10</v>
      </c>
      <c r="U43" s="50">
        <v>10</v>
      </c>
      <c r="V43" s="50">
        <v>10</v>
      </c>
      <c r="W43" s="50">
        <v>10</v>
      </c>
      <c r="X43" s="50">
        <v>23.6</v>
      </c>
      <c r="Y43" s="50">
        <v>30</v>
      </c>
      <c r="Z43" s="50">
        <v>22</v>
      </c>
      <c r="AA43" s="50">
        <v>22</v>
      </c>
      <c r="AB43" s="73">
        <v>13.9</v>
      </c>
      <c r="AC43" s="73">
        <v>9.6999999999999993</v>
      </c>
      <c r="AD43" s="73">
        <v>10.7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74">
        <v>18</v>
      </c>
      <c r="N45" s="74">
        <v>18</v>
      </c>
      <c r="O45" s="74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1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61">
        <v>3.2</v>
      </c>
      <c r="N46" s="61">
        <v>3.2</v>
      </c>
      <c r="O46" s="61">
        <v>3.2</v>
      </c>
      <c r="P46" s="50">
        <v>3.2</v>
      </c>
      <c r="Q46" s="50">
        <v>3.2</v>
      </c>
      <c r="R46" s="50">
        <v>3.2</v>
      </c>
      <c r="S46" s="50">
        <v>3.2</v>
      </c>
      <c r="T46" s="50">
        <v>3.2</v>
      </c>
      <c r="U46" s="50">
        <v>3.2</v>
      </c>
      <c r="V46" s="50">
        <v>3.2</v>
      </c>
      <c r="W46" s="50">
        <v>3.2</v>
      </c>
      <c r="X46" s="50">
        <v>3.2</v>
      </c>
      <c r="Y46" s="50">
        <v>3.2</v>
      </c>
      <c r="Z46" s="50">
        <v>3.2</v>
      </c>
      <c r="AA46" s="50">
        <v>3.2</v>
      </c>
      <c r="AB46" s="50">
        <v>3.2</v>
      </c>
      <c r="AC46" s="50">
        <v>3.2</v>
      </c>
      <c r="AD46" s="50">
        <v>3.2</v>
      </c>
      <c r="AE46" s="50">
        <v>3.2</v>
      </c>
      <c r="AF46" s="61">
        <v>3.2</v>
      </c>
      <c r="AG46" s="67">
        <v>15</v>
      </c>
      <c r="AH46" s="54">
        <f t="shared" si="2"/>
        <v>3.2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1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61">
        <v>6.4</v>
      </c>
      <c r="D48" s="61">
        <v>6.4</v>
      </c>
      <c r="E48" s="61">
        <v>6.4</v>
      </c>
      <c r="F48" s="61">
        <v>6.4</v>
      </c>
      <c r="G48" s="61">
        <v>6.4</v>
      </c>
      <c r="H48" s="74">
        <v>6.4</v>
      </c>
      <c r="I48" s="74">
        <v>6.4</v>
      </c>
      <c r="J48" s="74">
        <v>6.4</v>
      </c>
      <c r="K48" s="74">
        <v>6.4</v>
      </c>
      <c r="L48" s="74">
        <v>6.4</v>
      </c>
      <c r="M48" s="74">
        <v>6.4</v>
      </c>
      <c r="N48" s="74">
        <v>6.4</v>
      </c>
      <c r="O48" s="74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61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6.5</v>
      </c>
      <c r="C49" s="61">
        <v>6.5</v>
      </c>
      <c r="D49" s="61">
        <v>6.5</v>
      </c>
      <c r="E49" s="61">
        <v>6.5</v>
      </c>
      <c r="F49" s="61">
        <v>6.5</v>
      </c>
      <c r="G49" s="61">
        <v>6.5</v>
      </c>
      <c r="H49" s="61">
        <v>6.5</v>
      </c>
      <c r="I49" s="61">
        <v>6.5</v>
      </c>
      <c r="J49" s="61">
        <v>6.5</v>
      </c>
      <c r="K49" s="61">
        <v>6.5</v>
      </c>
      <c r="L49" s="61">
        <v>6.5</v>
      </c>
      <c r="M49" s="61">
        <v>6.5</v>
      </c>
      <c r="N49" s="61">
        <v>6.5</v>
      </c>
      <c r="O49" s="61">
        <v>6.5</v>
      </c>
      <c r="P49" s="50">
        <v>7.5</v>
      </c>
      <c r="Q49" s="50">
        <v>7.5</v>
      </c>
      <c r="R49" s="50">
        <v>7.5</v>
      </c>
      <c r="S49" s="50">
        <v>7.5</v>
      </c>
      <c r="T49" s="50">
        <v>7.5</v>
      </c>
      <c r="U49" s="50">
        <v>7.5</v>
      </c>
      <c r="V49" s="50">
        <v>7.5</v>
      </c>
      <c r="W49" s="50">
        <v>7.5</v>
      </c>
      <c r="X49" s="50">
        <v>7.5</v>
      </c>
      <c r="Y49" s="50">
        <v>7.5</v>
      </c>
      <c r="Z49" s="50">
        <v>7.5</v>
      </c>
      <c r="AA49" s="50">
        <v>7.5</v>
      </c>
      <c r="AB49" s="50">
        <v>7.5</v>
      </c>
      <c r="AC49" s="50">
        <v>7.5</v>
      </c>
      <c r="AD49" s="50">
        <v>7.5</v>
      </c>
      <c r="AE49" s="50">
        <v>7.5</v>
      </c>
      <c r="AF49" s="61">
        <v>7.5</v>
      </c>
      <c r="AG49" s="67">
        <v>10.050000000000001</v>
      </c>
      <c r="AH49" s="54">
        <f t="shared" si="2"/>
        <v>7.5</v>
      </c>
      <c r="AI49" s="55">
        <f t="shared" si="3"/>
        <v>6.5</v>
      </c>
      <c r="AK49" s="56"/>
    </row>
    <row r="50" spans="1:37" x14ac:dyDescent="0.25">
      <c r="A50" s="66" t="s">
        <v>58</v>
      </c>
      <c r="B50" s="61">
        <v>4</v>
      </c>
      <c r="C50" s="61">
        <v>4</v>
      </c>
      <c r="D50" s="61">
        <v>4</v>
      </c>
      <c r="E50" s="61">
        <v>4</v>
      </c>
      <c r="F50" s="61">
        <v>4</v>
      </c>
      <c r="G50" s="61">
        <v>4</v>
      </c>
      <c r="H50" s="61">
        <v>4</v>
      </c>
      <c r="I50" s="61">
        <v>4</v>
      </c>
      <c r="J50" s="61">
        <v>4</v>
      </c>
      <c r="K50" s="61">
        <v>4</v>
      </c>
      <c r="L50" s="61">
        <v>4</v>
      </c>
      <c r="M50" s="61">
        <v>4</v>
      </c>
      <c r="N50" s="61">
        <v>4</v>
      </c>
      <c r="O50" s="61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61">
        <v>4</v>
      </c>
      <c r="AG50" s="67">
        <v>6.2</v>
      </c>
      <c r="AH50" s="54">
        <f t="shared" si="2"/>
        <v>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164.74</v>
      </c>
      <c r="C52" s="72">
        <f t="shared" ref="C52:AF52" si="7">SUM(C39:C51)</f>
        <v>164.74</v>
      </c>
      <c r="D52" s="72">
        <f t="shared" si="7"/>
        <v>157.04000000000002</v>
      </c>
      <c r="E52" s="72">
        <f t="shared" si="7"/>
        <v>157.04000000000002</v>
      </c>
      <c r="F52" s="72">
        <f t="shared" si="7"/>
        <v>145.94</v>
      </c>
      <c r="G52" s="72">
        <f t="shared" si="7"/>
        <v>146.34</v>
      </c>
      <c r="H52" s="72">
        <f t="shared" si="7"/>
        <v>208.43999999999997</v>
      </c>
      <c r="I52" s="72">
        <f t="shared" si="7"/>
        <v>263.83999999999997</v>
      </c>
      <c r="J52" s="72">
        <f t="shared" si="7"/>
        <v>312.94</v>
      </c>
      <c r="K52" s="72">
        <f t="shared" si="7"/>
        <v>312.94</v>
      </c>
      <c r="L52" s="72">
        <f t="shared" si="7"/>
        <v>362.93999999999994</v>
      </c>
      <c r="M52" s="72">
        <f t="shared" si="7"/>
        <v>387.94</v>
      </c>
      <c r="N52" s="72">
        <f t="shared" si="7"/>
        <v>419.44</v>
      </c>
      <c r="O52" s="72">
        <f t="shared" si="7"/>
        <v>419.44</v>
      </c>
      <c r="P52" s="72">
        <f t="shared" si="7"/>
        <v>419.53999999999996</v>
      </c>
      <c r="Q52" s="72">
        <f t="shared" si="7"/>
        <v>352.03999999999996</v>
      </c>
      <c r="R52" s="72">
        <f t="shared" si="7"/>
        <v>337.64</v>
      </c>
      <c r="S52" s="72">
        <f t="shared" si="7"/>
        <v>334.53999999999996</v>
      </c>
      <c r="T52" s="72">
        <f t="shared" si="7"/>
        <v>334.64</v>
      </c>
      <c r="U52" s="72">
        <f t="shared" si="7"/>
        <v>350.73999999999995</v>
      </c>
      <c r="V52" s="72">
        <f t="shared" si="7"/>
        <v>386.84</v>
      </c>
      <c r="W52" s="72">
        <f t="shared" si="7"/>
        <v>357.34</v>
      </c>
      <c r="X52" s="72">
        <f t="shared" si="7"/>
        <v>412.93999999999994</v>
      </c>
      <c r="Y52" s="72">
        <v>423.34</v>
      </c>
      <c r="Z52" s="72">
        <f t="shared" si="7"/>
        <v>415.34</v>
      </c>
      <c r="AA52" s="72">
        <f t="shared" si="7"/>
        <v>415.34</v>
      </c>
      <c r="AB52" s="72">
        <f t="shared" si="7"/>
        <v>407.14</v>
      </c>
      <c r="AC52" s="72">
        <f t="shared" si="7"/>
        <v>404.84</v>
      </c>
      <c r="AD52" s="72">
        <f t="shared" si="7"/>
        <v>304.53999999999996</v>
      </c>
      <c r="AE52" s="72">
        <f t="shared" si="7"/>
        <v>223.64</v>
      </c>
      <c r="AF52" s="72">
        <f t="shared" si="7"/>
        <v>159.44</v>
      </c>
      <c r="AG52" s="78">
        <f>SUM(AG39:AG51)</f>
        <v>489.91</v>
      </c>
      <c r="AH52" s="54">
        <f t="shared" si="2"/>
        <v>423.34</v>
      </c>
      <c r="AI52" s="55">
        <f t="shared" si="3"/>
        <v>145.94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45</v>
      </c>
      <c r="M53" s="79">
        <v>50</v>
      </c>
      <c r="N53" s="79">
        <v>49.3</v>
      </c>
      <c r="O53" s="79">
        <v>41.2</v>
      </c>
      <c r="P53" s="79">
        <v>23.1</v>
      </c>
      <c r="Q53" s="50">
        <v>14</v>
      </c>
      <c r="R53" s="50">
        <v>14</v>
      </c>
      <c r="S53" s="50">
        <v>14</v>
      </c>
      <c r="T53" s="50">
        <v>14</v>
      </c>
      <c r="U53" s="50">
        <v>14</v>
      </c>
      <c r="V53" s="50">
        <v>14</v>
      </c>
      <c r="W53" s="50">
        <v>36</v>
      </c>
      <c r="X53" s="50">
        <v>50.5</v>
      </c>
      <c r="Y53" s="50">
        <v>50.5</v>
      </c>
      <c r="Z53" s="50">
        <v>50.5</v>
      </c>
      <c r="AA53" s="50">
        <v>50.5</v>
      </c>
      <c r="AB53" s="50">
        <v>50.2</v>
      </c>
      <c r="AC53" s="50">
        <v>29.2</v>
      </c>
      <c r="AD53" s="50">
        <v>13.7</v>
      </c>
      <c r="AE53" s="50">
        <v>0</v>
      </c>
      <c r="AF53" s="50">
        <v>0</v>
      </c>
      <c r="AG53" s="62">
        <v>60</v>
      </c>
      <c r="AH53" s="54">
        <f t="shared" si="2"/>
        <v>50.5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20</v>
      </c>
      <c r="M54" s="79">
        <v>23</v>
      </c>
      <c r="N54" s="79">
        <v>25</v>
      </c>
      <c r="O54" s="79">
        <v>17</v>
      </c>
      <c r="P54" s="79">
        <v>14.5</v>
      </c>
      <c r="Q54" s="73">
        <v>7</v>
      </c>
      <c r="R54" s="73">
        <v>7</v>
      </c>
      <c r="S54" s="50">
        <v>6</v>
      </c>
      <c r="T54" s="50">
        <v>7.1</v>
      </c>
      <c r="U54" s="50">
        <v>6.3</v>
      </c>
      <c r="V54" s="73">
        <v>5.8</v>
      </c>
      <c r="W54" s="73">
        <v>13</v>
      </c>
      <c r="X54" s="73">
        <v>22.5</v>
      </c>
      <c r="Y54" s="73">
        <v>23.2</v>
      </c>
      <c r="Z54" s="73">
        <v>23.2</v>
      </c>
      <c r="AA54" s="73">
        <v>23.2</v>
      </c>
      <c r="AB54" s="73">
        <v>23.3</v>
      </c>
      <c r="AC54" s="73">
        <v>19.100000000000001</v>
      </c>
      <c r="AD54" s="73">
        <v>6.7</v>
      </c>
      <c r="AE54" s="73">
        <v>0</v>
      </c>
      <c r="AF54" s="73">
        <v>0</v>
      </c>
      <c r="AG54" s="67">
        <v>32</v>
      </c>
      <c r="AH54" s="54">
        <f t="shared" si="2"/>
        <v>25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7.3</v>
      </c>
      <c r="M55" s="81">
        <v>8.3000000000000007</v>
      </c>
      <c r="N55" s="81">
        <v>9.1</v>
      </c>
      <c r="O55" s="81">
        <v>6.5</v>
      </c>
      <c r="P55" s="81">
        <v>5.3</v>
      </c>
      <c r="Q55" s="80">
        <v>2.6</v>
      </c>
      <c r="R55" s="80">
        <v>2.5</v>
      </c>
      <c r="S55" s="50">
        <v>2.1</v>
      </c>
      <c r="T55" s="50">
        <v>2.6</v>
      </c>
      <c r="U55" s="50">
        <v>2.2999999999999998</v>
      </c>
      <c r="V55" s="80">
        <v>2.1</v>
      </c>
      <c r="W55" s="80">
        <v>4.8</v>
      </c>
      <c r="X55" s="80">
        <v>8.1999999999999993</v>
      </c>
      <c r="Y55" s="80">
        <v>8.5</v>
      </c>
      <c r="Z55" s="80">
        <v>8.5</v>
      </c>
      <c r="AA55" s="80">
        <v>8.5</v>
      </c>
      <c r="AB55" s="80">
        <v>8.5</v>
      </c>
      <c r="AC55" s="80">
        <v>7</v>
      </c>
      <c r="AD55" s="80">
        <v>2.4</v>
      </c>
      <c r="AE55" s="80">
        <v>0</v>
      </c>
      <c r="AF55" s="80">
        <v>0</v>
      </c>
      <c r="AG55" s="82">
        <v>14</v>
      </c>
      <c r="AH55" s="54">
        <f t="shared" si="2"/>
        <v>9.1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0</v>
      </c>
      <c r="L56" s="72">
        <f t="shared" si="8"/>
        <v>72.3</v>
      </c>
      <c r="M56" s="72">
        <f t="shared" si="8"/>
        <v>81.3</v>
      </c>
      <c r="N56" s="72">
        <f t="shared" si="8"/>
        <v>83.399999999999991</v>
      </c>
      <c r="O56" s="72">
        <f t="shared" si="8"/>
        <v>64.7</v>
      </c>
      <c r="P56" s="72">
        <f t="shared" si="8"/>
        <v>42.9</v>
      </c>
      <c r="Q56" s="72">
        <f t="shared" si="8"/>
        <v>23.6</v>
      </c>
      <c r="R56" s="72">
        <f t="shared" si="8"/>
        <v>23.5</v>
      </c>
      <c r="S56" s="72">
        <f t="shared" si="8"/>
        <v>22.1</v>
      </c>
      <c r="T56" s="72">
        <f t="shared" si="8"/>
        <v>23.700000000000003</v>
      </c>
      <c r="U56" s="72">
        <f t="shared" si="8"/>
        <v>22.6</v>
      </c>
      <c r="V56" s="72">
        <f t="shared" si="8"/>
        <v>21.900000000000002</v>
      </c>
      <c r="W56" s="72">
        <f t="shared" si="8"/>
        <v>53.8</v>
      </c>
      <c r="X56" s="72">
        <f t="shared" si="8"/>
        <v>81.2</v>
      </c>
      <c r="Y56" s="72">
        <v>82.2</v>
      </c>
      <c r="Z56" s="72">
        <f t="shared" si="8"/>
        <v>82.2</v>
      </c>
      <c r="AA56" s="72">
        <f t="shared" si="8"/>
        <v>82.2</v>
      </c>
      <c r="AB56" s="72">
        <f t="shared" si="8"/>
        <v>82</v>
      </c>
      <c r="AC56" s="72">
        <f t="shared" si="8"/>
        <v>55.3</v>
      </c>
      <c r="AD56" s="72">
        <f t="shared" si="8"/>
        <v>22.799999999999997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83.399999999999991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57</v>
      </c>
      <c r="C57" s="50">
        <v>57.5</v>
      </c>
      <c r="D57" s="50">
        <v>59</v>
      </c>
      <c r="E57" s="50">
        <v>58</v>
      </c>
      <c r="F57" s="50">
        <v>56</v>
      </c>
      <c r="G57" s="50">
        <v>63</v>
      </c>
      <c r="H57" s="50">
        <v>60</v>
      </c>
      <c r="I57" s="50">
        <v>58</v>
      </c>
      <c r="J57" s="50">
        <v>70</v>
      </c>
      <c r="K57" s="50">
        <v>68</v>
      </c>
      <c r="L57" s="50">
        <v>70</v>
      </c>
      <c r="M57" s="50">
        <v>63</v>
      </c>
      <c r="N57" s="50">
        <v>70</v>
      </c>
      <c r="O57" s="50">
        <v>67.7</v>
      </c>
      <c r="P57" s="50">
        <v>64.5</v>
      </c>
      <c r="Q57" s="50">
        <v>67</v>
      </c>
      <c r="R57" s="50">
        <v>68.8</v>
      </c>
      <c r="S57" s="50">
        <v>64.2</v>
      </c>
      <c r="T57" s="50">
        <v>64.099999999999994</v>
      </c>
      <c r="U57" s="50">
        <v>67.8</v>
      </c>
      <c r="V57" s="50">
        <v>61.3</v>
      </c>
      <c r="W57" s="50">
        <v>67.099999999999994</v>
      </c>
      <c r="X57" s="50">
        <v>69.400000000000006</v>
      </c>
      <c r="Y57" s="50">
        <v>78.400000000000006</v>
      </c>
      <c r="Z57" s="50">
        <v>69</v>
      </c>
      <c r="AA57" s="50">
        <v>74.7</v>
      </c>
      <c r="AB57" s="50">
        <v>69.400000000000006</v>
      </c>
      <c r="AC57" s="50">
        <v>70</v>
      </c>
      <c r="AD57" s="50">
        <v>60.5</v>
      </c>
      <c r="AE57" s="50">
        <v>64.599999999999994</v>
      </c>
      <c r="AF57" s="50">
        <v>64</v>
      </c>
      <c r="AG57" s="62"/>
      <c r="AH57" s="54">
        <f t="shared" si="2"/>
        <v>78.400000000000006</v>
      </c>
      <c r="AI57" s="55">
        <f t="shared" si="3"/>
        <v>56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83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83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225</v>
      </c>
      <c r="C59" s="73">
        <v>214</v>
      </c>
      <c r="D59" s="73">
        <v>219</v>
      </c>
      <c r="E59" s="73">
        <v>202</v>
      </c>
      <c r="F59" s="73">
        <v>191</v>
      </c>
      <c r="G59" s="73">
        <v>175</v>
      </c>
      <c r="H59" s="50">
        <v>200</v>
      </c>
      <c r="I59" s="50">
        <v>201</v>
      </c>
      <c r="J59" s="50">
        <v>316</v>
      </c>
      <c r="K59" s="50">
        <v>311</v>
      </c>
      <c r="L59" s="50">
        <v>45</v>
      </c>
      <c r="M59" s="73">
        <v>60</v>
      </c>
      <c r="N59" s="73">
        <v>68</v>
      </c>
      <c r="O59" s="73">
        <v>290</v>
      </c>
      <c r="P59" s="73">
        <v>325</v>
      </c>
      <c r="Q59" s="73">
        <v>327</v>
      </c>
      <c r="R59" s="73">
        <v>326</v>
      </c>
      <c r="S59" s="73">
        <v>337</v>
      </c>
      <c r="T59" s="73">
        <v>333</v>
      </c>
      <c r="U59" s="73">
        <v>338</v>
      </c>
      <c r="V59" s="73">
        <v>121</v>
      </c>
      <c r="W59" s="73">
        <v>103.9</v>
      </c>
      <c r="X59" s="84">
        <v>59</v>
      </c>
      <c r="Y59" s="84">
        <v>0</v>
      </c>
      <c r="Z59" s="84">
        <v>0</v>
      </c>
      <c r="AA59" s="84">
        <v>12.8</v>
      </c>
      <c r="AB59" s="73">
        <v>230</v>
      </c>
      <c r="AC59" s="73">
        <v>241.8</v>
      </c>
      <c r="AD59" s="73">
        <v>280</v>
      </c>
      <c r="AE59" s="73">
        <v>260.8</v>
      </c>
      <c r="AF59" s="73">
        <v>167.9</v>
      </c>
      <c r="AG59" s="85"/>
      <c r="AH59" s="54">
        <f t="shared" si="2"/>
        <v>338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52</v>
      </c>
      <c r="L60" s="58">
        <v>49.6</v>
      </c>
      <c r="M60" s="73">
        <v>49</v>
      </c>
      <c r="N60" s="73">
        <v>44</v>
      </c>
      <c r="O60" s="73">
        <v>43</v>
      </c>
      <c r="P60" s="73">
        <v>41.8</v>
      </c>
      <c r="Q60" s="73">
        <v>37</v>
      </c>
      <c r="R60" s="73">
        <v>36</v>
      </c>
      <c r="S60" s="73">
        <v>38</v>
      </c>
      <c r="T60" s="73">
        <v>38.799999999999997</v>
      </c>
      <c r="U60" s="73">
        <v>40.700000000000003</v>
      </c>
      <c r="V60" s="73">
        <v>38</v>
      </c>
      <c r="W60" s="73">
        <v>29</v>
      </c>
      <c r="X60" s="73">
        <v>42.4</v>
      </c>
      <c r="Y60" s="73">
        <v>43.7</v>
      </c>
      <c r="Z60" s="73">
        <v>42</v>
      </c>
      <c r="AA60" s="73">
        <v>41.4</v>
      </c>
      <c r="AB60" s="73">
        <v>39</v>
      </c>
      <c r="AC60" s="73">
        <v>38.6</v>
      </c>
      <c r="AD60" s="73">
        <v>37</v>
      </c>
      <c r="AE60" s="73">
        <v>34.1</v>
      </c>
      <c r="AF60" s="58">
        <v>37.200000000000003</v>
      </c>
      <c r="AG60" s="85"/>
      <c r="AH60" s="54">
        <f t="shared" si="2"/>
        <v>52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73.900000000000006</v>
      </c>
      <c r="X61" s="50">
        <v>72.2</v>
      </c>
      <c r="Y61" s="50">
        <v>73.8</v>
      </c>
      <c r="Z61" s="50">
        <v>81</v>
      </c>
      <c r="AA61" s="50">
        <v>83</v>
      </c>
      <c r="AB61" s="50">
        <v>86.2</v>
      </c>
      <c r="AC61" s="50">
        <v>83.9</v>
      </c>
      <c r="AD61" s="50">
        <v>74.900000000000006</v>
      </c>
      <c r="AE61" s="50">
        <v>64.599999999999994</v>
      </c>
      <c r="AF61" s="50">
        <v>72.8</v>
      </c>
      <c r="AG61" s="85"/>
      <c r="AH61" s="54">
        <f t="shared" si="2"/>
        <v>86.2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282</v>
      </c>
      <c r="C68" s="72">
        <f>SUM(C57:C67)</f>
        <v>271.5</v>
      </c>
      <c r="D68" s="72">
        <f t="shared" ref="D68:AF68" si="9">SUM(D57:D67)</f>
        <v>278</v>
      </c>
      <c r="E68" s="72">
        <f t="shared" si="9"/>
        <v>260</v>
      </c>
      <c r="F68" s="72">
        <f t="shared" si="9"/>
        <v>247</v>
      </c>
      <c r="G68" s="72">
        <f t="shared" si="9"/>
        <v>238</v>
      </c>
      <c r="H68" s="72">
        <f t="shared" si="9"/>
        <v>260</v>
      </c>
      <c r="I68" s="72">
        <f t="shared" si="9"/>
        <v>259</v>
      </c>
      <c r="J68" s="72">
        <f t="shared" si="9"/>
        <v>386</v>
      </c>
      <c r="K68" s="72">
        <f t="shared" si="9"/>
        <v>431</v>
      </c>
      <c r="L68" s="72">
        <f t="shared" si="9"/>
        <v>164.6</v>
      </c>
      <c r="M68" s="72">
        <f t="shared" si="9"/>
        <v>172</v>
      </c>
      <c r="N68" s="72">
        <f t="shared" si="9"/>
        <v>182</v>
      </c>
      <c r="O68" s="72">
        <f t="shared" si="9"/>
        <v>400.7</v>
      </c>
      <c r="P68" s="72">
        <f t="shared" si="9"/>
        <v>431.3</v>
      </c>
      <c r="Q68" s="72">
        <f t="shared" si="9"/>
        <v>431</v>
      </c>
      <c r="R68" s="72">
        <f t="shared" si="9"/>
        <v>430.8</v>
      </c>
      <c r="S68" s="72">
        <f t="shared" si="9"/>
        <v>439.2</v>
      </c>
      <c r="T68" s="72">
        <f t="shared" si="9"/>
        <v>435.90000000000003</v>
      </c>
      <c r="U68" s="72">
        <f t="shared" si="9"/>
        <v>446.5</v>
      </c>
      <c r="V68" s="72">
        <f t="shared" si="9"/>
        <v>220.3</v>
      </c>
      <c r="W68" s="72">
        <f t="shared" si="9"/>
        <v>273.89999999999998</v>
      </c>
      <c r="X68" s="72">
        <f t="shared" si="9"/>
        <v>243</v>
      </c>
      <c r="Y68" s="72">
        <v>278.90000000000003</v>
      </c>
      <c r="Z68" s="72">
        <f t="shared" si="9"/>
        <v>192</v>
      </c>
      <c r="AA68" s="72">
        <f t="shared" si="9"/>
        <v>211.9</v>
      </c>
      <c r="AB68" s="72">
        <f t="shared" si="9"/>
        <v>424.59999999999997</v>
      </c>
      <c r="AC68" s="72">
        <f t="shared" si="9"/>
        <v>434.30000000000007</v>
      </c>
      <c r="AD68" s="72">
        <f t="shared" si="9"/>
        <v>452.4</v>
      </c>
      <c r="AE68" s="72">
        <f t="shared" si="9"/>
        <v>424.1</v>
      </c>
      <c r="AF68" s="72">
        <f t="shared" si="9"/>
        <v>341.90000000000003</v>
      </c>
      <c r="AG68" s="78">
        <f>SUM(AG57:AG67)</f>
        <v>0</v>
      </c>
      <c r="AH68" s="54">
        <f t="shared" si="2"/>
        <v>452.4</v>
      </c>
      <c r="AI68" s="55">
        <f t="shared" si="3"/>
        <v>164.6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918.64</v>
      </c>
      <c r="C73" s="89">
        <f>C68+C56+C52+C38+C72</f>
        <v>882.1400000000001</v>
      </c>
      <c r="D73" s="89">
        <f t="shared" ref="D73:AG73" si="11">D68+D56+D52+D38+D72</f>
        <v>878.94</v>
      </c>
      <c r="E73" s="89">
        <f t="shared" si="11"/>
        <v>860.94</v>
      </c>
      <c r="F73" s="89">
        <f t="shared" si="11"/>
        <v>831.84</v>
      </c>
      <c r="G73" s="89">
        <f t="shared" si="11"/>
        <v>863.24</v>
      </c>
      <c r="H73" s="89">
        <f t="shared" si="11"/>
        <v>932.33999999999992</v>
      </c>
      <c r="I73" s="89">
        <f t="shared" si="11"/>
        <v>976.74</v>
      </c>
      <c r="J73" s="89">
        <f t="shared" si="11"/>
        <v>1152.8400000000001</v>
      </c>
      <c r="K73" s="89">
        <f t="shared" si="11"/>
        <v>1222.8400000000001</v>
      </c>
      <c r="L73" s="89">
        <f t="shared" si="11"/>
        <v>1378.7399999999998</v>
      </c>
      <c r="M73" s="89">
        <f t="shared" si="11"/>
        <v>1435.1399999999999</v>
      </c>
      <c r="N73" s="89">
        <f t="shared" si="11"/>
        <v>1448.7399999999998</v>
      </c>
      <c r="O73" s="89">
        <f t="shared" si="11"/>
        <v>1408.7399999999998</v>
      </c>
      <c r="P73" s="89">
        <f t="shared" si="11"/>
        <v>1349.84</v>
      </c>
      <c r="Q73" s="89">
        <f t="shared" si="11"/>
        <v>1242.74</v>
      </c>
      <c r="R73" s="89">
        <f t="shared" si="11"/>
        <v>1228.04</v>
      </c>
      <c r="S73" s="89">
        <f t="shared" si="11"/>
        <v>1231.9399999999998</v>
      </c>
      <c r="T73" s="89">
        <f t="shared" si="11"/>
        <v>1237.3399999999999</v>
      </c>
      <c r="U73" s="89">
        <f t="shared" si="11"/>
        <v>1282.4399999999998</v>
      </c>
      <c r="V73" s="89">
        <f t="shared" si="11"/>
        <v>1270.1399999999999</v>
      </c>
      <c r="W73" s="89">
        <f t="shared" si="11"/>
        <v>1326.1399999999999</v>
      </c>
      <c r="X73" s="89">
        <f t="shared" si="11"/>
        <v>1609.24</v>
      </c>
      <c r="Y73" s="89">
        <v>1606.5400000000002</v>
      </c>
      <c r="Z73" s="89">
        <f t="shared" si="11"/>
        <v>1567.64</v>
      </c>
      <c r="AA73" s="89">
        <f t="shared" si="11"/>
        <v>1511.5400000000002</v>
      </c>
      <c r="AB73" s="89">
        <f t="shared" si="11"/>
        <v>1422.74</v>
      </c>
      <c r="AC73" s="89">
        <f t="shared" si="11"/>
        <v>1381.74</v>
      </c>
      <c r="AD73" s="89">
        <f t="shared" si="11"/>
        <v>1267.54</v>
      </c>
      <c r="AE73" s="89">
        <f t="shared" si="11"/>
        <v>1105.8399999999999</v>
      </c>
      <c r="AF73" s="89">
        <f t="shared" si="11"/>
        <v>998.24</v>
      </c>
      <c r="AG73" s="89">
        <f t="shared" si="11"/>
        <v>2144.14</v>
      </c>
      <c r="AH73" s="54">
        <f t="shared" si="2"/>
        <v>1609.24</v>
      </c>
      <c r="AI73" s="55">
        <f t="shared" si="3"/>
        <v>831.84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918.64</v>
      </c>
      <c r="C75" s="89">
        <f>C73+C74</f>
        <v>882.1400000000001</v>
      </c>
      <c r="D75" s="89">
        <f t="shared" ref="D75:AF75" si="12">D72+D68+D56+D52+D38+D74</f>
        <v>878.94</v>
      </c>
      <c r="E75" s="89">
        <f t="shared" si="12"/>
        <v>860.94</v>
      </c>
      <c r="F75" s="89">
        <f t="shared" si="12"/>
        <v>831.84</v>
      </c>
      <c r="G75" s="89">
        <f t="shared" si="12"/>
        <v>863.24</v>
      </c>
      <c r="H75" s="89">
        <f t="shared" si="12"/>
        <v>932.33999999999992</v>
      </c>
      <c r="I75" s="89">
        <f t="shared" si="12"/>
        <v>976.74</v>
      </c>
      <c r="J75" s="89">
        <f t="shared" si="12"/>
        <v>1152.8400000000001</v>
      </c>
      <c r="K75" s="89">
        <f t="shared" si="12"/>
        <v>1222.8400000000001</v>
      </c>
      <c r="L75" s="89">
        <f t="shared" si="12"/>
        <v>1378.7399999999998</v>
      </c>
      <c r="M75" s="89">
        <f t="shared" si="12"/>
        <v>1435.1399999999999</v>
      </c>
      <c r="N75" s="89">
        <f t="shared" si="12"/>
        <v>1448.7399999999998</v>
      </c>
      <c r="O75" s="89">
        <f t="shared" si="12"/>
        <v>1408.7399999999998</v>
      </c>
      <c r="P75" s="89">
        <f t="shared" si="12"/>
        <v>1349.84</v>
      </c>
      <c r="Q75" s="89">
        <f t="shared" si="12"/>
        <v>1242.74</v>
      </c>
      <c r="R75" s="89">
        <f t="shared" si="12"/>
        <v>1228.04</v>
      </c>
      <c r="S75" s="89">
        <f t="shared" si="12"/>
        <v>1231.9399999999998</v>
      </c>
      <c r="T75" s="89">
        <f t="shared" si="12"/>
        <v>1237.3399999999999</v>
      </c>
      <c r="U75" s="89">
        <f t="shared" si="12"/>
        <v>1282.4399999999998</v>
      </c>
      <c r="V75" s="89">
        <f t="shared" si="12"/>
        <v>1270.1399999999999</v>
      </c>
      <c r="W75" s="89">
        <f t="shared" si="12"/>
        <v>1326.1399999999999</v>
      </c>
      <c r="X75" s="89">
        <f t="shared" si="12"/>
        <v>1609.24</v>
      </c>
      <c r="Y75" s="89">
        <v>1606.5400000000002</v>
      </c>
      <c r="Z75" s="89">
        <f t="shared" si="12"/>
        <v>1567.64</v>
      </c>
      <c r="AA75" s="89">
        <f t="shared" si="12"/>
        <v>1511.5400000000002</v>
      </c>
      <c r="AB75" s="89">
        <f t="shared" si="12"/>
        <v>1422.74</v>
      </c>
      <c r="AC75" s="89">
        <f t="shared" si="12"/>
        <v>1381.74</v>
      </c>
      <c r="AD75" s="89">
        <f t="shared" si="12"/>
        <v>1267.54</v>
      </c>
      <c r="AE75" s="89">
        <f t="shared" si="12"/>
        <v>1105.8399999999999</v>
      </c>
      <c r="AF75" s="89">
        <f t="shared" si="12"/>
        <v>998.24</v>
      </c>
      <c r="AG75" s="78">
        <f>AG72+AG68+AG56+AG52+AG38+AG74</f>
        <v>2144.14</v>
      </c>
      <c r="AH75" s="54">
        <f t="shared" si="2"/>
        <v>1609.24</v>
      </c>
      <c r="AI75" s="55">
        <f t="shared" si="3"/>
        <v>831.84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/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1837.28</v>
      </c>
      <c r="C83" s="72">
        <f t="shared" ref="C83:AG83" si="21">SUM(C70:C82)</f>
        <v>1764.2800000000002</v>
      </c>
      <c r="D83" s="72">
        <f t="shared" si="21"/>
        <v>1757.88</v>
      </c>
      <c r="E83" s="72">
        <f t="shared" si="21"/>
        <v>1721.88</v>
      </c>
      <c r="F83" s="72">
        <f t="shared" si="21"/>
        <v>1663.68</v>
      </c>
      <c r="G83" s="72">
        <f t="shared" si="21"/>
        <v>1726.48</v>
      </c>
      <c r="H83" s="72">
        <f t="shared" si="21"/>
        <v>1864.6799999999998</v>
      </c>
      <c r="I83" s="72">
        <f t="shared" si="21"/>
        <v>1953.48</v>
      </c>
      <c r="J83" s="72">
        <f t="shared" si="21"/>
        <v>2305.6800000000003</v>
      </c>
      <c r="K83" s="72">
        <f t="shared" si="21"/>
        <v>2445.6800000000003</v>
      </c>
      <c r="L83" s="72">
        <f t="shared" si="21"/>
        <v>2757.4799999999996</v>
      </c>
      <c r="M83" s="72">
        <f t="shared" si="21"/>
        <v>2870.2799999999997</v>
      </c>
      <c r="N83" s="72">
        <f t="shared" si="21"/>
        <v>2897.4799999999996</v>
      </c>
      <c r="O83" s="72">
        <f t="shared" si="21"/>
        <v>2817.4799999999996</v>
      </c>
      <c r="P83" s="72">
        <f t="shared" si="21"/>
        <v>2699.68</v>
      </c>
      <c r="Q83" s="72">
        <f t="shared" si="21"/>
        <v>2485.48</v>
      </c>
      <c r="R83" s="72">
        <f t="shared" si="21"/>
        <v>2456.08</v>
      </c>
      <c r="S83" s="72">
        <f t="shared" si="21"/>
        <v>2463.8799999999997</v>
      </c>
      <c r="T83" s="72">
        <f t="shared" si="21"/>
        <v>2474.6799999999998</v>
      </c>
      <c r="U83" s="72">
        <f t="shared" si="21"/>
        <v>2564.8799999999997</v>
      </c>
      <c r="V83" s="72">
        <f t="shared" si="21"/>
        <v>2540.2799999999997</v>
      </c>
      <c r="W83" s="72">
        <f t="shared" si="21"/>
        <v>2652.2799999999997</v>
      </c>
      <c r="X83" s="72">
        <f t="shared" si="21"/>
        <v>3218.48</v>
      </c>
      <c r="Y83" s="72">
        <v>278.90000000000003</v>
      </c>
      <c r="Z83" s="72">
        <f t="shared" si="21"/>
        <v>3135.28</v>
      </c>
      <c r="AA83" s="72">
        <f t="shared" si="21"/>
        <v>3023.0800000000004</v>
      </c>
      <c r="AB83" s="72">
        <f t="shared" si="21"/>
        <v>2845.48</v>
      </c>
      <c r="AC83" s="72">
        <f t="shared" si="21"/>
        <v>2763.48</v>
      </c>
      <c r="AD83" s="72">
        <f t="shared" si="21"/>
        <v>2535.08</v>
      </c>
      <c r="AE83" s="72">
        <f t="shared" si="21"/>
        <v>2211.6799999999998</v>
      </c>
      <c r="AF83" s="72">
        <f t="shared" si="21"/>
        <v>1996.48</v>
      </c>
      <c r="AG83" s="78">
        <f t="shared" si="21"/>
        <v>4360.08</v>
      </c>
      <c r="AH83" s="54">
        <f t="shared" si="14"/>
        <v>3218.48</v>
      </c>
      <c r="AI83" s="55">
        <f t="shared" si="15"/>
        <v>278.90000000000003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50.01</v>
      </c>
      <c r="C84" s="95">
        <v>50.01</v>
      </c>
      <c r="D84" s="95">
        <v>50</v>
      </c>
      <c r="E84" s="95">
        <v>49.987000000000002</v>
      </c>
      <c r="F84" s="95">
        <v>50.033000000000001</v>
      </c>
      <c r="G84" s="95">
        <v>50.048999999999999</v>
      </c>
      <c r="H84" s="95">
        <v>50.002000000000002</v>
      </c>
      <c r="I84" s="95">
        <v>50.201999999999998</v>
      </c>
      <c r="J84" s="95">
        <v>49.997999999999998</v>
      </c>
      <c r="K84" s="95">
        <v>50.09</v>
      </c>
      <c r="L84" s="95">
        <v>49.951000000000001</v>
      </c>
      <c r="M84" s="95">
        <v>50.073</v>
      </c>
      <c r="N84" s="95">
        <v>50.024000000000001</v>
      </c>
      <c r="O84" s="95">
        <v>50.07</v>
      </c>
      <c r="P84" s="95">
        <v>50.07</v>
      </c>
      <c r="Q84" s="95">
        <v>50.033999999999999</v>
      </c>
      <c r="R84" s="95">
        <v>50.13</v>
      </c>
      <c r="S84" s="95">
        <v>50.045999999999999</v>
      </c>
      <c r="T84" s="95">
        <v>49.975000000000001</v>
      </c>
      <c r="U84" s="95">
        <v>49.959000000000003</v>
      </c>
      <c r="V84" s="95">
        <v>49.993000000000002</v>
      </c>
      <c r="W84" s="95">
        <v>50.037999999999997</v>
      </c>
      <c r="X84" s="95">
        <v>50.066000000000003</v>
      </c>
      <c r="Y84" s="95">
        <v>49.993000000000002</v>
      </c>
      <c r="Z84" s="95">
        <v>50.005000000000003</v>
      </c>
      <c r="AA84" s="95">
        <v>49.878999999999998</v>
      </c>
      <c r="AB84" s="95">
        <v>49.973999999999997</v>
      </c>
      <c r="AC84" s="95">
        <v>49.960999999999999</v>
      </c>
      <c r="AD84" s="95">
        <v>50.052999999999997</v>
      </c>
      <c r="AE84" s="95">
        <v>49.996000000000002</v>
      </c>
      <c r="AF84" s="95">
        <v>49.965000000000003</v>
      </c>
      <c r="AG84" s="96"/>
      <c r="AH84" s="54">
        <f t="shared" si="14"/>
        <v>50.201999999999998</v>
      </c>
      <c r="AI84" s="55">
        <f t="shared" si="15"/>
        <v>49.878999999999998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125.2</v>
      </c>
      <c r="C85" s="98">
        <v>125.2</v>
      </c>
      <c r="D85" s="73">
        <v>126.9</v>
      </c>
      <c r="E85" s="73">
        <v>127.4</v>
      </c>
      <c r="F85" s="73">
        <v>127.7</v>
      </c>
      <c r="G85" s="73">
        <v>125.9</v>
      </c>
      <c r="H85" s="73">
        <v>126.5</v>
      </c>
      <c r="I85" s="73">
        <v>124.1</v>
      </c>
      <c r="J85" s="73">
        <v>124.9</v>
      </c>
      <c r="K85" s="73">
        <v>124.5</v>
      </c>
      <c r="L85" s="73">
        <v>123.9</v>
      </c>
      <c r="M85" s="73">
        <v>123.7</v>
      </c>
      <c r="N85" s="73">
        <v>124</v>
      </c>
      <c r="O85" s="73">
        <v>123.3</v>
      </c>
      <c r="P85" s="73">
        <v>123</v>
      </c>
      <c r="Q85" s="73">
        <v>122.2</v>
      </c>
      <c r="R85" s="73">
        <v>124.4</v>
      </c>
      <c r="S85" s="73">
        <v>122.5</v>
      </c>
      <c r="T85" s="73">
        <v>122.5</v>
      </c>
      <c r="U85" s="98">
        <v>120.8</v>
      </c>
      <c r="V85" s="98">
        <v>123.5</v>
      </c>
      <c r="W85" s="98">
        <v>123.1</v>
      </c>
      <c r="X85" s="98">
        <v>120.6</v>
      </c>
      <c r="Y85" s="98">
        <v>123</v>
      </c>
      <c r="Z85" s="98">
        <v>123.3</v>
      </c>
      <c r="AA85" s="98">
        <v>125.4</v>
      </c>
      <c r="AB85" s="73">
        <v>126</v>
      </c>
      <c r="AC85" s="73">
        <v>125.9</v>
      </c>
      <c r="AD85" s="73">
        <v>126.1</v>
      </c>
      <c r="AE85" s="73">
        <v>128.5</v>
      </c>
      <c r="AF85" s="73">
        <v>128.69999999999999</v>
      </c>
      <c r="AG85" s="99"/>
      <c r="AH85" s="54">
        <f t="shared" si="14"/>
        <v>128.69999999999999</v>
      </c>
      <c r="AI85" s="55">
        <f t="shared" si="15"/>
        <v>120.6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129.69999999999999</v>
      </c>
      <c r="C86" s="98">
        <v>129.69999999999999</v>
      </c>
      <c r="D86" s="73">
        <v>131.6</v>
      </c>
      <c r="E86" s="73">
        <v>132</v>
      </c>
      <c r="F86" s="73">
        <v>131.9</v>
      </c>
      <c r="G86" s="73">
        <v>130.4</v>
      </c>
      <c r="H86" s="73">
        <v>130.80000000000001</v>
      </c>
      <c r="I86" s="73">
        <v>128.80000000000001</v>
      </c>
      <c r="J86" s="73">
        <v>128.19999999999999</v>
      </c>
      <c r="K86" s="73">
        <v>128.19999999999999</v>
      </c>
      <c r="L86" s="73">
        <v>127.4</v>
      </c>
      <c r="M86" s="73">
        <v>126.4</v>
      </c>
      <c r="N86" s="73">
        <v>126.7</v>
      </c>
      <c r="O86" s="73">
        <v>125.8</v>
      </c>
      <c r="P86" s="73">
        <v>125.6</v>
      </c>
      <c r="Q86" s="73">
        <v>125.5</v>
      </c>
      <c r="R86" s="73">
        <v>127.2</v>
      </c>
      <c r="S86" s="73">
        <v>125.9</v>
      </c>
      <c r="T86" s="73">
        <v>125.7</v>
      </c>
      <c r="U86" s="98">
        <v>124.5</v>
      </c>
      <c r="V86" s="98">
        <v>126.2</v>
      </c>
      <c r="W86" s="98">
        <v>125.9</v>
      </c>
      <c r="X86" s="98">
        <v>123.4</v>
      </c>
      <c r="Y86" s="98">
        <v>124.6</v>
      </c>
      <c r="Z86" s="98">
        <v>125.1</v>
      </c>
      <c r="AA86" s="98">
        <v>126.7</v>
      </c>
      <c r="AB86" s="73">
        <v>127.5</v>
      </c>
      <c r="AC86" s="73">
        <v>127.3</v>
      </c>
      <c r="AD86" s="73">
        <v>128.30000000000001</v>
      </c>
      <c r="AE86" s="73">
        <v>131.4</v>
      </c>
      <c r="AF86" s="73">
        <v>131</v>
      </c>
      <c r="AG86" s="99"/>
      <c r="AH86" s="54">
        <f t="shared" si="14"/>
        <v>132</v>
      </c>
      <c r="AI86" s="55">
        <f t="shared" si="15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131.6</v>
      </c>
      <c r="C87" s="98">
        <v>131.6</v>
      </c>
      <c r="D87" s="73">
        <v>130.80000000000001</v>
      </c>
      <c r="E87" s="73">
        <v>130.80000000000001</v>
      </c>
      <c r="F87" s="73">
        <v>130.30000000000001</v>
      </c>
      <c r="G87" s="73">
        <v>30.6</v>
      </c>
      <c r="H87" s="73">
        <v>129.69999999999999</v>
      </c>
      <c r="I87" s="73">
        <v>129.5</v>
      </c>
      <c r="J87" s="73">
        <v>128.30000000000001</v>
      </c>
      <c r="K87" s="73">
        <v>127.7</v>
      </c>
      <c r="L87" s="73">
        <v>123.2</v>
      </c>
      <c r="M87" s="73">
        <v>125.3</v>
      </c>
      <c r="N87" s="73">
        <v>126.7</v>
      </c>
      <c r="O87" s="73">
        <v>129.80000000000001</v>
      </c>
      <c r="P87" s="73">
        <v>127.5</v>
      </c>
      <c r="Q87" s="73">
        <v>130.19999999999999</v>
      </c>
      <c r="R87" s="73">
        <v>131.1</v>
      </c>
      <c r="S87" s="73">
        <v>128.1</v>
      </c>
      <c r="T87" s="73">
        <v>128.19999999999999</v>
      </c>
      <c r="U87" s="73">
        <v>126.8</v>
      </c>
      <c r="V87" s="73">
        <v>129.6</v>
      </c>
      <c r="W87" s="73">
        <v>125.4</v>
      </c>
      <c r="X87" s="98">
        <v>127.4</v>
      </c>
      <c r="Y87" s="98">
        <v>129.1</v>
      </c>
      <c r="Z87" s="98">
        <v>128</v>
      </c>
      <c r="AA87" s="98">
        <v>128.30000000000001</v>
      </c>
      <c r="AB87" s="73">
        <v>130.30000000000001</v>
      </c>
      <c r="AC87" s="73">
        <v>131.19999999999999</v>
      </c>
      <c r="AD87" s="73">
        <v>131.1</v>
      </c>
      <c r="AE87" s="73">
        <v>132.1</v>
      </c>
      <c r="AF87" s="73">
        <v>130.69999999999999</v>
      </c>
      <c r="AG87" s="99"/>
      <c r="AH87" s="54">
        <f t="shared" si="14"/>
        <v>132.1</v>
      </c>
      <c r="AI87" s="55">
        <f t="shared" si="15"/>
        <v>30.6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98">
        <v>134.30000000000001</v>
      </c>
      <c r="C88" s="98">
        <v>134.30000000000001</v>
      </c>
      <c r="D88" s="73">
        <v>133.30000000000001</v>
      </c>
      <c r="E88" s="73">
        <v>133.30000000000001</v>
      </c>
      <c r="F88" s="73">
        <v>135</v>
      </c>
      <c r="G88" s="73">
        <v>134.6</v>
      </c>
      <c r="H88" s="73">
        <v>133</v>
      </c>
      <c r="I88" s="73">
        <v>133.6</v>
      </c>
      <c r="J88" s="73">
        <v>130.30000000000001</v>
      </c>
      <c r="K88" s="73">
        <v>130.5</v>
      </c>
      <c r="L88" s="73">
        <v>125.4</v>
      </c>
      <c r="M88" s="73">
        <v>127.1</v>
      </c>
      <c r="N88" s="73">
        <v>131.69999999999999</v>
      </c>
      <c r="O88" s="73">
        <v>132.69999999999999</v>
      </c>
      <c r="P88" s="73">
        <v>129.5</v>
      </c>
      <c r="Q88" s="73">
        <v>132.9</v>
      </c>
      <c r="R88" s="73">
        <v>134.19999999999999</v>
      </c>
      <c r="S88" s="73">
        <v>131.19999999999999</v>
      </c>
      <c r="T88" s="73">
        <v>131.4</v>
      </c>
      <c r="U88" s="73">
        <v>129.19999999999999</v>
      </c>
      <c r="V88" s="73">
        <v>131.9</v>
      </c>
      <c r="W88" s="73">
        <v>127.7</v>
      </c>
      <c r="X88" s="98">
        <v>129.6</v>
      </c>
      <c r="Y88" s="98">
        <v>133.4</v>
      </c>
      <c r="Z88" s="98">
        <v>132.80000000000001</v>
      </c>
      <c r="AA88" s="98">
        <v>133.80000000000001</v>
      </c>
      <c r="AB88" s="73">
        <v>134.1</v>
      </c>
      <c r="AC88" s="73">
        <v>135.1</v>
      </c>
      <c r="AD88" s="73">
        <v>135.5</v>
      </c>
      <c r="AE88" s="73">
        <v>136.80000000000001</v>
      </c>
      <c r="AF88" s="73">
        <v>135.80000000000001</v>
      </c>
      <c r="AG88" s="99"/>
      <c r="AH88" s="54">
        <f t="shared" si="14"/>
        <v>136.80000000000001</v>
      </c>
      <c r="AI88" s="55">
        <f t="shared" si="15"/>
        <v>125.4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98">
        <v>133.69999999999999</v>
      </c>
      <c r="C89" s="98">
        <v>133.69999999999999</v>
      </c>
      <c r="D89" s="101">
        <v>132.69999999999999</v>
      </c>
      <c r="E89" s="101">
        <v>132.69999999999999</v>
      </c>
      <c r="F89" s="101">
        <v>132.9</v>
      </c>
      <c r="G89" s="101">
        <v>128.30000000000001</v>
      </c>
      <c r="H89" s="101">
        <v>133.80000000000001</v>
      </c>
      <c r="I89" s="101">
        <v>132.6</v>
      </c>
      <c r="J89" s="101">
        <v>132.80000000000001</v>
      </c>
      <c r="K89" s="101">
        <v>133</v>
      </c>
      <c r="L89" s="101">
        <v>131.69999999999999</v>
      </c>
      <c r="M89" s="101">
        <v>129.80000000000001</v>
      </c>
      <c r="N89" s="101">
        <v>134.80000000000001</v>
      </c>
      <c r="O89" s="101">
        <v>134.69999999999999</v>
      </c>
      <c r="P89" s="101">
        <v>133.4</v>
      </c>
      <c r="Q89" s="101">
        <v>134</v>
      </c>
      <c r="R89" s="101">
        <v>133.9</v>
      </c>
      <c r="S89" s="101">
        <v>132</v>
      </c>
      <c r="T89" s="101">
        <v>134.1</v>
      </c>
      <c r="U89" s="101">
        <v>121.5</v>
      </c>
      <c r="V89" s="101">
        <v>135.9</v>
      </c>
      <c r="W89" s="101">
        <v>134.6</v>
      </c>
      <c r="X89" s="98">
        <v>132</v>
      </c>
      <c r="Y89" s="98">
        <v>131.69999999999999</v>
      </c>
      <c r="Z89" s="98">
        <v>132.80000000000001</v>
      </c>
      <c r="AA89" s="98">
        <v>135.19999999999999</v>
      </c>
      <c r="AB89" s="101">
        <v>133.4</v>
      </c>
      <c r="AC89" s="101">
        <v>133.6</v>
      </c>
      <c r="AD89" s="101">
        <v>135.4</v>
      </c>
      <c r="AE89" s="101">
        <v>132</v>
      </c>
      <c r="AF89" s="101">
        <v>127.8</v>
      </c>
      <c r="AG89" s="102"/>
      <c r="AH89" s="54">
        <f t="shared" si="14"/>
        <v>135.9</v>
      </c>
      <c r="AI89" s="55">
        <f t="shared" si="15"/>
        <v>121.5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137.30000000000001</v>
      </c>
      <c r="C90" s="98">
        <v>137.30000000000001</v>
      </c>
      <c r="D90" s="73">
        <v>136.19999999999999</v>
      </c>
      <c r="E90" s="73">
        <v>136.19999999999999</v>
      </c>
      <c r="F90" s="73">
        <v>137</v>
      </c>
      <c r="G90" s="73">
        <v>137</v>
      </c>
      <c r="H90" s="73">
        <v>135.6</v>
      </c>
      <c r="I90" s="73">
        <v>135.4</v>
      </c>
      <c r="J90" s="73">
        <v>130</v>
      </c>
      <c r="K90" s="73">
        <v>128.6</v>
      </c>
      <c r="L90" s="73">
        <v>128.19999999999999</v>
      </c>
      <c r="M90" s="73">
        <v>127</v>
      </c>
      <c r="N90" s="73">
        <v>131.19999999999999</v>
      </c>
      <c r="O90" s="73">
        <v>129.6</v>
      </c>
      <c r="P90" s="73">
        <v>132.19999999999999</v>
      </c>
      <c r="Q90" s="73">
        <v>134.6</v>
      </c>
      <c r="R90" s="73">
        <v>136.9</v>
      </c>
      <c r="S90" s="73">
        <v>133.4</v>
      </c>
      <c r="T90" s="73">
        <v>133</v>
      </c>
      <c r="U90" s="73">
        <v>131</v>
      </c>
      <c r="V90" s="73">
        <v>134.19999999999999</v>
      </c>
      <c r="W90" s="73">
        <v>131.5</v>
      </c>
      <c r="X90" s="98">
        <v>129.4</v>
      </c>
      <c r="Y90" s="98">
        <v>131.19999999999999</v>
      </c>
      <c r="Z90" s="98">
        <v>136.1</v>
      </c>
      <c r="AA90" s="98">
        <v>132.6</v>
      </c>
      <c r="AB90" s="73">
        <v>133.9</v>
      </c>
      <c r="AC90" s="73">
        <v>134.30000000000001</v>
      </c>
      <c r="AD90" s="73">
        <v>133.19999999999999</v>
      </c>
      <c r="AE90" s="73">
        <v>134.80000000000001</v>
      </c>
      <c r="AF90" s="73">
        <v>139.5</v>
      </c>
      <c r="AG90" s="99"/>
      <c r="AH90" s="54">
        <f t="shared" si="14"/>
        <v>139.5</v>
      </c>
      <c r="AI90" s="55">
        <f t="shared" si="15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3">
        <v>65.400000000000006</v>
      </c>
      <c r="C91" s="103">
        <v>65.400000000000006</v>
      </c>
      <c r="D91" s="103">
        <v>66.5</v>
      </c>
      <c r="E91" s="103">
        <v>66.5</v>
      </c>
      <c r="F91" s="103">
        <v>66.3</v>
      </c>
      <c r="G91" s="103">
        <v>65.400000000000006</v>
      </c>
      <c r="H91" s="103">
        <v>65.5</v>
      </c>
      <c r="I91" s="103">
        <v>64.5</v>
      </c>
      <c r="J91" s="103">
        <v>64.7</v>
      </c>
      <c r="K91" s="103">
        <v>64.599999999999994</v>
      </c>
      <c r="L91" s="103">
        <v>63.8</v>
      </c>
      <c r="M91" s="103">
        <v>63.2</v>
      </c>
      <c r="N91" s="103">
        <v>63.3</v>
      </c>
      <c r="O91" s="103">
        <v>63</v>
      </c>
      <c r="P91" s="103">
        <v>62.8</v>
      </c>
      <c r="Q91" s="103">
        <v>63</v>
      </c>
      <c r="R91" s="103">
        <v>64</v>
      </c>
      <c r="S91" s="103">
        <v>63.5</v>
      </c>
      <c r="T91" s="103">
        <v>63.3</v>
      </c>
      <c r="U91" s="103">
        <v>62.8</v>
      </c>
      <c r="V91" s="103">
        <v>63.7</v>
      </c>
      <c r="W91" s="103">
        <v>63.6</v>
      </c>
      <c r="X91" s="103">
        <v>62.4</v>
      </c>
      <c r="Y91" s="103">
        <v>62.8</v>
      </c>
      <c r="Z91" s="103">
        <v>63.3</v>
      </c>
      <c r="AA91" s="103">
        <v>63.7</v>
      </c>
      <c r="AB91" s="103">
        <v>64.2</v>
      </c>
      <c r="AC91" s="103">
        <v>64.3</v>
      </c>
      <c r="AD91" s="103">
        <v>64.8</v>
      </c>
      <c r="AE91" s="103">
        <v>66.099999999999994</v>
      </c>
      <c r="AF91" s="103">
        <v>65.599999999999994</v>
      </c>
      <c r="AG91" s="104"/>
      <c r="AH91" s="54">
        <f t="shared" si="14"/>
        <v>66.5</v>
      </c>
      <c r="AI91" s="55">
        <f t="shared" si="15"/>
        <v>62.4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188.04</v>
      </c>
      <c r="C93" s="110">
        <f>SUM(C15,C18,C21:C22,C42,C44:C45,C47,C49,C94:C97,C102,C108,C114,C123,C125,C137,C144,C147:C148,C155,C157,C159,C163:C165,C167:C169,C174,C180:C181,C183:C185,C193,C198)</f>
        <v>172.44</v>
      </c>
      <c r="D93" s="110">
        <f t="shared" ref="D93:AF93" si="22">SUM(D15,D18,D21:D22,D42,D44:D45,D47,D49,D94:D97,D102,D108,D114,D123,D125,D137,D144,D147:D148,D155,D157,D159,D163:D165,D167:D169,D174,D180:D181,D183:D185,D193,D198)</f>
        <v>171.83999999999997</v>
      </c>
      <c r="E93" s="110">
        <f t="shared" si="22"/>
        <v>172.93999999999997</v>
      </c>
      <c r="F93" s="110">
        <f t="shared" si="22"/>
        <v>181.33999999999997</v>
      </c>
      <c r="G93" s="109">
        <f t="shared" si="22"/>
        <v>199.43999999999997</v>
      </c>
      <c r="H93" s="109">
        <f t="shared" si="22"/>
        <v>228.44</v>
      </c>
      <c r="I93" s="109">
        <f t="shared" si="22"/>
        <v>278.74</v>
      </c>
      <c r="J93" s="109">
        <f t="shared" si="22"/>
        <v>316.64000000000004</v>
      </c>
      <c r="K93" s="109">
        <f t="shared" si="22"/>
        <v>358.84000000000003</v>
      </c>
      <c r="L93" s="109">
        <f t="shared" si="22"/>
        <v>398.14000000000004</v>
      </c>
      <c r="M93" s="109">
        <f t="shared" si="22"/>
        <v>438.64000000000004</v>
      </c>
      <c r="N93" s="109">
        <f t="shared" si="22"/>
        <v>427.84000000000003</v>
      </c>
      <c r="O93" s="109">
        <f t="shared" si="22"/>
        <v>427.04</v>
      </c>
      <c r="P93" s="109">
        <f t="shared" si="22"/>
        <v>403.34000000000003</v>
      </c>
      <c r="Q93" s="109">
        <f t="shared" si="22"/>
        <v>370.74</v>
      </c>
      <c r="R93" s="109">
        <f t="shared" si="22"/>
        <v>358.04</v>
      </c>
      <c r="S93" s="109">
        <f t="shared" si="22"/>
        <v>349.94000000000005</v>
      </c>
      <c r="T93" s="109">
        <f t="shared" si="22"/>
        <v>365.94000000000005</v>
      </c>
      <c r="U93" s="109">
        <f t="shared" si="22"/>
        <v>369.34000000000003</v>
      </c>
      <c r="V93" s="109">
        <f t="shared" si="22"/>
        <v>398.34000000000003</v>
      </c>
      <c r="W93" s="109">
        <f t="shared" si="22"/>
        <v>430.84000000000009</v>
      </c>
      <c r="X93" s="109">
        <f t="shared" si="22"/>
        <v>491.24</v>
      </c>
      <c r="Y93" s="109">
        <v>518.99708333333342</v>
      </c>
      <c r="Z93" s="109">
        <f t="shared" si="22"/>
        <v>496.14000000000004</v>
      </c>
      <c r="AA93" s="109">
        <f t="shared" si="22"/>
        <v>483.14000000000004</v>
      </c>
      <c r="AB93" s="109">
        <f t="shared" si="22"/>
        <v>456.04</v>
      </c>
      <c r="AC93" s="109">
        <f t="shared" si="22"/>
        <v>445.04</v>
      </c>
      <c r="AD93" s="109">
        <f t="shared" si="22"/>
        <v>397.34000000000003</v>
      </c>
      <c r="AE93" s="109">
        <f t="shared" si="22"/>
        <v>322.44000000000005</v>
      </c>
      <c r="AF93" s="109">
        <f t="shared" si="22"/>
        <v>234.44</v>
      </c>
      <c r="AG93" s="111"/>
      <c r="AH93" s="54">
        <f>MAX(C93:AF93)</f>
        <v>518.99708333333342</v>
      </c>
      <c r="AI93" s="55">
        <f>MIN(C93:AF93)</f>
        <v>171.83999999999997</v>
      </c>
    </row>
    <row r="94" spans="1:88" x14ac:dyDescent="0.25">
      <c r="A94" s="112" t="s">
        <v>98</v>
      </c>
      <c r="B94" s="113">
        <v>-16.7</v>
      </c>
      <c r="C94" s="113">
        <f>-17.7</f>
        <v>-17.7</v>
      </c>
      <c r="D94" s="58">
        <v>-16</v>
      </c>
      <c r="E94" s="58">
        <v>-14.9</v>
      </c>
      <c r="F94" s="58">
        <v>-13.6</v>
      </c>
      <c r="G94" s="114">
        <v>-18.8</v>
      </c>
      <c r="H94" s="114">
        <v>-2.8</v>
      </c>
      <c r="I94" s="114">
        <v>0</v>
      </c>
      <c r="J94" s="114">
        <v>36</v>
      </c>
      <c r="K94" s="114">
        <v>45.8</v>
      </c>
      <c r="L94" s="114">
        <v>44</v>
      </c>
      <c r="M94" s="113">
        <v>44</v>
      </c>
      <c r="N94" s="114">
        <v>61</v>
      </c>
      <c r="O94" s="114">
        <v>62.3</v>
      </c>
      <c r="P94" s="114">
        <v>75.099999999999994</v>
      </c>
      <c r="Q94" s="114">
        <v>59</v>
      </c>
      <c r="R94" s="114">
        <v>52</v>
      </c>
      <c r="S94" s="114">
        <v>43.9</v>
      </c>
      <c r="T94" s="114">
        <v>51</v>
      </c>
      <c r="U94" s="113">
        <v>60.8</v>
      </c>
      <c r="V94" s="113">
        <v>69.5</v>
      </c>
      <c r="W94" s="113">
        <v>59.5</v>
      </c>
      <c r="X94" s="114">
        <v>58.9</v>
      </c>
      <c r="Y94" s="114">
        <v>55.7</v>
      </c>
      <c r="Z94" s="114">
        <v>61.9</v>
      </c>
      <c r="AA94" s="114">
        <v>66.2</v>
      </c>
      <c r="AB94" s="113">
        <v>74.5</v>
      </c>
      <c r="AC94" s="113">
        <v>78</v>
      </c>
      <c r="AD94" s="113">
        <v>46.1</v>
      </c>
      <c r="AE94" s="113">
        <v>21.5</v>
      </c>
      <c r="AF94" s="113">
        <v>-3.4</v>
      </c>
      <c r="AG94" s="115">
        <v>75</v>
      </c>
      <c r="AH94" s="54">
        <f t="shared" ref="AH94:AH99" si="23">IF(ABS(MAX(C94:AF94))&gt;ABS(MIN(C94:AF94)),MAX(C94:AF94),MIN(C94:AF94))</f>
        <v>78</v>
      </c>
      <c r="AI94" s="116">
        <f t="shared" ref="AI94:AI99" si="24">INDEX($C$9:$AF$9,1,MATCH(AH94,C94:AF94,0))</f>
        <v>0.85416666666666663</v>
      </c>
    </row>
    <row r="95" spans="1:88" x14ac:dyDescent="0.25">
      <c r="A95" s="117" t="s">
        <v>99</v>
      </c>
      <c r="B95" s="73">
        <f>-24.8-27.8</f>
        <v>-52.6</v>
      </c>
      <c r="C95" s="73">
        <f>-26.9-30.3</f>
        <v>-57.2</v>
      </c>
      <c r="D95" s="60">
        <v>-59</v>
      </c>
      <c r="E95" s="60">
        <v>-56.3</v>
      </c>
      <c r="F95" s="60">
        <v>-53.2</v>
      </c>
      <c r="G95" s="60">
        <v>-47.2</v>
      </c>
      <c r="H95" s="60">
        <v>-37.6</v>
      </c>
      <c r="I95" s="60">
        <v>-19.600000000000001</v>
      </c>
      <c r="J95" s="60">
        <v>-23</v>
      </c>
      <c r="K95" s="60">
        <v>-2</v>
      </c>
      <c r="L95" s="60">
        <v>14</v>
      </c>
      <c r="M95" s="60">
        <v>34</v>
      </c>
      <c r="N95" s="60">
        <v>21</v>
      </c>
      <c r="O95" s="60">
        <v>22.7</v>
      </c>
      <c r="P95" s="60">
        <f>6.7+2.7</f>
        <v>9.4</v>
      </c>
      <c r="Q95" s="60">
        <v>15.5</v>
      </c>
      <c r="R95" s="60">
        <v>17</v>
      </c>
      <c r="S95" s="60">
        <f>9+8</f>
        <v>17</v>
      </c>
      <c r="T95" s="60">
        <f>11+12</f>
        <v>23</v>
      </c>
      <c r="U95" s="60">
        <f>8.8+8.2</f>
        <v>17</v>
      </c>
      <c r="V95" s="60">
        <f>14+13</f>
        <v>27</v>
      </c>
      <c r="W95" s="60">
        <f>35.7+36</f>
        <v>71.7</v>
      </c>
      <c r="X95" s="60">
        <f>44.3+42.6</f>
        <v>86.9</v>
      </c>
      <c r="Y95" s="60">
        <v>95</v>
      </c>
      <c r="Z95" s="60">
        <v>82</v>
      </c>
      <c r="AA95" s="60">
        <f>35+32</f>
        <v>67</v>
      </c>
      <c r="AB95" s="73">
        <v>50</v>
      </c>
      <c r="AC95" s="73">
        <v>59</v>
      </c>
      <c r="AD95" s="73">
        <v>75.3</v>
      </c>
      <c r="AE95" s="73">
        <v>14.3</v>
      </c>
      <c r="AF95" s="73">
        <v>-26.5</v>
      </c>
      <c r="AG95" s="115">
        <v>240</v>
      </c>
      <c r="AH95" s="54">
        <f t="shared" si="23"/>
        <v>95</v>
      </c>
      <c r="AI95" s="116">
        <f t="shared" si="24"/>
        <v>0.77083333333333337</v>
      </c>
    </row>
    <row r="96" spans="1:88" x14ac:dyDescent="0.25">
      <c r="A96" s="117" t="s">
        <v>100</v>
      </c>
      <c r="B96" s="73">
        <v>-4.7</v>
      </c>
      <c r="C96" s="73">
        <f>-6.7</f>
        <v>-6.7</v>
      </c>
      <c r="D96" s="60">
        <v>-6</v>
      </c>
      <c r="E96" s="60">
        <v>-5.6</v>
      </c>
      <c r="F96" s="60">
        <v>-6.8</v>
      </c>
      <c r="G96" s="60">
        <v>-3.9</v>
      </c>
      <c r="H96" s="60">
        <v>1.7</v>
      </c>
      <c r="I96" s="60">
        <v>3.2</v>
      </c>
      <c r="J96" s="60">
        <v>9</v>
      </c>
      <c r="K96" s="60">
        <v>15.6</v>
      </c>
      <c r="L96" s="60">
        <v>39.5</v>
      </c>
      <c r="M96" s="60">
        <v>50</v>
      </c>
      <c r="N96" s="60">
        <v>47</v>
      </c>
      <c r="O96" s="60">
        <v>47.2</v>
      </c>
      <c r="P96" s="60">
        <v>42</v>
      </c>
      <c r="Q96" s="60">
        <v>26.8</v>
      </c>
      <c r="R96" s="60">
        <v>29</v>
      </c>
      <c r="S96" s="60">
        <v>20.9</v>
      </c>
      <c r="T96" s="60">
        <v>24</v>
      </c>
      <c r="U96" s="60">
        <v>20.399999999999999</v>
      </c>
      <c r="V96" s="60">
        <v>23.4</v>
      </c>
      <c r="W96" s="60">
        <v>44.6</v>
      </c>
      <c r="X96" s="60">
        <v>63.7</v>
      </c>
      <c r="Y96" s="60">
        <v>63.8</v>
      </c>
      <c r="Z96" s="60">
        <v>64.3</v>
      </c>
      <c r="AA96" s="60">
        <v>65</v>
      </c>
      <c r="AB96" s="73">
        <v>64.599999999999994</v>
      </c>
      <c r="AC96" s="73">
        <v>43.7</v>
      </c>
      <c r="AD96" s="73">
        <v>28.3</v>
      </c>
      <c r="AE96" s="73">
        <v>14.6</v>
      </c>
      <c r="AF96" s="73">
        <v>14.3</v>
      </c>
      <c r="AG96" s="115">
        <v>60</v>
      </c>
      <c r="AH96" s="54">
        <f t="shared" si="23"/>
        <v>65</v>
      </c>
      <c r="AI96" s="116">
        <f t="shared" si="24"/>
        <v>0.8125</v>
      </c>
    </row>
    <row r="97" spans="1:37" x14ac:dyDescent="0.25">
      <c r="A97" s="118" t="s">
        <v>101</v>
      </c>
      <c r="B97" s="119">
        <v>69.2</v>
      </c>
      <c r="C97" s="119">
        <v>61.2</v>
      </c>
      <c r="D97" s="63">
        <v>60</v>
      </c>
      <c r="E97" s="63">
        <v>56.9</v>
      </c>
      <c r="F97" s="63">
        <v>62.1</v>
      </c>
      <c r="G97" s="63">
        <v>76.2</v>
      </c>
      <c r="H97" s="63">
        <v>72.5</v>
      </c>
      <c r="I97" s="63">
        <v>100.5</v>
      </c>
      <c r="J97" s="63">
        <v>100</v>
      </c>
      <c r="K97" s="63">
        <v>104.8</v>
      </c>
      <c r="L97" s="63">
        <v>106</v>
      </c>
      <c r="M97" s="63">
        <v>118</v>
      </c>
      <c r="N97" s="63">
        <v>106</v>
      </c>
      <c r="O97" s="63">
        <v>102</v>
      </c>
      <c r="P97" s="63">
        <v>89.4</v>
      </c>
      <c r="Q97" s="63">
        <v>82</v>
      </c>
      <c r="R97" s="63">
        <v>73</v>
      </c>
      <c r="S97" s="63">
        <v>81.2</v>
      </c>
      <c r="T97" s="63">
        <v>91</v>
      </c>
      <c r="U97" s="63">
        <v>94.2</v>
      </c>
      <c r="V97" s="63">
        <v>92.7</v>
      </c>
      <c r="W97" s="63">
        <v>69.3</v>
      </c>
      <c r="X97" s="63">
        <v>96.3</v>
      </c>
      <c r="Y97" s="63">
        <v>100.1</v>
      </c>
      <c r="Z97" s="63">
        <v>96.2</v>
      </c>
      <c r="AA97" s="63">
        <v>93.2</v>
      </c>
      <c r="AB97" s="119">
        <v>81.3</v>
      </c>
      <c r="AC97" s="119">
        <v>78</v>
      </c>
      <c r="AD97" s="119">
        <v>61</v>
      </c>
      <c r="AE97" s="119">
        <v>85.1</v>
      </c>
      <c r="AF97" s="119">
        <v>63.1</v>
      </c>
      <c r="AG97" s="120">
        <v>120</v>
      </c>
      <c r="AH97" s="54">
        <f t="shared" si="23"/>
        <v>118</v>
      </c>
      <c r="AI97" s="116">
        <f t="shared" si="24"/>
        <v>0.33333333333333331</v>
      </c>
    </row>
    <row r="98" spans="1:37" x14ac:dyDescent="0.25">
      <c r="A98" s="118" t="s">
        <v>102</v>
      </c>
      <c r="B98" s="119">
        <v>81.2</v>
      </c>
      <c r="C98" s="119">
        <v>74</v>
      </c>
      <c r="D98" s="63">
        <v>72</v>
      </c>
      <c r="E98" s="63">
        <v>68.5</v>
      </c>
      <c r="F98" s="63">
        <v>71.099999999999994</v>
      </c>
      <c r="G98" s="63">
        <v>82.4</v>
      </c>
      <c r="H98" s="63">
        <v>76.599999999999994</v>
      </c>
      <c r="I98" s="63">
        <v>103.2</v>
      </c>
      <c r="J98" s="63">
        <v>106</v>
      </c>
      <c r="K98" s="63">
        <v>95</v>
      </c>
      <c r="L98" s="63">
        <v>92</v>
      </c>
      <c r="M98" s="63">
        <v>100</v>
      </c>
      <c r="N98" s="63">
        <v>85</v>
      </c>
      <c r="O98" s="63">
        <v>91</v>
      </c>
      <c r="P98" s="63">
        <v>752</v>
      </c>
      <c r="Q98" s="63">
        <v>88</v>
      </c>
      <c r="R98" s="63">
        <v>84</v>
      </c>
      <c r="S98" s="63">
        <v>100.3</v>
      </c>
      <c r="T98" s="63">
        <v>95.6</v>
      </c>
      <c r="U98" s="63">
        <v>99.2</v>
      </c>
      <c r="V98" s="63">
        <v>97</v>
      </c>
      <c r="W98" s="63">
        <v>94.6</v>
      </c>
      <c r="X98" s="63">
        <v>104</v>
      </c>
      <c r="Y98" s="63">
        <v>105</v>
      </c>
      <c r="Z98" s="63">
        <v>88.9</v>
      </c>
      <c r="AA98" s="63">
        <v>72.8</v>
      </c>
      <c r="AB98" s="119">
        <v>48.6</v>
      </c>
      <c r="AC98" s="119">
        <v>56.9</v>
      </c>
      <c r="AD98" s="119">
        <v>94.6</v>
      </c>
      <c r="AE98" s="119">
        <v>67.3</v>
      </c>
      <c r="AF98" s="119">
        <v>54.7</v>
      </c>
      <c r="AG98" s="120"/>
      <c r="AH98" s="54">
        <f t="shared" si="23"/>
        <v>752</v>
      </c>
      <c r="AI98" s="116">
        <f t="shared" si="24"/>
        <v>0.45833333333333298</v>
      </c>
    </row>
    <row r="99" spans="1:37" ht="15.75" thickBot="1" x14ac:dyDescent="0.3">
      <c r="A99" s="118" t="s">
        <v>217</v>
      </c>
      <c r="B99" s="119">
        <v>72.2</v>
      </c>
      <c r="C99" s="119">
        <v>63.9</v>
      </c>
      <c r="D99" s="63">
        <v>70</v>
      </c>
      <c r="E99" s="63">
        <v>64.599999999999994</v>
      </c>
      <c r="F99" s="63">
        <v>53.1</v>
      </c>
      <c r="G99" s="63">
        <v>60.1</v>
      </c>
      <c r="H99" s="63">
        <v>53.7</v>
      </c>
      <c r="I99" s="63">
        <v>59.4</v>
      </c>
      <c r="J99" s="63">
        <v>66</v>
      </c>
      <c r="K99" s="63">
        <v>22.8</v>
      </c>
      <c r="L99" s="63">
        <v>31.2</v>
      </c>
      <c r="M99" s="63">
        <v>24</v>
      </c>
      <c r="N99" s="63">
        <v>13</v>
      </c>
      <c r="O99" s="63">
        <v>12</v>
      </c>
      <c r="P99" s="63">
        <v>4.2</v>
      </c>
      <c r="Q99" s="63">
        <v>0</v>
      </c>
      <c r="R99" s="63">
        <v>7.6</v>
      </c>
      <c r="S99" s="63">
        <v>13.5</v>
      </c>
      <c r="T99" s="63">
        <v>7.7</v>
      </c>
      <c r="U99" s="63">
        <v>8.6999999999999993</v>
      </c>
      <c r="V99" s="63">
        <v>8.5</v>
      </c>
      <c r="W99" s="63">
        <v>10.4</v>
      </c>
      <c r="X99" s="63">
        <v>19.2</v>
      </c>
      <c r="Y99" s="63">
        <v>24.6</v>
      </c>
      <c r="Z99" s="63">
        <v>19.5</v>
      </c>
      <c r="AA99" s="63">
        <v>13.7</v>
      </c>
      <c r="AB99" s="119">
        <v>7.6</v>
      </c>
      <c r="AC99" s="119">
        <v>6.1</v>
      </c>
      <c r="AD99" s="119">
        <v>16.3</v>
      </c>
      <c r="AE99" s="119">
        <v>43</v>
      </c>
      <c r="AF99" s="119">
        <v>53.9</v>
      </c>
      <c r="AG99" s="121"/>
      <c r="AH99" s="54">
        <f t="shared" si="23"/>
        <v>70</v>
      </c>
      <c r="AI99" s="116">
        <f t="shared" si="24"/>
        <v>8.3333333333333301E-2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1448.7399999999998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29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2078/09/29)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2078/09/29)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918.64</v>
      </c>
      <c r="U213" s="167">
        <f t="shared" si="61"/>
        <v>882.1400000000001</v>
      </c>
      <c r="V213" s="167">
        <f t="shared" si="61"/>
        <v>878.94</v>
      </c>
      <c r="W213" s="167">
        <f t="shared" si="61"/>
        <v>860.94</v>
      </c>
      <c r="X213" s="167">
        <f t="shared" si="61"/>
        <v>831.84</v>
      </c>
      <c r="Y213" s="167">
        <f t="shared" si="61"/>
        <v>863.24</v>
      </c>
      <c r="Z213" s="167">
        <f t="shared" si="61"/>
        <v>932.33999999999992</v>
      </c>
      <c r="AA213" s="167">
        <f t="shared" si="61"/>
        <v>976.74</v>
      </c>
      <c r="AB213" s="167">
        <f t="shared" si="61"/>
        <v>1152.8400000000001</v>
      </c>
      <c r="AC213" s="167">
        <f t="shared" si="61"/>
        <v>1222.8400000000001</v>
      </c>
      <c r="AD213" s="167">
        <f t="shared" si="61"/>
        <v>1378.7399999999998</v>
      </c>
      <c r="AE213" s="167">
        <f t="shared" si="61"/>
        <v>1435.1399999999999</v>
      </c>
      <c r="AF213" s="167">
        <f t="shared" si="61"/>
        <v>1448.7399999999998</v>
      </c>
      <c r="AG213" s="167">
        <f t="shared" si="61"/>
        <v>1408.7399999999998</v>
      </c>
      <c r="AH213" s="167">
        <f t="shared" si="61"/>
        <v>1349.84</v>
      </c>
      <c r="AI213" s="167">
        <f t="shared" si="61"/>
        <v>1242.74</v>
      </c>
      <c r="AJ213" s="167">
        <f t="shared" si="61"/>
        <v>1228.04</v>
      </c>
      <c r="AK213" s="167">
        <f t="shared" si="61"/>
        <v>1231.9399999999998</v>
      </c>
      <c r="AL213" s="167">
        <f t="shared" si="61"/>
        <v>1237.3399999999999</v>
      </c>
      <c r="AM213" s="167">
        <f t="shared" si="61"/>
        <v>1282.4399999999998</v>
      </c>
      <c r="AN213" s="167">
        <f t="shared" si="61"/>
        <v>1270.1399999999999</v>
      </c>
      <c r="AO213" s="167">
        <f t="shared" si="61"/>
        <v>1326.1399999999999</v>
      </c>
      <c r="AP213" s="167">
        <f t="shared" si="61"/>
        <v>1609.24</v>
      </c>
      <c r="AQ213" s="167">
        <f t="shared" si="61"/>
        <v>1606.5400000000002</v>
      </c>
      <c r="AR213" s="167">
        <f t="shared" si="61"/>
        <v>1567.64</v>
      </c>
      <c r="AS213" s="167">
        <f t="shared" si="61"/>
        <v>1511.5400000000002</v>
      </c>
      <c r="AT213" s="167">
        <f t="shared" si="61"/>
        <v>1422.74</v>
      </c>
      <c r="AU213" s="167">
        <f t="shared" si="61"/>
        <v>1381.74</v>
      </c>
      <c r="AV213" s="167">
        <f t="shared" si="61"/>
        <v>1267.54</v>
      </c>
      <c r="AW213" s="167">
        <f t="shared" si="61"/>
        <v>1105.8399999999999</v>
      </c>
      <c r="AX213" s="167">
        <f t="shared" si="61"/>
        <v>998.24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M58:W59 X85:AA91 AB81:AF81 B81:R81 C56:AF56 B82:AF83 D193:AF199 B193:B199 C68:AF72 AB84:AF91 B73:AF80 B9:AF10 B191:AF191 AF57:AF67 B56:B72 AG73 AB94:AF99 U212:AF212 C57:C67 G57:L59 D57:F61 D63:F67 M39:O42 G60:O61 Q42:R42 P60:R67 M11:AE11 S61:V67 M37:X37 N45:X48 W62:X67 U40:Z42 Y18:AA30 Z40:AE43 M53:AF55 AB28:AF31 Y36:AF36 AB16:AF26 AB12:AF14">
    <cfRule type="expression" dxfId="1054" priority="306">
      <formula>B$9&gt;=20/24</formula>
    </cfRule>
    <cfRule type="expression" dxfId="1053" priority="307">
      <formula>AND(B$9&gt;=14/24,B$9&lt;20/24)</formula>
    </cfRule>
    <cfRule type="expression" dxfId="1052" priority="308">
      <formula>AND(B$9&gt;=8/24,B$9&lt;14/24)</formula>
    </cfRule>
    <cfRule type="expression" dxfId="1051" priority="309">
      <formula>B$9&lt;8/24</formula>
    </cfRule>
  </conditionalFormatting>
  <conditionalFormatting sqref="AL4:AL6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50" priority="301">
      <formula>M$9&gt;=20/24</formula>
    </cfRule>
    <cfRule type="expression" dxfId="1049" priority="302">
      <formula>AND(M$9&gt;=14/24,M$9&lt;20/24)</formula>
    </cfRule>
    <cfRule type="expression" dxfId="1048" priority="303">
      <formula>AND(M$9&gt;=8/24,M$9&lt;14/24)</formula>
    </cfRule>
    <cfRule type="expression" dxfId="1047" priority="304">
      <formula>M$9&lt;8/24</formula>
    </cfRule>
  </conditionalFormatting>
  <conditionalFormatting sqref="M43:R43">
    <cfRule type="expression" dxfId="1046" priority="297">
      <formula>M$9&gt;=20/24</formula>
    </cfRule>
    <cfRule type="expression" dxfId="1045" priority="298">
      <formula>AND(M$9&gt;=14/24,M$9&lt;20/24)</formula>
    </cfRule>
    <cfRule type="expression" dxfId="1044" priority="299">
      <formula>AND(M$9&gt;=8/24,M$9&lt;14/24)</formula>
    </cfRule>
    <cfRule type="expression" dxfId="1043" priority="300">
      <formula>M$9&lt;8/24</formula>
    </cfRule>
  </conditionalFormatting>
  <conditionalFormatting sqref="AB32:AF32">
    <cfRule type="expression" dxfId="1042" priority="293">
      <formula>AB$9&gt;=20/24</formula>
    </cfRule>
    <cfRule type="expression" dxfId="1041" priority="294">
      <formula>AND(AB$9&gt;=14/24,AB$9&lt;20/24)</formula>
    </cfRule>
    <cfRule type="expression" dxfId="1040" priority="295">
      <formula>AND(AB$9&gt;=8/24,AB$9&lt;14/24)</formula>
    </cfRule>
    <cfRule type="expression" dxfId="1039" priority="296">
      <formula>AB$9&lt;8/24</formula>
    </cfRule>
  </conditionalFormatting>
  <conditionalFormatting sqref="S39:AE39">
    <cfRule type="expression" dxfId="1038" priority="289">
      <formula>S$9&gt;=20/24</formula>
    </cfRule>
    <cfRule type="expression" dxfId="1037" priority="290">
      <formula>AND(S$9&gt;=14/24,S$9&lt;20/24)</formula>
    </cfRule>
    <cfRule type="expression" dxfId="1036" priority="291">
      <formula>AND(S$9&gt;=8/24,S$9&lt;14/24)</formula>
    </cfRule>
    <cfRule type="expression" dxfId="1035" priority="292">
      <formula>S$9&lt;8/24</formula>
    </cfRule>
  </conditionalFormatting>
  <conditionalFormatting sqref="S57:AE57">
    <cfRule type="expression" dxfId="1034" priority="285">
      <formula>S$9&gt;=20/24</formula>
    </cfRule>
    <cfRule type="expression" dxfId="1033" priority="286">
      <formula>AND(S$9&gt;=14/24,S$9&lt;20/24)</formula>
    </cfRule>
    <cfRule type="expression" dxfId="1032" priority="287">
      <formula>AND(S$9&gt;=8/24,S$9&lt;14/24)</formula>
    </cfRule>
    <cfRule type="expression" dxfId="1031" priority="288">
      <formula>S$9&lt;8/24</formula>
    </cfRule>
  </conditionalFormatting>
  <conditionalFormatting sqref="S81:AA81">
    <cfRule type="expression" dxfId="1030" priority="281">
      <formula>S$9&gt;=20/24</formula>
    </cfRule>
    <cfRule type="expression" dxfId="1029" priority="282">
      <formula>AND(S$9&gt;=14/24,S$9&lt;20/24)</formula>
    </cfRule>
    <cfRule type="expression" dxfId="1028" priority="283">
      <formula>AND(S$9&gt;=8/24,S$9&lt;14/24)</formula>
    </cfRule>
    <cfRule type="expression" dxfId="1027" priority="284">
      <formula>S$9&lt;8/24</formula>
    </cfRule>
  </conditionalFormatting>
  <conditionalFormatting sqref="U84:AA84">
    <cfRule type="expression" dxfId="1026" priority="277">
      <formula>U$9&gt;=20/24</formula>
    </cfRule>
    <cfRule type="expression" dxfId="1025" priority="278">
      <formula>AND(U$9&gt;=14/24,U$9&lt;20/24)</formula>
    </cfRule>
    <cfRule type="expression" dxfId="1024" priority="279">
      <formula>AND(U$9&gt;=8/24,U$9&lt;14/24)</formula>
    </cfRule>
    <cfRule type="expression" dxfId="1023" priority="280">
      <formula>U$9&lt;8/24</formula>
    </cfRule>
  </conditionalFormatting>
  <conditionalFormatting sqref="M49:X49">
    <cfRule type="expression" dxfId="1022" priority="269">
      <formula>M$9&gt;=20/24</formula>
    </cfRule>
    <cfRule type="expression" dxfId="1021" priority="270">
      <formula>AND(M$9&gt;=14/24,M$9&lt;20/24)</formula>
    </cfRule>
    <cfRule type="expression" dxfId="1020" priority="271">
      <formula>AND(M$9&gt;=8/24,M$9&lt;14/24)</formula>
    </cfRule>
    <cfRule type="expression" dxfId="1019" priority="272">
      <formula>M$9&lt;8/24</formula>
    </cfRule>
  </conditionalFormatting>
  <conditionalFormatting sqref="M50:X50">
    <cfRule type="expression" dxfId="1018" priority="265">
      <formula>M$9&gt;=20/24</formula>
    </cfRule>
    <cfRule type="expression" dxfId="1017" priority="266">
      <formula>AND(M$9&gt;=14/24,M$9&lt;20/24)</formula>
    </cfRule>
    <cfRule type="expression" dxfId="1016" priority="267">
      <formula>AND(M$9&gt;=8/24,M$9&lt;14/24)</formula>
    </cfRule>
    <cfRule type="expression" dxfId="1015" priority="268">
      <formula>M$9&lt;8/24</formula>
    </cfRule>
  </conditionalFormatting>
  <conditionalFormatting sqref="M45:X48">
    <cfRule type="expression" dxfId="1014" priority="261">
      <formula>M$9&gt;=20/24</formula>
    </cfRule>
    <cfRule type="expression" dxfId="1013" priority="262">
      <formula>AND(M$9&gt;=14/24,M$9&lt;20/24)</formula>
    </cfRule>
    <cfRule type="expression" dxfId="1012" priority="263">
      <formula>AND(M$9&gt;=8/24,M$9&lt;14/24)</formula>
    </cfRule>
    <cfRule type="expression" dxfId="1011" priority="264">
      <formula>M$9&lt;8/24</formula>
    </cfRule>
  </conditionalFormatting>
  <conditionalFormatting sqref="Y37:AE37">
    <cfRule type="expression" dxfId="1010" priority="257">
      <formula>Y$9&gt;=20/24</formula>
    </cfRule>
    <cfRule type="expression" dxfId="1009" priority="258">
      <formula>AND(Y$9&gt;=14/24,Y$9&lt;20/24)</formula>
    </cfRule>
    <cfRule type="expression" dxfId="1008" priority="259">
      <formula>AND(Y$9&gt;=8/24,Y$9&lt;14/24)</formula>
    </cfRule>
    <cfRule type="expression" dxfId="1007" priority="260">
      <formula>Y$9&lt;8/24</formula>
    </cfRule>
  </conditionalFormatting>
  <conditionalFormatting sqref="Y31:AA32 Y35:AF35">
    <cfRule type="expression" dxfId="1006" priority="253">
      <formula>Y$9&gt;=20/24</formula>
    </cfRule>
    <cfRule type="expression" dxfId="1005" priority="254">
      <formula>AND(Y$9&gt;=14/24,Y$9&lt;20/24)</formula>
    </cfRule>
    <cfRule type="expression" dxfId="1004" priority="255">
      <formula>AND(Y$9&gt;=8/24,Y$9&lt;14/24)</formula>
    </cfRule>
    <cfRule type="expression" dxfId="1003" priority="256">
      <formula>Y$9&lt;8/24</formula>
    </cfRule>
  </conditionalFormatting>
  <conditionalFormatting sqref="S42:U43 U43:AA43 S45:AE48">
    <cfRule type="expression" dxfId="1002" priority="249">
      <formula>S$9&gt;=20/24</formula>
    </cfRule>
    <cfRule type="expression" dxfId="1001" priority="250">
      <formula>AND(S$9&gt;=14/24,S$9&lt;20/24)</formula>
    </cfRule>
    <cfRule type="expression" dxfId="1000" priority="251">
      <formula>AND(S$9&gt;=8/24,S$9&lt;14/24)</formula>
    </cfRule>
    <cfRule type="expression" dxfId="999" priority="252">
      <formula>S$9&lt;8/24</formula>
    </cfRule>
  </conditionalFormatting>
  <conditionalFormatting sqref="S49:AE49">
    <cfRule type="expression" dxfId="998" priority="245">
      <formula>S$9&gt;=20/24</formula>
    </cfRule>
    <cfRule type="expression" dxfId="997" priority="246">
      <formula>AND(S$9&gt;=14/24,S$9&lt;20/24)</formula>
    </cfRule>
    <cfRule type="expression" dxfId="996" priority="247">
      <formula>AND(S$9&gt;=8/24,S$9&lt;14/24)</formula>
    </cfRule>
    <cfRule type="expression" dxfId="995" priority="248">
      <formula>S$9&lt;8/24</formula>
    </cfRule>
  </conditionalFormatting>
  <conditionalFormatting sqref="S50:AE50">
    <cfRule type="expression" dxfId="994" priority="241">
      <formula>S$9&gt;=20/24</formula>
    </cfRule>
    <cfRule type="expression" dxfId="993" priority="242">
      <formula>AND(S$9&gt;=14/24,S$9&lt;20/24)</formula>
    </cfRule>
    <cfRule type="expression" dxfId="992" priority="243">
      <formula>AND(S$9&gt;=8/24,S$9&lt;14/24)</formula>
    </cfRule>
    <cfRule type="expression" dxfId="991" priority="244">
      <formula>S$9&lt;8/24</formula>
    </cfRule>
  </conditionalFormatting>
  <conditionalFormatting sqref="S60:T60 X60:Y61 Y62:Y67 Z60:AE67">
    <cfRule type="expression" dxfId="990" priority="237">
      <formula>S$9&gt;=20/24</formula>
    </cfRule>
    <cfRule type="expression" dxfId="989" priority="238">
      <formula>AND(S$9&gt;=14/24,S$9&lt;20/24)</formula>
    </cfRule>
    <cfRule type="expression" dxfId="988" priority="239">
      <formula>AND(S$9&gt;=8/24,S$9&lt;14/24)</formula>
    </cfRule>
    <cfRule type="expression" dxfId="987" priority="240">
      <formula>S$9&lt;8/24</formula>
    </cfRule>
  </conditionalFormatting>
  <conditionalFormatting sqref="I63:I67 D62:I62 J62:O67">
    <cfRule type="expression" dxfId="986" priority="233">
      <formula>D$9&gt;=20/24</formula>
    </cfRule>
    <cfRule type="expression" dxfId="985" priority="234">
      <formula>AND(D$9&gt;=14/24,D$9&lt;20/24)</formula>
    </cfRule>
    <cfRule type="expression" dxfId="984" priority="235">
      <formula>AND(D$9&gt;=8/24,D$9&lt;14/24)</formula>
    </cfRule>
    <cfRule type="expression" dxfId="983" priority="236">
      <formula>D$9&lt;8/24</formula>
    </cfRule>
  </conditionalFormatting>
  <conditionalFormatting sqref="U94:AA97">
    <cfRule type="expression" dxfId="982" priority="229">
      <formula>U$9&gt;=20/24</formula>
    </cfRule>
    <cfRule type="expression" dxfId="981" priority="230">
      <formula>AND(U$9&gt;=14/24,U$9&lt;20/24)</formula>
    </cfRule>
    <cfRule type="expression" dxfId="980" priority="231">
      <formula>AND(U$9&gt;=8/24,U$9&lt;14/24)</formula>
    </cfRule>
    <cfRule type="expression" dxfId="979" priority="232">
      <formula>U$9&lt;8/24</formula>
    </cfRule>
  </conditionalFormatting>
  <conditionalFormatting sqref="AG51 B56:AF56 G11:O11 G12:J12 F11:F12 I13:J13 K12:O13 W11:AF11 P11:V13 W12:X13 Y18:AA32 M37:AF37 B38:AF52 D53:AF55 Y34:AF36 AB12:AF32">
    <cfRule type="expression" dxfId="978" priority="228">
      <formula>B11&gt;$AG11</formula>
    </cfRule>
  </conditionalFormatting>
  <conditionalFormatting sqref="A100:A156 A84:A97 A11:A14 A16:A32 A45:A72 A80:A82 A74:A78 A35:A43 A169:A199">
    <cfRule type="expression" dxfId="977" priority="227">
      <formula>$AH11=0</formula>
    </cfRule>
  </conditionalFormatting>
  <conditionalFormatting sqref="U98:AA98">
    <cfRule type="expression" dxfId="976" priority="223">
      <formula>U$9&gt;=20/24</formula>
    </cfRule>
    <cfRule type="expression" dxfId="975" priority="224">
      <formula>AND(U$9&gt;=14/24,U$9&lt;20/24)</formula>
    </cfRule>
    <cfRule type="expression" dxfId="974" priority="225">
      <formula>AND(U$9&gt;=8/24,U$9&lt;14/24)</formula>
    </cfRule>
    <cfRule type="expression" dxfId="973" priority="226">
      <formula>U$9&lt;8/24</formula>
    </cfRule>
  </conditionalFormatting>
  <conditionalFormatting sqref="A98">
    <cfRule type="expression" dxfId="972" priority="222">
      <formula>$AH98=0</formula>
    </cfRule>
  </conditionalFormatting>
  <conditionalFormatting sqref="G63:H67">
    <cfRule type="expression" dxfId="971" priority="214">
      <formula>G$9&gt;=20/24</formula>
    </cfRule>
    <cfRule type="expression" dxfId="970" priority="215">
      <formula>AND(G$9&gt;=14/24,G$9&lt;20/24)</formula>
    </cfRule>
    <cfRule type="expression" dxfId="969" priority="216">
      <formula>AND(G$9&gt;=8/24,G$9&lt;14/24)</formula>
    </cfRule>
    <cfRule type="expression" dxfId="968" priority="217">
      <formula>G$9&lt;8/24</formula>
    </cfRule>
  </conditionalFormatting>
  <conditionalFormatting sqref="AL32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967" priority="205">
      <formula>AB$9&gt;=20/24</formula>
    </cfRule>
    <cfRule type="expression" dxfId="966" priority="206">
      <formula>AND(AB$9&gt;=14/24,AB$9&lt;20/24)</formula>
    </cfRule>
    <cfRule type="expression" dxfId="965" priority="207">
      <formula>AND(AB$9&gt;=8/24,AB$9&lt;14/24)</formula>
    </cfRule>
    <cfRule type="expression" dxfId="964" priority="208">
      <formula>AB$9&lt;8/24</formula>
    </cfRule>
  </conditionalFormatting>
  <conditionalFormatting sqref="Y34:AA34">
    <cfRule type="expression" dxfId="963" priority="197">
      <formula>Y$9&gt;=20/24</formula>
    </cfRule>
    <cfRule type="expression" dxfId="962" priority="198">
      <formula>AND(Y$9&gt;=14/24,Y$9&lt;20/24)</formula>
    </cfRule>
    <cfRule type="expression" dxfId="961" priority="199">
      <formula>AND(Y$9&gt;=8/24,Y$9&lt;14/24)</formula>
    </cfRule>
    <cfRule type="expression" dxfId="960" priority="200">
      <formula>Y$9&lt;8/24</formula>
    </cfRule>
  </conditionalFormatting>
  <conditionalFormatting sqref="A34">
    <cfRule type="expression" dxfId="959" priority="196">
      <formula>$AH34=0</formula>
    </cfRule>
  </conditionalFormatting>
  <conditionalFormatting sqref="A83">
    <cfRule type="expression" dxfId="958" priority="195">
      <formula>$AH83=0</formula>
    </cfRule>
  </conditionalFormatting>
  <conditionalFormatting sqref="AB15:AF15">
    <cfRule type="expression" dxfId="957" priority="191">
      <formula>AB$9&gt;=20/24</formula>
    </cfRule>
    <cfRule type="expression" dxfId="956" priority="192">
      <formula>AND(AB$9&gt;=14/24,AB$9&lt;20/24)</formula>
    </cfRule>
    <cfRule type="expression" dxfId="955" priority="193">
      <formula>AND(AB$9&gt;=8/24,AB$9&lt;14/24)</formula>
    </cfRule>
    <cfRule type="expression" dxfId="954" priority="194">
      <formula>AB$9&lt;8/24</formula>
    </cfRule>
  </conditionalFormatting>
  <conditionalFormatting sqref="A15">
    <cfRule type="expression" dxfId="953" priority="185">
      <formula>$AH15=0</formula>
    </cfRule>
  </conditionalFormatting>
  <conditionalFormatting sqref="A163:A168">
    <cfRule type="expression" dxfId="952" priority="184">
      <formula>$AH163=0</formula>
    </cfRule>
  </conditionalFormatting>
  <conditionalFormatting sqref="A157:A162">
    <cfRule type="expression" dxfId="951" priority="183">
      <formula>$AH157=0</formula>
    </cfRule>
  </conditionalFormatting>
  <conditionalFormatting sqref="Z44:AE44">
    <cfRule type="expression" dxfId="950" priority="179">
      <formula>Z$9&gt;=20/24</formula>
    </cfRule>
    <cfRule type="expression" dxfId="949" priority="180">
      <formula>AND(Z$9&gt;=14/24,Z$9&lt;20/24)</formula>
    </cfRule>
    <cfRule type="expression" dxfId="948" priority="181">
      <formula>AND(Z$9&gt;=8/24,Z$9&lt;14/24)</formula>
    </cfRule>
    <cfRule type="expression" dxfId="947" priority="182">
      <formula>Z$9&lt;8/24</formula>
    </cfRule>
  </conditionalFormatting>
  <conditionalFormatting sqref="M44:R44">
    <cfRule type="expression" dxfId="946" priority="175">
      <formula>M$9&gt;=20/24</formula>
    </cfRule>
    <cfRule type="expression" dxfId="945" priority="176">
      <formula>AND(M$9&gt;=14/24,M$9&lt;20/24)</formula>
    </cfRule>
    <cfRule type="expression" dxfId="944" priority="177">
      <formula>AND(M$9&gt;=8/24,M$9&lt;14/24)</formula>
    </cfRule>
    <cfRule type="expression" dxfId="943" priority="178">
      <formula>M$9&lt;8/24</formula>
    </cfRule>
  </conditionalFormatting>
  <conditionalFormatting sqref="S44:AA44">
    <cfRule type="expression" dxfId="942" priority="171">
      <formula>S$9&gt;=20/24</formula>
    </cfRule>
    <cfRule type="expression" dxfId="941" priority="172">
      <formula>AND(S$9&gt;=14/24,S$9&lt;20/24)</formula>
    </cfRule>
    <cfRule type="expression" dxfId="940" priority="173">
      <formula>AND(S$9&gt;=8/24,S$9&lt;14/24)</formula>
    </cfRule>
    <cfRule type="expression" dxfId="939" priority="174">
      <formula>S$9&lt;8/24</formula>
    </cfRule>
  </conditionalFormatting>
  <conditionalFormatting sqref="A44">
    <cfRule type="expression" dxfId="938" priority="170">
      <formula>$AH44=0</formula>
    </cfRule>
  </conditionalFormatting>
  <conditionalFormatting sqref="A79">
    <cfRule type="expression" dxfId="937" priority="169">
      <formula>$AH79=0</formula>
    </cfRule>
  </conditionalFormatting>
  <conditionalFormatting sqref="A73">
    <cfRule type="expression" dxfId="936" priority="168">
      <formula>$AH73=0</formula>
    </cfRule>
  </conditionalFormatting>
  <conditionalFormatting sqref="AL34:AL35 AL7:AL31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U60:W60 W61">
    <cfRule type="expression" dxfId="935" priority="164">
      <formula>U$9&gt;=20/24</formula>
    </cfRule>
    <cfRule type="expression" dxfId="934" priority="165">
      <formula>AND(U$9&gt;=14/24,U$9&lt;20/24)</formula>
    </cfRule>
    <cfRule type="expression" dxfId="933" priority="166">
      <formula>AND(U$9&gt;=8/24,U$9&lt;14/24)</formula>
    </cfRule>
    <cfRule type="expression" dxfId="932" priority="167">
      <formula>U$9&lt;8/24</formula>
    </cfRule>
  </conditionalFormatting>
  <conditionalFormatting sqref="U85:W91">
    <cfRule type="expression" dxfId="931" priority="160">
      <formula>U$9&gt;=20/24</formula>
    </cfRule>
    <cfRule type="expression" dxfId="930" priority="161">
      <formula>AND(U$9&gt;=14/24,U$9&lt;20/24)</formula>
    </cfRule>
    <cfRule type="expression" dxfId="929" priority="162">
      <formula>AND(U$9&gt;=8/24,U$9&lt;14/24)</formula>
    </cfRule>
    <cfRule type="expression" dxfId="928" priority="163">
      <formula>U$9&lt;8/24</formula>
    </cfRule>
  </conditionalFormatting>
  <conditionalFormatting sqref="S85:T91 D84:R91">
    <cfRule type="expression" dxfId="927" priority="156">
      <formula>D$9&gt;=20/24</formula>
    </cfRule>
    <cfRule type="expression" dxfId="926" priority="157">
      <formula>AND(D$9&gt;=14/24,D$9&lt;20/24)</formula>
    </cfRule>
    <cfRule type="expression" dxfId="925" priority="158">
      <formula>AND(D$9&gt;=8/24,D$9&lt;14/24)</formula>
    </cfRule>
    <cfRule type="expression" dxfId="924" priority="159">
      <formula>D$9&lt;8/24</formula>
    </cfRule>
  </conditionalFormatting>
  <conditionalFormatting sqref="S84:T84">
    <cfRule type="expression" dxfId="923" priority="152">
      <formula>S$9&gt;=20/24</formula>
    </cfRule>
    <cfRule type="expression" dxfId="922" priority="153">
      <formula>AND(S$9&gt;=14/24,S$9&lt;20/24)</formula>
    </cfRule>
    <cfRule type="expression" dxfId="921" priority="154">
      <formula>AND(S$9&gt;=8/24,S$9&lt;14/24)</formula>
    </cfRule>
    <cfRule type="expression" dxfId="920" priority="155">
      <formula>S$9&lt;8/24</formula>
    </cfRule>
  </conditionalFormatting>
  <conditionalFormatting sqref="G95:M97 D94:F97">
    <cfRule type="expression" dxfId="919" priority="148">
      <formula>D$9&gt;=20/24</formula>
    </cfRule>
    <cfRule type="expression" dxfId="918" priority="149">
      <formula>AND(D$9&gt;=14/24,D$9&lt;20/24)</formula>
    </cfRule>
    <cfRule type="expression" dxfId="917" priority="150">
      <formula>AND(D$9&gt;=8/24,D$9&lt;14/24)</formula>
    </cfRule>
    <cfRule type="expression" dxfId="916" priority="151">
      <formula>D$9&lt;8/24</formula>
    </cfRule>
  </conditionalFormatting>
  <conditionalFormatting sqref="N95:R97 O94:R94">
    <cfRule type="expression" dxfId="915" priority="144">
      <formula>N$9&gt;=20/24</formula>
    </cfRule>
    <cfRule type="expression" dxfId="914" priority="145">
      <formula>AND(N$9&gt;=14/24,N$9&lt;20/24)</formula>
    </cfRule>
    <cfRule type="expression" dxfId="913" priority="146">
      <formula>AND(N$9&gt;=8/24,N$9&lt;14/24)</formula>
    </cfRule>
    <cfRule type="expression" dxfId="912" priority="147">
      <formula>N$9&lt;8/24</formula>
    </cfRule>
  </conditionalFormatting>
  <conditionalFormatting sqref="S94:T97">
    <cfRule type="expression" dxfId="911" priority="140">
      <formula>S$9&gt;=20/24</formula>
    </cfRule>
    <cfRule type="expression" dxfId="910" priority="141">
      <formula>AND(S$9&gt;=14/24,S$9&lt;20/24)</formula>
    </cfRule>
    <cfRule type="expression" dxfId="909" priority="142">
      <formula>AND(S$9&gt;=8/24,S$9&lt;14/24)</formula>
    </cfRule>
    <cfRule type="expression" dxfId="908" priority="143">
      <formula>S$9&lt;8/24</formula>
    </cfRule>
  </conditionalFormatting>
  <conditionalFormatting sqref="D98:M98">
    <cfRule type="expression" dxfId="907" priority="136">
      <formula>D$9&gt;=20/24</formula>
    </cfRule>
    <cfRule type="expression" dxfId="906" priority="137">
      <formula>AND(D$9&gt;=14/24,D$9&lt;20/24)</formula>
    </cfRule>
    <cfRule type="expression" dxfId="905" priority="138">
      <formula>AND(D$9&gt;=8/24,D$9&lt;14/24)</formula>
    </cfRule>
    <cfRule type="expression" dxfId="904" priority="139">
      <formula>D$9&lt;8/24</formula>
    </cfRule>
  </conditionalFormatting>
  <conditionalFormatting sqref="N98:R98">
    <cfRule type="expression" dxfId="903" priority="132">
      <formula>N$9&gt;=20/24</formula>
    </cfRule>
    <cfRule type="expression" dxfId="902" priority="133">
      <formula>AND(N$9&gt;=14/24,N$9&lt;20/24)</formula>
    </cfRule>
    <cfRule type="expression" dxfId="901" priority="134">
      <formula>AND(N$9&gt;=8/24,N$9&lt;14/24)</formula>
    </cfRule>
    <cfRule type="expression" dxfId="900" priority="135">
      <formula>N$9&lt;8/24</formula>
    </cfRule>
  </conditionalFormatting>
  <conditionalFormatting sqref="S98:T98">
    <cfRule type="expression" dxfId="899" priority="128">
      <formula>S$9&gt;=20/24</formula>
    </cfRule>
    <cfRule type="expression" dxfId="898" priority="129">
      <formula>AND(S$9&gt;=14/24,S$9&lt;20/24)</formula>
    </cfRule>
    <cfRule type="expression" dxfId="897" priority="130">
      <formula>AND(S$9&gt;=8/24,S$9&lt;14/24)</formula>
    </cfRule>
    <cfRule type="expression" dxfId="896" priority="131">
      <formula>S$9&lt;8/24</formula>
    </cfRule>
  </conditionalFormatting>
  <conditionalFormatting sqref="M94:N94">
    <cfRule type="expression" dxfId="895" priority="124">
      <formula>M$9&gt;=20/24</formula>
    </cfRule>
    <cfRule type="expression" dxfId="894" priority="125">
      <formula>AND(M$9&gt;=14/24,M$9&lt;20/24)</formula>
    </cfRule>
    <cfRule type="expression" dxfId="893" priority="126">
      <formula>AND(M$9&gt;=8/24,M$9&lt;14/24)</formula>
    </cfRule>
    <cfRule type="expression" dxfId="892" priority="127">
      <formula>M$9&lt;8/24</formula>
    </cfRule>
  </conditionalFormatting>
  <conditionalFormatting sqref="G94:L94">
    <cfRule type="expression" dxfId="891" priority="120">
      <formula>G$9&gt;=20/24</formula>
    </cfRule>
    <cfRule type="expression" dxfId="890" priority="121">
      <formula>AND(G$9&gt;=14/24,G$9&lt;20/24)</formula>
    </cfRule>
    <cfRule type="expression" dxfId="889" priority="122">
      <formula>AND(G$9&gt;=8/24,G$9&lt;14/24)</formula>
    </cfRule>
    <cfRule type="expression" dxfId="888" priority="123">
      <formula>G$9&lt;8/24</formula>
    </cfRule>
  </conditionalFormatting>
  <conditionalFormatting sqref="U94:W94">
    <cfRule type="expression" dxfId="887" priority="116">
      <formula>U$9&gt;=20/24</formula>
    </cfRule>
    <cfRule type="expression" dxfId="886" priority="117">
      <formula>AND(U$9&gt;=14/24,U$9&lt;20/24)</formula>
    </cfRule>
    <cfRule type="expression" dxfId="885" priority="118">
      <formula>AND(U$9&gt;=8/24,U$9&lt;14/24)</formula>
    </cfRule>
    <cfRule type="expression" dxfId="884" priority="119">
      <formula>U$9&lt;8/24</formula>
    </cfRule>
  </conditionalFormatting>
  <conditionalFormatting sqref="N94:T94">
    <cfRule type="expression" dxfId="883" priority="112">
      <formula>N$9&gt;=20/24</formula>
    </cfRule>
    <cfRule type="expression" dxfId="882" priority="113">
      <formula>AND(N$9&gt;=14/24,N$9&lt;20/24)</formula>
    </cfRule>
    <cfRule type="expression" dxfId="881" priority="114">
      <formula>AND(N$9&gt;=8/24,N$9&lt;14/24)</formula>
    </cfRule>
    <cfRule type="expression" dxfId="880" priority="115">
      <formula>N$9&lt;8/24</formula>
    </cfRule>
  </conditionalFormatting>
  <conditionalFormatting sqref="U99:AA99">
    <cfRule type="expression" dxfId="879" priority="108">
      <formula>U$9&gt;=20/24</formula>
    </cfRule>
    <cfRule type="expression" dxfId="878" priority="109">
      <formula>AND(U$9&gt;=14/24,U$9&lt;20/24)</formula>
    </cfRule>
    <cfRule type="expression" dxfId="877" priority="110">
      <formula>AND(U$9&gt;=8/24,U$9&lt;14/24)</formula>
    </cfRule>
    <cfRule type="expression" dxfId="876" priority="111">
      <formula>U$9&lt;8/24</formula>
    </cfRule>
  </conditionalFormatting>
  <conditionalFormatting sqref="D99:M99">
    <cfRule type="expression" dxfId="875" priority="104">
      <formula>D$9&gt;=20/24</formula>
    </cfRule>
    <cfRule type="expression" dxfId="874" priority="105">
      <formula>AND(D$9&gt;=14/24,D$9&lt;20/24)</formula>
    </cfRule>
    <cfRule type="expression" dxfId="873" priority="106">
      <formula>AND(D$9&gt;=8/24,D$9&lt;14/24)</formula>
    </cfRule>
    <cfRule type="expression" dxfId="872" priority="107">
      <formula>D$9&lt;8/24</formula>
    </cfRule>
  </conditionalFormatting>
  <conditionalFormatting sqref="N99:R99">
    <cfRule type="expression" dxfId="871" priority="100">
      <formula>N$9&gt;=20/24</formula>
    </cfRule>
    <cfRule type="expression" dxfId="870" priority="101">
      <formula>AND(N$9&gt;=14/24,N$9&lt;20/24)</formula>
    </cfRule>
    <cfRule type="expression" dxfId="869" priority="102">
      <formula>AND(N$9&gt;=8/24,N$9&lt;14/24)</formula>
    </cfRule>
    <cfRule type="expression" dxfId="868" priority="103">
      <formula>N$9&lt;8/24</formula>
    </cfRule>
  </conditionalFormatting>
  <conditionalFormatting sqref="S99:T99">
    <cfRule type="expression" dxfId="867" priority="96">
      <formula>S$9&gt;=20/24</formula>
    </cfRule>
    <cfRule type="expression" dxfId="866" priority="97">
      <formula>AND(S$9&gt;=14/24,S$9&lt;20/24)</formula>
    </cfRule>
    <cfRule type="expression" dxfId="865" priority="98">
      <formula>AND(S$9&gt;=8/24,S$9&lt;14/24)</formula>
    </cfRule>
    <cfRule type="expression" dxfId="864" priority="99">
      <formula>S$9&lt;8/24</formula>
    </cfRule>
  </conditionalFormatting>
  <conditionalFormatting sqref="Y12:AA16">
    <cfRule type="expression" dxfId="863" priority="92">
      <formula>Y$9&gt;=20/24</formula>
    </cfRule>
    <cfRule type="expression" dxfId="862" priority="93">
      <formula>AND(Y$9&gt;=14/24,Y$9&lt;20/24)</formula>
    </cfRule>
    <cfRule type="expression" dxfId="861" priority="94">
      <formula>AND(Y$9&gt;=8/24,Y$9&lt;14/24)</formula>
    </cfRule>
    <cfRule type="expression" dxfId="860" priority="95">
      <formula>Y$9&lt;8/24</formula>
    </cfRule>
  </conditionalFormatting>
  <conditionalFormatting sqref="Y17:AA17">
    <cfRule type="expression" dxfId="859" priority="88">
      <formula>Y$9&gt;=20/24</formula>
    </cfRule>
    <cfRule type="expression" dxfId="858" priority="89">
      <formula>AND(Y$9&gt;=14/24,Y$9&lt;20/24)</formula>
    </cfRule>
    <cfRule type="expression" dxfId="857" priority="90">
      <formula>AND(Y$9&gt;=8/24,Y$9&lt;14/24)</formula>
    </cfRule>
    <cfRule type="expression" dxfId="856" priority="91">
      <formula>Y$9&lt;8/24</formula>
    </cfRule>
  </conditionalFormatting>
  <conditionalFormatting sqref="Y12:AA13">
    <cfRule type="expression" dxfId="855" priority="84">
      <formula>Y$9&gt;=20/24</formula>
    </cfRule>
    <cfRule type="expression" dxfId="854" priority="85">
      <formula>AND(Y$9&gt;=14/24,Y$9&lt;20/24)</formula>
    </cfRule>
    <cfRule type="expression" dxfId="853" priority="86">
      <formula>AND(Y$9&gt;=8/24,Y$9&lt;14/24)</formula>
    </cfRule>
    <cfRule type="expression" dxfId="852" priority="87">
      <formula>Y$9&lt;8/24</formula>
    </cfRule>
  </conditionalFormatting>
  <conditionalFormatting sqref="AB58:AE59">
    <cfRule type="expression" dxfId="851" priority="80">
      <formula>AB$9&gt;=20/24</formula>
    </cfRule>
    <cfRule type="expression" dxfId="850" priority="81">
      <formula>AND(AB$9&gt;=14/24,AB$9&lt;20/24)</formula>
    </cfRule>
    <cfRule type="expression" dxfId="849" priority="82">
      <formula>AND(AB$9&gt;=8/24,AB$9&lt;14/24)</formula>
    </cfRule>
    <cfRule type="expression" dxfId="848" priority="83">
      <formula>AB$9&lt;8/24</formula>
    </cfRule>
  </conditionalFormatting>
  <conditionalFormatting sqref="AL3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47" priority="313">
      <formula>C$9&gt;=20/24</formula>
    </cfRule>
    <cfRule type="expression" dxfId="846" priority="314">
      <formula>AND(C$9&gt;=14/24,C$9&lt;20/24)</formula>
    </cfRule>
    <cfRule type="expression" dxfId="845" priority="315">
      <formula>AND(C$9&gt;=8/24,C$9&lt;14/24)</formula>
    </cfRule>
    <cfRule type="expression" dxfId="844" priority="316">
      <formula>C$9&lt;8/24</formula>
    </cfRule>
  </conditionalFormatting>
  <conditionalFormatting sqref="A200">
    <cfRule type="expression" dxfId="843" priority="317">
      <formula>$AH200=0</formula>
    </cfRule>
  </conditionalFormatting>
  <conditionalFormatting sqref="AG212">
    <cfRule type="expression" dxfId="842" priority="318">
      <formula>B$9&gt;=20/24</formula>
    </cfRule>
    <cfRule type="expression" dxfId="841" priority="319">
      <formula>AND(B$9&gt;=14/24,B$9&lt;20/24)</formula>
    </cfRule>
    <cfRule type="expression" dxfId="840" priority="320">
      <formula>AND(B$9&gt;=8/24,B$9&lt;14/24)</formula>
    </cfRule>
    <cfRule type="expression" dxfId="839" priority="321">
      <formula>B$9&lt;8/24</formula>
    </cfRule>
  </conditionalFormatting>
  <conditionalFormatting sqref="S8">
    <cfRule type="expression" dxfId="838" priority="74">
      <formula>U$9&gt;=20/24</formula>
    </cfRule>
    <cfRule type="expression" dxfId="837" priority="75">
      <formula>AND(U$9&gt;=14/24,U$9&lt;20/24)</formula>
    </cfRule>
    <cfRule type="expression" dxfId="836" priority="76">
      <formula>AND(U$9&gt;=8/24,U$9&lt;14/24)</formula>
    </cfRule>
    <cfRule type="expression" dxfId="835" priority="77">
      <formula>U$9&lt;8/24</formula>
    </cfRule>
  </conditionalFormatting>
  <conditionalFormatting sqref="AB8">
    <cfRule type="expression" dxfId="834" priority="70">
      <formula>AD$9&gt;=20/24</formula>
    </cfRule>
    <cfRule type="expression" dxfId="833" priority="71">
      <formula>AND(AD$9&gt;=14/24,AD$9&lt;20/24)</formula>
    </cfRule>
    <cfRule type="expression" dxfId="832" priority="72">
      <formula>AND(AD$9&gt;=8/24,AD$9&lt;14/24)</formula>
    </cfRule>
    <cfRule type="expression" dxfId="831" priority="73">
      <formula>AD$9&lt;8/24</formula>
    </cfRule>
  </conditionalFormatting>
  <conditionalFormatting sqref="AH212:AX212">
    <cfRule type="expression" dxfId="830" priority="322">
      <formula>AG$9&gt;=20/24</formula>
    </cfRule>
    <cfRule type="expression" dxfId="829" priority="323">
      <formula>AND(AG$9&gt;=14/24,AG$9&lt;20/24)</formula>
    </cfRule>
    <cfRule type="expression" dxfId="828" priority="324">
      <formula>AND(AG$9&gt;=8/24,AG$9&lt;14/24)</formula>
    </cfRule>
    <cfRule type="expression" dxfId="827" priority="325">
      <formula>AG$9&lt;8/24</formula>
    </cfRule>
  </conditionalFormatting>
  <conditionalFormatting sqref="T212">
    <cfRule type="expression" dxfId="826" priority="326">
      <formula>AX$9&gt;=20/24</formula>
    </cfRule>
    <cfRule type="expression" dxfId="825" priority="327">
      <formula>AND(AX$9&gt;=14/24,AX$9&lt;20/24)</formula>
    </cfRule>
    <cfRule type="expression" dxfId="824" priority="328">
      <formula>AND(AX$9&gt;=8/24,AX$9&lt;14/24)</formula>
    </cfRule>
    <cfRule type="expression" dxfId="823" priority="329">
      <formula>AX$9&lt;8/24</formula>
    </cfRule>
  </conditionalFormatting>
  <conditionalFormatting sqref="A99">
    <cfRule type="expression" dxfId="822" priority="69">
      <formula>$AH99=0</formula>
    </cfRule>
  </conditionalFormatting>
  <conditionalFormatting sqref="AB33:AF33">
    <cfRule type="expression" dxfId="821" priority="61">
      <formula>AB$9&gt;=20/24</formula>
    </cfRule>
    <cfRule type="expression" dxfId="820" priority="62">
      <formula>AND(AB$9&gt;=14/24,AB$9&lt;20/24)</formula>
    </cfRule>
    <cfRule type="expression" dxfId="819" priority="63">
      <formula>AND(AB$9&gt;=8/24,AB$9&lt;14/24)</formula>
    </cfRule>
    <cfRule type="expression" dxfId="818" priority="64">
      <formula>AB$9&lt;8/24</formula>
    </cfRule>
  </conditionalFormatting>
  <conditionalFormatting sqref="Y33:AA33">
    <cfRule type="expression" dxfId="817" priority="57">
      <formula>Y$9&gt;=20/24</formula>
    </cfRule>
    <cfRule type="expression" dxfId="816" priority="58">
      <formula>AND(Y$9&gt;=14/24,Y$9&lt;20/24)</formula>
    </cfRule>
    <cfRule type="expression" dxfId="815" priority="59">
      <formula>AND(Y$9&gt;=8/24,Y$9&lt;14/24)</formula>
    </cfRule>
    <cfRule type="expression" dxfId="814" priority="60">
      <formula>Y$9&lt;8/24</formula>
    </cfRule>
  </conditionalFormatting>
  <conditionalFormatting sqref="Y33:AF33">
    <cfRule type="expression" dxfId="813" priority="56">
      <formula>Y33&gt;$AG33</formula>
    </cfRule>
  </conditionalFormatting>
  <conditionalFormatting sqref="B11:E11 B36:X36 B18:X30">
    <cfRule type="expression" dxfId="812" priority="52">
      <formula>B$9&gt;=20/24</formula>
    </cfRule>
    <cfRule type="expression" dxfId="811" priority="53">
      <formula>AND(B$9&gt;=14/24,B$9&lt;20/24)</formula>
    </cfRule>
    <cfRule type="expression" dxfId="810" priority="54">
      <formula>AND(B$9&gt;=8/24,B$9&lt;14/24)</formula>
    </cfRule>
    <cfRule type="expression" dxfId="809" priority="55">
      <formula>B$9&lt;8/24</formula>
    </cfRule>
  </conditionalFormatting>
  <conditionalFormatting sqref="B37:L37">
    <cfRule type="expression" dxfId="808" priority="48">
      <formula>B$9&gt;=20/24</formula>
    </cfRule>
    <cfRule type="expression" dxfId="807" priority="49">
      <formula>AND(B$9&gt;=14/24,B$9&lt;20/24)</formula>
    </cfRule>
    <cfRule type="expression" dxfId="806" priority="50">
      <formula>AND(B$9&gt;=8/24,B$9&lt;14/24)</formula>
    </cfRule>
    <cfRule type="expression" dxfId="805" priority="51">
      <formula>B$9&lt;8/24</formula>
    </cfRule>
  </conditionalFormatting>
  <conditionalFormatting sqref="B31:X32 B35:X35">
    <cfRule type="expression" dxfId="804" priority="44">
      <formula>B$9&gt;=20/24</formula>
    </cfRule>
    <cfRule type="expression" dxfId="803" priority="45">
      <formula>AND(B$9&gt;=14/24,B$9&lt;20/24)</formula>
    </cfRule>
    <cfRule type="expression" dxfId="802" priority="46">
      <formula>AND(B$9&gt;=8/24,B$9&lt;14/24)</formula>
    </cfRule>
    <cfRule type="expression" dxfId="801" priority="47">
      <formula>B$9&lt;8/24</formula>
    </cfRule>
  </conditionalFormatting>
  <conditionalFormatting sqref="B11:E11 B34:L37 M34:X36 B18:X32">
    <cfRule type="expression" dxfId="800" priority="43">
      <formula>B11&gt;$AG11</formula>
    </cfRule>
  </conditionalFormatting>
  <conditionalFormatting sqref="B34:X34">
    <cfRule type="expression" dxfId="799" priority="39">
      <formula>B$9&gt;=20/24</formula>
    </cfRule>
    <cfRule type="expression" dxfId="798" priority="40">
      <formula>AND(B$9&gt;=14/24,B$9&lt;20/24)</formula>
    </cfRule>
    <cfRule type="expression" dxfId="797" priority="41">
      <formula>AND(B$9&gt;=8/24,B$9&lt;14/24)</formula>
    </cfRule>
    <cfRule type="expression" dxfId="796" priority="42">
      <formula>B$9&lt;8/24</formula>
    </cfRule>
  </conditionalFormatting>
  <conditionalFormatting sqref="B12:E16 F13:H16 I14:X16">
    <cfRule type="expression" dxfId="795" priority="35">
      <formula>B$9&gt;=20/24</formula>
    </cfRule>
    <cfRule type="expression" dxfId="794" priority="36">
      <formula>AND(B$9&gt;=14/24,B$9&lt;20/24)</formula>
    </cfRule>
    <cfRule type="expression" dxfId="793" priority="37">
      <formula>AND(B$9&gt;=8/24,B$9&lt;14/24)</formula>
    </cfRule>
    <cfRule type="expression" dxfId="792" priority="38">
      <formula>B$9&lt;8/24</formula>
    </cfRule>
  </conditionalFormatting>
  <conditionalFormatting sqref="B17:X17">
    <cfRule type="expression" dxfId="791" priority="31">
      <formula>B$9&gt;=20/24</formula>
    </cfRule>
    <cfRule type="expression" dxfId="790" priority="32">
      <formula>AND(B$9&gt;=14/24,B$9&lt;20/24)</formula>
    </cfRule>
    <cfRule type="expression" dxfId="789" priority="33">
      <formula>AND(B$9&gt;=8/24,B$9&lt;14/24)</formula>
    </cfRule>
    <cfRule type="expression" dxfId="788" priority="34">
      <formula>B$9&lt;8/24</formula>
    </cfRule>
  </conditionalFormatting>
  <conditionalFormatting sqref="B12:E13 F13:H13">
    <cfRule type="expression" dxfId="787" priority="27">
      <formula>B$9&gt;=20/24</formula>
    </cfRule>
    <cfRule type="expression" dxfId="786" priority="28">
      <formula>AND(B$9&gt;=14/24,B$9&lt;20/24)</formula>
    </cfRule>
    <cfRule type="expression" dxfId="785" priority="29">
      <formula>AND(B$9&gt;=8/24,B$9&lt;14/24)</formula>
    </cfRule>
    <cfRule type="expression" dxfId="784" priority="30">
      <formula>B$9&lt;8/24</formula>
    </cfRule>
  </conditionalFormatting>
  <conditionalFormatting sqref="B33:X33">
    <cfRule type="expression" dxfId="783" priority="23">
      <formula>B$9&gt;=20/24</formula>
    </cfRule>
    <cfRule type="expression" dxfId="782" priority="24">
      <formula>AND(B$9&gt;=14/24,B$9&lt;20/24)</formula>
    </cfRule>
    <cfRule type="expression" dxfId="781" priority="25">
      <formula>AND(B$9&gt;=8/24,B$9&lt;14/24)</formula>
    </cfRule>
    <cfRule type="expression" dxfId="780" priority="26">
      <formula>B$9&lt;8/24</formula>
    </cfRule>
  </conditionalFormatting>
  <conditionalFormatting sqref="B33:X33">
    <cfRule type="expression" dxfId="779" priority="22">
      <formula>B33&gt;$AG33</formula>
    </cfRule>
  </conditionalFormatting>
  <conditionalFormatting sqref="B53:C55">
    <cfRule type="expression" dxfId="778" priority="18">
      <formula>B$9&gt;=20/24</formula>
    </cfRule>
    <cfRule type="expression" dxfId="777" priority="19">
      <formula>AND(B$9&gt;=14/24,B$9&lt;20/24)</formula>
    </cfRule>
    <cfRule type="expression" dxfId="776" priority="20">
      <formula>AND(B$9&gt;=8/24,B$9&lt;14/24)</formula>
    </cfRule>
    <cfRule type="expression" dxfId="775" priority="21">
      <formula>B$9&lt;8/24</formula>
    </cfRule>
  </conditionalFormatting>
  <conditionalFormatting sqref="B53:C55">
    <cfRule type="expression" dxfId="774" priority="17">
      <formula>B53&gt;$AG53</formula>
    </cfRule>
  </conditionalFormatting>
  <conditionalFormatting sqref="B85:C91">
    <cfRule type="expression" dxfId="773" priority="13">
      <formula>B$9&gt;=20/24</formula>
    </cfRule>
    <cfRule type="expression" dxfId="772" priority="14">
      <formula>AND(B$9&gt;=14/24,B$9&lt;20/24)</formula>
    </cfRule>
    <cfRule type="expression" dxfId="771" priority="15">
      <formula>AND(B$9&gt;=8/24,B$9&lt;14/24)</formula>
    </cfRule>
    <cfRule type="expression" dxfId="770" priority="16">
      <formula>B$9&lt;8/24</formula>
    </cfRule>
  </conditionalFormatting>
  <conditionalFormatting sqref="B84:C84">
    <cfRule type="expression" dxfId="769" priority="9">
      <formula>B$9&gt;=20/24</formula>
    </cfRule>
    <cfRule type="expression" dxfId="768" priority="10">
      <formula>AND(B$9&gt;=14/24,B$9&lt;20/24)</formula>
    </cfRule>
    <cfRule type="expression" dxfId="767" priority="11">
      <formula>AND(B$9&gt;=8/24,B$9&lt;14/24)</formula>
    </cfRule>
    <cfRule type="expression" dxfId="766" priority="12">
      <formula>B$9&lt;8/24</formula>
    </cfRule>
  </conditionalFormatting>
  <conditionalFormatting sqref="B94:C99">
    <cfRule type="expression" dxfId="765" priority="5">
      <formula>B$9&gt;=20/24</formula>
    </cfRule>
    <cfRule type="expression" dxfId="764" priority="6">
      <formula>AND(B$9&gt;=14/24,B$9&lt;20/24)</formula>
    </cfRule>
    <cfRule type="expression" dxfId="763" priority="7">
      <formula>AND(B$9&gt;=8/24,B$9&lt;14/24)</formula>
    </cfRule>
    <cfRule type="expression" dxfId="762" priority="8">
      <formula>B$9&lt;8/24</formula>
    </cfRule>
  </conditionalFormatting>
  <conditionalFormatting sqref="M12:X13">
    <cfRule type="expression" dxfId="761" priority="1">
      <formula>M$9&gt;=20/24</formula>
    </cfRule>
    <cfRule type="expression" dxfId="760" priority="2">
      <formula>AND(M$9&gt;=14/24,M$9&lt;20/24)</formula>
    </cfRule>
    <cfRule type="expression" dxfId="759" priority="3">
      <formula>AND(M$9&gt;=8/24,M$9&lt;14/24)</formula>
    </cfRule>
    <cfRule type="expression" dxfId="758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id="{C2259A6C-7737-4892-AD8C-73023344A3B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R53" sqref="R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str">
        <f ca="1">"2078/"&amp;"09/"&amp;INT(MID(CELL("filename",D6),FIND("]",CELL("filename",D6))+1,200))</f>
        <v>2078/09/30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356.9</v>
      </c>
      <c r="C5" s="32">
        <f t="shared" si="0"/>
        <v>329.40000000000003</v>
      </c>
      <c r="D5" s="32">
        <f t="shared" si="0"/>
        <v>327.7</v>
      </c>
      <c r="E5" s="32">
        <f t="shared" si="0"/>
        <v>293.89999999999998</v>
      </c>
      <c r="F5" s="32">
        <f t="shared" si="0"/>
        <v>280.5</v>
      </c>
      <c r="G5" s="32">
        <f t="shared" si="0"/>
        <v>352.5</v>
      </c>
      <c r="H5" s="32">
        <f t="shared" si="0"/>
        <v>367.8</v>
      </c>
      <c r="I5" s="32">
        <f t="shared" si="0"/>
        <v>433.9</v>
      </c>
      <c r="J5" s="32">
        <f t="shared" si="0"/>
        <v>167.2</v>
      </c>
      <c r="K5" s="32">
        <f t="shared" si="0"/>
        <v>177.60000000000002</v>
      </c>
      <c r="L5" s="32">
        <f t="shared" si="0"/>
        <v>173.29999999999998</v>
      </c>
      <c r="M5" s="32">
        <f t="shared" si="0"/>
        <v>253</v>
      </c>
      <c r="N5" s="32">
        <f t="shared" si="0"/>
        <v>527.29999999999995</v>
      </c>
      <c r="O5" s="32">
        <f t="shared" si="0"/>
        <v>532.79999999999995</v>
      </c>
      <c r="P5" s="32">
        <f t="shared" si="0"/>
        <v>484</v>
      </c>
      <c r="Q5" s="32">
        <f t="shared" si="0"/>
        <v>495</v>
      </c>
      <c r="R5" s="32">
        <f t="shared" si="0"/>
        <v>514.19999999999993</v>
      </c>
      <c r="S5" s="32">
        <f t="shared" si="0"/>
        <v>506.3</v>
      </c>
      <c r="T5" s="32">
        <f t="shared" si="0"/>
        <v>498.2</v>
      </c>
      <c r="U5" s="32">
        <f t="shared" si="0"/>
        <v>263.5</v>
      </c>
      <c r="V5" s="32">
        <f t="shared" si="0"/>
        <v>283.5</v>
      </c>
      <c r="W5" s="32">
        <f t="shared" si="0"/>
        <v>259</v>
      </c>
      <c r="X5" s="32">
        <f t="shared" si="0"/>
        <v>212.79999999999998</v>
      </c>
      <c r="Y5" s="32">
        <f t="shared" si="0"/>
        <v>218</v>
      </c>
      <c r="Z5" s="32">
        <f t="shared" si="0"/>
        <v>340.6</v>
      </c>
      <c r="AA5" s="32">
        <f t="shared" si="0"/>
        <v>437.70000000000005</v>
      </c>
      <c r="AB5" s="32">
        <f t="shared" si="0"/>
        <v>416</v>
      </c>
      <c r="AC5" s="32">
        <f t="shared" si="0"/>
        <v>367.90000000000003</v>
      </c>
      <c r="AD5" s="32">
        <f t="shared" si="0"/>
        <v>329</v>
      </c>
      <c r="AE5" s="32">
        <f t="shared" si="0"/>
        <v>292</v>
      </c>
      <c r="AF5" s="32">
        <f>B68</f>
        <v>321.5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Load=901</v>
      </c>
      <c r="B7" s="37">
        <f>B75</f>
        <v>977.54</v>
      </c>
      <c r="C7" s="37">
        <f t="shared" ref="C7:AF7" si="1">C75</f>
        <v>930.74</v>
      </c>
      <c r="D7" s="37">
        <f t="shared" si="1"/>
        <v>903.44</v>
      </c>
      <c r="E7" s="37">
        <f t="shared" si="1"/>
        <v>901.1400000000001</v>
      </c>
      <c r="F7" s="37">
        <f t="shared" si="1"/>
        <v>907.04</v>
      </c>
      <c r="G7" s="37">
        <f t="shared" si="1"/>
        <v>947.64</v>
      </c>
      <c r="H7" s="37">
        <f t="shared" si="1"/>
        <v>1030.6399999999999</v>
      </c>
      <c r="I7" s="37">
        <f t="shared" si="1"/>
        <v>1077.26</v>
      </c>
      <c r="J7" s="37">
        <f t="shared" si="1"/>
        <v>1253.44</v>
      </c>
      <c r="K7" s="37">
        <f t="shared" si="1"/>
        <v>1408.8400000000001</v>
      </c>
      <c r="L7" s="37">
        <f t="shared" si="1"/>
        <v>1455.04</v>
      </c>
      <c r="M7" s="37">
        <f t="shared" si="1"/>
        <v>1517.74</v>
      </c>
      <c r="N7" s="37">
        <f t="shared" si="1"/>
        <v>1518.54</v>
      </c>
      <c r="O7" s="37">
        <f t="shared" si="1"/>
        <v>1495.54</v>
      </c>
      <c r="P7" s="37">
        <f t="shared" si="1"/>
        <v>1406.04</v>
      </c>
      <c r="Q7" s="37">
        <f t="shared" si="1"/>
        <v>1291.44</v>
      </c>
      <c r="R7" s="37">
        <f t="shared" si="1"/>
        <v>1249.74</v>
      </c>
      <c r="S7" s="37">
        <f t="shared" si="1"/>
        <v>1258.6399999999999</v>
      </c>
      <c r="T7" s="37">
        <f t="shared" si="1"/>
        <v>1211.1400000000001</v>
      </c>
      <c r="U7" s="37">
        <f t="shared" si="1"/>
        <v>1211.24</v>
      </c>
      <c r="V7" s="37">
        <f t="shared" si="1"/>
        <v>1278.24</v>
      </c>
      <c r="W7" s="37">
        <f t="shared" si="1"/>
        <v>1353.44</v>
      </c>
      <c r="X7" s="37">
        <f t="shared" si="1"/>
        <v>1559.3400000000001</v>
      </c>
      <c r="Y7" s="37">
        <f t="shared" si="1"/>
        <v>1575.04</v>
      </c>
      <c r="Z7" s="37">
        <f t="shared" si="1"/>
        <v>1541.44</v>
      </c>
      <c r="AA7" s="37">
        <f t="shared" si="1"/>
        <v>1478.04</v>
      </c>
      <c r="AB7" s="37">
        <f t="shared" si="1"/>
        <v>1413.8400000000001</v>
      </c>
      <c r="AC7" s="37">
        <f t="shared" si="1"/>
        <v>1386.04</v>
      </c>
      <c r="AD7" s="37">
        <f t="shared" si="1"/>
        <v>1320.04</v>
      </c>
      <c r="AE7" s="37">
        <f t="shared" si="1"/>
        <v>1173.94</v>
      </c>
      <c r="AF7" s="37">
        <f t="shared" si="1"/>
        <v>1030.6399999999999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78</v>
      </c>
      <c r="C11" s="49">
        <v>20</v>
      </c>
      <c r="D11" s="49">
        <v>20</v>
      </c>
      <c r="E11" s="49">
        <v>20</v>
      </c>
      <c r="F11" s="49">
        <v>60</v>
      </c>
      <c r="G11" s="49">
        <v>30</v>
      </c>
      <c r="H11" s="49">
        <v>20</v>
      </c>
      <c r="I11" s="49">
        <v>15</v>
      </c>
      <c r="J11" s="49">
        <v>60</v>
      </c>
      <c r="K11" s="49">
        <v>380</v>
      </c>
      <c r="L11" s="49">
        <v>390</v>
      </c>
      <c r="M11" s="50">
        <v>415</v>
      </c>
      <c r="N11" s="50">
        <v>350</v>
      </c>
      <c r="O11" s="50">
        <v>50</v>
      </c>
      <c r="P11" s="50">
        <v>20</v>
      </c>
      <c r="Q11" s="50">
        <v>20</v>
      </c>
      <c r="R11" s="50">
        <v>20</v>
      </c>
      <c r="S11" s="50">
        <v>20</v>
      </c>
      <c r="T11" s="50">
        <v>20</v>
      </c>
      <c r="U11" s="50">
        <v>20</v>
      </c>
      <c r="V11" s="50">
        <v>200</v>
      </c>
      <c r="W11" s="50">
        <v>240</v>
      </c>
      <c r="X11" s="50">
        <v>400</v>
      </c>
      <c r="Y11" s="50">
        <v>440</v>
      </c>
      <c r="Z11" s="52">
        <v>400</v>
      </c>
      <c r="AA11" s="50">
        <v>250</v>
      </c>
      <c r="AB11" s="50">
        <v>110</v>
      </c>
      <c r="AC11" s="50">
        <v>100</v>
      </c>
      <c r="AD11" s="50">
        <v>100</v>
      </c>
      <c r="AE11" s="50">
        <v>106</v>
      </c>
      <c r="AF11" s="49">
        <v>66</v>
      </c>
      <c r="AG11" s="53">
        <v>456</v>
      </c>
      <c r="AH11" s="54">
        <f>MAX(B11:AF11)</f>
        <v>440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58">
        <v>40</v>
      </c>
      <c r="Z12" s="58">
        <v>40</v>
      </c>
      <c r="AA12" s="58">
        <v>40</v>
      </c>
      <c r="AB12" s="58">
        <v>40</v>
      </c>
      <c r="AC12" s="58">
        <v>40</v>
      </c>
      <c r="AD12" s="58">
        <v>40</v>
      </c>
      <c r="AE12" s="58">
        <v>40</v>
      </c>
      <c r="AF12" s="58">
        <v>40</v>
      </c>
      <c r="AG12" s="59">
        <v>60</v>
      </c>
      <c r="AH12" s="54">
        <f t="shared" ref="AH12:AH75" si="2">MAX(B12:AF12)</f>
        <v>40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23.5</v>
      </c>
      <c r="C13" s="49">
        <v>23.5</v>
      </c>
      <c r="D13" s="49">
        <v>23.5</v>
      </c>
      <c r="E13" s="49">
        <v>23.5</v>
      </c>
      <c r="F13" s="49">
        <v>23.5</v>
      </c>
      <c r="G13" s="49">
        <v>23.5</v>
      </c>
      <c r="H13" s="49">
        <v>23.5</v>
      </c>
      <c r="I13" s="49">
        <v>23.5</v>
      </c>
      <c r="J13" s="49">
        <v>23.5</v>
      </c>
      <c r="K13" s="49">
        <v>23.6</v>
      </c>
      <c r="L13" s="49">
        <v>23.6</v>
      </c>
      <c r="M13" s="49">
        <v>23.3</v>
      </c>
      <c r="N13" s="49">
        <v>23.3</v>
      </c>
      <c r="O13" s="49">
        <v>23.3</v>
      </c>
      <c r="P13" s="49">
        <v>22.6</v>
      </c>
      <c r="Q13" s="49">
        <v>22.6</v>
      </c>
      <c r="R13" s="49">
        <v>22.6</v>
      </c>
      <c r="S13" s="49">
        <v>22.6</v>
      </c>
      <c r="T13" s="49">
        <v>22.6</v>
      </c>
      <c r="U13" s="49">
        <v>22.6</v>
      </c>
      <c r="V13" s="49">
        <v>22.6</v>
      </c>
      <c r="W13" s="49">
        <v>22.6</v>
      </c>
      <c r="X13" s="49">
        <v>22.6</v>
      </c>
      <c r="Y13" s="58">
        <v>22.6</v>
      </c>
      <c r="Z13" s="58">
        <v>22.6</v>
      </c>
      <c r="AA13" s="58">
        <v>22.6</v>
      </c>
      <c r="AB13" s="58">
        <v>22.6</v>
      </c>
      <c r="AC13" s="58">
        <v>22.6</v>
      </c>
      <c r="AD13" s="58">
        <v>22.6</v>
      </c>
      <c r="AE13" s="58">
        <v>22.6</v>
      </c>
      <c r="AF13" s="58">
        <v>22.6</v>
      </c>
      <c r="AG13" s="59">
        <v>52.4</v>
      </c>
      <c r="AH13" s="54">
        <f t="shared" si="2"/>
        <v>23.6</v>
      </c>
      <c r="AI13" s="55">
        <f t="shared" si="3"/>
        <v>22.6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43.8</v>
      </c>
      <c r="C14" s="49">
        <v>43.8</v>
      </c>
      <c r="D14" s="49">
        <v>43.8</v>
      </c>
      <c r="E14" s="49">
        <v>43.8</v>
      </c>
      <c r="F14" s="49">
        <v>43.8</v>
      </c>
      <c r="G14" s="49">
        <v>43.8</v>
      </c>
      <c r="H14" s="49">
        <v>43.8</v>
      </c>
      <c r="I14" s="49">
        <v>43.8</v>
      </c>
      <c r="J14" s="49">
        <v>43.8</v>
      </c>
      <c r="K14" s="49">
        <v>43.8</v>
      </c>
      <c r="L14" s="49">
        <v>43.8</v>
      </c>
      <c r="M14" s="50">
        <v>42.7</v>
      </c>
      <c r="N14" s="50">
        <v>42.7</v>
      </c>
      <c r="O14" s="50">
        <v>42.7</v>
      </c>
      <c r="P14" s="50">
        <v>42.6</v>
      </c>
      <c r="Q14" s="50">
        <v>42.6</v>
      </c>
      <c r="R14" s="50">
        <v>42.6</v>
      </c>
      <c r="S14" s="50">
        <v>42.6</v>
      </c>
      <c r="T14" s="50">
        <v>42.6</v>
      </c>
      <c r="U14" s="50">
        <v>42.6</v>
      </c>
      <c r="V14" s="50">
        <v>42.6</v>
      </c>
      <c r="W14" s="50">
        <v>42.6</v>
      </c>
      <c r="X14" s="50">
        <v>42.6</v>
      </c>
      <c r="Y14" s="60">
        <v>42.6</v>
      </c>
      <c r="Z14" s="60">
        <v>42.6</v>
      </c>
      <c r="AA14" s="60">
        <v>42.6</v>
      </c>
      <c r="AB14" s="60">
        <v>42.6</v>
      </c>
      <c r="AC14" s="60">
        <v>42.6</v>
      </c>
      <c r="AD14" s="60">
        <v>42.6</v>
      </c>
      <c r="AE14" s="60">
        <v>42.6</v>
      </c>
      <c r="AF14" s="60">
        <v>42.6</v>
      </c>
      <c r="AG14" s="59">
        <v>50</v>
      </c>
      <c r="AH14" s="54">
        <f t="shared" si="2"/>
        <v>43.8</v>
      </c>
      <c r="AI14" s="55">
        <f t="shared" si="3"/>
        <v>42.6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23.8</v>
      </c>
      <c r="C15" s="61">
        <v>23.8</v>
      </c>
      <c r="D15" s="61">
        <v>23.8</v>
      </c>
      <c r="E15" s="61">
        <v>23.8</v>
      </c>
      <c r="F15" s="61">
        <v>23.8</v>
      </c>
      <c r="G15" s="61">
        <v>23.8</v>
      </c>
      <c r="H15" s="61">
        <v>23.8</v>
      </c>
      <c r="I15" s="61">
        <v>23.8</v>
      </c>
      <c r="J15" s="61">
        <v>23.8</v>
      </c>
      <c r="K15" s="61">
        <v>23.8</v>
      </c>
      <c r="L15" s="61">
        <v>23.8</v>
      </c>
      <c r="M15" s="50">
        <v>23</v>
      </c>
      <c r="N15" s="50">
        <v>23</v>
      </c>
      <c r="O15" s="50">
        <v>23</v>
      </c>
      <c r="P15" s="50">
        <v>21.9</v>
      </c>
      <c r="Q15" s="50">
        <v>21.9</v>
      </c>
      <c r="R15" s="50">
        <v>21.9</v>
      </c>
      <c r="S15" s="50">
        <v>21.9</v>
      </c>
      <c r="T15" s="50">
        <v>21.9</v>
      </c>
      <c r="U15" s="50">
        <v>21.9</v>
      </c>
      <c r="V15" s="50">
        <v>21.9</v>
      </c>
      <c r="W15" s="50">
        <v>21.9</v>
      </c>
      <c r="X15" s="50">
        <v>21.9</v>
      </c>
      <c r="Y15" s="60">
        <v>21.9</v>
      </c>
      <c r="Z15" s="60">
        <v>21.9</v>
      </c>
      <c r="AA15" s="60">
        <v>21.9</v>
      </c>
      <c r="AB15" s="60">
        <v>21.9</v>
      </c>
      <c r="AC15" s="60">
        <v>21.9</v>
      </c>
      <c r="AD15" s="60">
        <v>21.9</v>
      </c>
      <c r="AE15" s="60">
        <v>21.9</v>
      </c>
      <c r="AF15" s="60">
        <v>21.9</v>
      </c>
      <c r="AG15" s="62">
        <v>45</v>
      </c>
      <c r="AH15" s="54">
        <f t="shared" si="2"/>
        <v>23.8</v>
      </c>
      <c r="AI15" s="55">
        <f t="shared" si="3"/>
        <v>21.9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50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63">
        <v>12</v>
      </c>
      <c r="AF16" s="63">
        <v>12</v>
      </c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59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10.9</v>
      </c>
      <c r="C19" s="49">
        <v>10.9</v>
      </c>
      <c r="D19" s="49">
        <v>10.9</v>
      </c>
      <c r="E19" s="49">
        <v>10.9</v>
      </c>
      <c r="F19" s="49">
        <v>10.9</v>
      </c>
      <c r="G19" s="49">
        <v>10.9</v>
      </c>
      <c r="H19" s="49">
        <v>10.9</v>
      </c>
      <c r="I19" s="49">
        <v>10.9</v>
      </c>
      <c r="J19" s="49">
        <v>10.9</v>
      </c>
      <c r="K19" s="49">
        <v>10.9</v>
      </c>
      <c r="L19" s="49">
        <v>10.9</v>
      </c>
      <c r="M19" s="50">
        <v>10.9</v>
      </c>
      <c r="N19" s="50">
        <v>10.9</v>
      </c>
      <c r="O19" s="50">
        <v>10.9</v>
      </c>
      <c r="P19" s="50">
        <v>10.9</v>
      </c>
      <c r="Q19" s="50">
        <v>10.9</v>
      </c>
      <c r="R19" s="50">
        <v>10.9</v>
      </c>
      <c r="S19" s="50">
        <v>10.9</v>
      </c>
      <c r="T19" s="50">
        <v>10.9</v>
      </c>
      <c r="U19" s="50">
        <v>10.9</v>
      </c>
      <c r="V19" s="50">
        <v>10.9</v>
      </c>
      <c r="W19" s="50">
        <v>10.9</v>
      </c>
      <c r="X19" s="50">
        <v>10.9</v>
      </c>
      <c r="Y19" s="50">
        <v>10.9</v>
      </c>
      <c r="Z19" s="50">
        <v>10.9</v>
      </c>
      <c r="AA19" s="50">
        <v>10.9</v>
      </c>
      <c r="AB19" s="50">
        <v>10.9</v>
      </c>
      <c r="AC19" s="50">
        <v>10.9</v>
      </c>
      <c r="AD19" s="50">
        <v>10.9</v>
      </c>
      <c r="AE19" s="50">
        <v>10.9</v>
      </c>
      <c r="AF19" s="50">
        <v>10.9</v>
      </c>
      <c r="AG19" s="59">
        <v>30</v>
      </c>
      <c r="AH19" s="54">
        <f t="shared" si="2"/>
        <v>10.9</v>
      </c>
      <c r="AI19" s="55">
        <f t="shared" si="3"/>
        <v>10.9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12.4</v>
      </c>
      <c r="C22" s="49">
        <v>12.4</v>
      </c>
      <c r="D22" s="49">
        <v>12.4</v>
      </c>
      <c r="E22" s="49">
        <v>12.4</v>
      </c>
      <c r="F22" s="49">
        <v>12.4</v>
      </c>
      <c r="G22" s="49">
        <v>12.4</v>
      </c>
      <c r="H22" s="49">
        <v>12.4</v>
      </c>
      <c r="I22" s="49">
        <v>12.4</v>
      </c>
      <c r="J22" s="49">
        <v>12.4</v>
      </c>
      <c r="K22" s="49">
        <v>12.4</v>
      </c>
      <c r="L22" s="49">
        <v>12.4</v>
      </c>
      <c r="M22" s="50">
        <v>12.4</v>
      </c>
      <c r="N22" s="50">
        <v>12.4</v>
      </c>
      <c r="O22" s="50">
        <v>12.4</v>
      </c>
      <c r="P22" s="50">
        <v>11.8</v>
      </c>
      <c r="Q22" s="50">
        <v>11.8</v>
      </c>
      <c r="R22" s="50">
        <v>11.8</v>
      </c>
      <c r="S22" s="50">
        <v>11.8</v>
      </c>
      <c r="T22" s="50">
        <v>11.8</v>
      </c>
      <c r="U22" s="50">
        <v>11.8</v>
      </c>
      <c r="V22" s="50">
        <v>11.8</v>
      </c>
      <c r="W22" s="50">
        <v>11.8</v>
      </c>
      <c r="X22" s="50">
        <v>11.8</v>
      </c>
      <c r="Y22" s="50">
        <v>11.8</v>
      </c>
      <c r="Z22" s="50">
        <v>11.8</v>
      </c>
      <c r="AA22" s="50">
        <v>20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59">
        <v>25</v>
      </c>
      <c r="AH22" s="54">
        <f t="shared" si="2"/>
        <v>20</v>
      </c>
      <c r="AI22" s="55">
        <f t="shared" si="3"/>
        <v>11.8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14.6</v>
      </c>
      <c r="C24" s="49">
        <v>14</v>
      </c>
      <c r="D24" s="49">
        <v>14</v>
      </c>
      <c r="E24" s="49">
        <v>14</v>
      </c>
      <c r="F24" s="49">
        <v>13.5</v>
      </c>
      <c r="G24" s="49">
        <v>13</v>
      </c>
      <c r="H24" s="49">
        <v>13</v>
      </c>
      <c r="I24" s="49">
        <v>13.02</v>
      </c>
      <c r="J24" s="49">
        <v>12.9</v>
      </c>
      <c r="K24" s="49">
        <v>12.9</v>
      </c>
      <c r="L24" s="49">
        <v>12.9</v>
      </c>
      <c r="M24" s="50">
        <v>12.9</v>
      </c>
      <c r="N24" s="50">
        <v>12.9</v>
      </c>
      <c r="O24" s="50">
        <v>12.9</v>
      </c>
      <c r="P24" s="50">
        <v>12.6</v>
      </c>
      <c r="Q24" s="50">
        <v>12.6</v>
      </c>
      <c r="R24" s="50">
        <v>12.6</v>
      </c>
      <c r="S24" s="50">
        <v>12.6</v>
      </c>
      <c r="T24" s="50">
        <v>12.6</v>
      </c>
      <c r="U24" s="50">
        <v>12.6</v>
      </c>
      <c r="V24" s="50">
        <v>12.6</v>
      </c>
      <c r="W24" s="50">
        <v>12.6</v>
      </c>
      <c r="X24" s="50">
        <v>12.6</v>
      </c>
      <c r="Y24" s="50">
        <v>12.6</v>
      </c>
      <c r="Z24" s="50">
        <v>12.6</v>
      </c>
      <c r="AA24" s="50">
        <v>12.6</v>
      </c>
      <c r="AB24" s="50">
        <v>12.6</v>
      </c>
      <c r="AC24" s="50">
        <v>12.6</v>
      </c>
      <c r="AD24" s="50">
        <v>12.6</v>
      </c>
      <c r="AE24" s="50">
        <v>12.6</v>
      </c>
      <c r="AF24" s="50">
        <v>12.6</v>
      </c>
      <c r="AG24" s="59">
        <v>25</v>
      </c>
      <c r="AH24" s="54">
        <f t="shared" si="2"/>
        <v>14.6</v>
      </c>
      <c r="AI24" s="55">
        <f t="shared" si="3"/>
        <v>12.6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9">
        <v>20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5</v>
      </c>
      <c r="S29" s="50">
        <v>5</v>
      </c>
      <c r="T29" s="50">
        <v>5</v>
      </c>
      <c r="U29" s="50">
        <v>5</v>
      </c>
      <c r="V29" s="50">
        <v>5</v>
      </c>
      <c r="W29" s="50">
        <v>5</v>
      </c>
      <c r="X29" s="50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13.9+31</f>
        <v>44.9</v>
      </c>
      <c r="C37" s="61">
        <f>14+31.2</f>
        <v>45.2</v>
      </c>
      <c r="D37" s="61">
        <f>14.2+31.6</f>
        <v>45.8</v>
      </c>
      <c r="E37" s="61">
        <f>14.2+31.6</f>
        <v>45.8</v>
      </c>
      <c r="F37" s="61">
        <f>14.2+31.6</f>
        <v>45.8</v>
      </c>
      <c r="G37" s="61">
        <f>14.2+31.6</f>
        <v>45.8</v>
      </c>
      <c r="H37" s="61">
        <f t="shared" ref="H37:J37" si="4">14.2+31.6</f>
        <v>45.8</v>
      </c>
      <c r="I37" s="61">
        <f t="shared" si="4"/>
        <v>45.8</v>
      </c>
      <c r="J37" s="61">
        <f t="shared" si="4"/>
        <v>45.8</v>
      </c>
      <c r="K37" s="61">
        <v>43.6</v>
      </c>
      <c r="L37" s="61">
        <f>13.3+29.2</f>
        <v>42.5</v>
      </c>
      <c r="M37" s="70">
        <f>13.3+29.2</f>
        <v>42.5</v>
      </c>
      <c r="N37" s="70">
        <f>13.3+29.2</f>
        <v>42.5</v>
      </c>
      <c r="O37" s="70">
        <v>42.8</v>
      </c>
      <c r="P37" s="70">
        <f>13.6+30.2</f>
        <v>43.8</v>
      </c>
      <c r="Q37" s="70">
        <v>45.2</v>
      </c>
      <c r="R37" s="70">
        <v>45.2</v>
      </c>
      <c r="S37" s="70">
        <v>41.2</v>
      </c>
      <c r="T37" s="70">
        <v>44.8</v>
      </c>
      <c r="U37" s="70">
        <v>44.3</v>
      </c>
      <c r="V37" s="70">
        <v>41.9</v>
      </c>
      <c r="W37" s="70">
        <v>39.700000000000003</v>
      </c>
      <c r="X37" s="70">
        <v>34.799999999999997</v>
      </c>
      <c r="Y37" s="70">
        <v>37.299999999999997</v>
      </c>
      <c r="Z37" s="70">
        <v>37.299999999999997</v>
      </c>
      <c r="AA37" s="70">
        <v>37.200000000000003</v>
      </c>
      <c r="AB37" s="70">
        <v>37.200000000000003</v>
      </c>
      <c r="AC37" s="70">
        <v>37.200000000000003</v>
      </c>
      <c r="AD37" s="70">
        <v>37.200000000000003</v>
      </c>
      <c r="AE37" s="70">
        <v>37.200000000000003</v>
      </c>
      <c r="AF37" s="70">
        <v>37.200000000000003</v>
      </c>
      <c r="AG37" s="67">
        <v>240</v>
      </c>
      <c r="AH37" s="54">
        <f t="shared" si="2"/>
        <v>45.8</v>
      </c>
      <c r="AI37" s="55">
        <f t="shared" si="3"/>
        <v>34.799999999999997</v>
      </c>
      <c r="AK37" s="56"/>
    </row>
    <row r="38" spans="1:88" ht="15.75" thickBot="1" x14ac:dyDescent="0.3">
      <c r="A38" s="71" t="s">
        <v>46</v>
      </c>
      <c r="B38" s="72">
        <f>SUM(B11:B36)</f>
        <v>496.40000000000003</v>
      </c>
      <c r="C38" s="72">
        <f t="shared" ref="C38:AF38" si="5">SUM(C11:C36)</f>
        <v>437.8</v>
      </c>
      <c r="D38" s="72">
        <f t="shared" si="5"/>
        <v>437.8</v>
      </c>
      <c r="E38" s="72">
        <f t="shared" si="5"/>
        <v>437.8</v>
      </c>
      <c r="F38" s="72">
        <f t="shared" si="5"/>
        <v>477.3</v>
      </c>
      <c r="G38" s="72">
        <f t="shared" si="5"/>
        <v>446.8</v>
      </c>
      <c r="H38" s="72">
        <f t="shared" si="5"/>
        <v>436.8</v>
      </c>
      <c r="I38" s="72">
        <f>SUM(I11:I36)</f>
        <v>431.82</v>
      </c>
      <c r="J38" s="72">
        <f t="shared" si="5"/>
        <v>476.7</v>
      </c>
      <c r="K38" s="72">
        <f t="shared" si="5"/>
        <v>796.80000000000007</v>
      </c>
      <c r="L38" s="72">
        <f t="shared" si="5"/>
        <v>806.80000000000007</v>
      </c>
      <c r="M38" s="72">
        <f t="shared" si="5"/>
        <v>829.6</v>
      </c>
      <c r="N38" s="72">
        <f t="shared" si="5"/>
        <v>764.6</v>
      </c>
      <c r="O38" s="72">
        <f t="shared" si="5"/>
        <v>464.59999999999997</v>
      </c>
      <c r="P38" s="72">
        <f t="shared" si="5"/>
        <v>431.8</v>
      </c>
      <c r="Q38" s="72">
        <f t="shared" si="5"/>
        <v>431.8</v>
      </c>
      <c r="R38" s="72">
        <f t="shared" si="5"/>
        <v>431.8</v>
      </c>
      <c r="S38" s="72">
        <f t="shared" si="5"/>
        <v>431.8</v>
      </c>
      <c r="T38" s="72">
        <f t="shared" si="5"/>
        <v>431.8</v>
      </c>
      <c r="U38" s="72">
        <f t="shared" si="5"/>
        <v>431.8</v>
      </c>
      <c r="V38" s="72">
        <f t="shared" si="5"/>
        <v>611.79999999999995</v>
      </c>
      <c r="W38" s="72">
        <f t="shared" si="5"/>
        <v>651.79999999999995</v>
      </c>
      <c r="X38" s="72">
        <f t="shared" si="5"/>
        <v>811.80000000000007</v>
      </c>
      <c r="Y38" s="72">
        <f t="shared" si="5"/>
        <v>851.80000000000007</v>
      </c>
      <c r="Z38" s="72">
        <f t="shared" si="5"/>
        <v>811.80000000000007</v>
      </c>
      <c r="AA38" s="72">
        <f t="shared" si="5"/>
        <v>670</v>
      </c>
      <c r="AB38" s="72">
        <f t="shared" si="5"/>
        <v>525</v>
      </c>
      <c r="AC38" s="72">
        <f t="shared" si="5"/>
        <v>515</v>
      </c>
      <c r="AD38" s="72">
        <f t="shared" si="5"/>
        <v>515</v>
      </c>
      <c r="AE38" s="72">
        <f t="shared" si="5"/>
        <v>521</v>
      </c>
      <c r="AF38" s="72">
        <f t="shared" si="5"/>
        <v>481</v>
      </c>
      <c r="AG38" s="67">
        <f>SUM(AG11:AG37)</f>
        <v>1492.8299999999997</v>
      </c>
      <c r="AH38" s="54">
        <f t="shared" si="2"/>
        <v>851.80000000000007</v>
      </c>
      <c r="AI38" s="55">
        <f t="shared" si="3"/>
        <v>431.8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49</v>
      </c>
      <c r="H39" s="61">
        <v>60</v>
      </c>
      <c r="I39" s="61">
        <v>97</v>
      </c>
      <c r="J39" s="61">
        <v>111</v>
      </c>
      <c r="K39" s="61">
        <v>145</v>
      </c>
      <c r="L39" s="61">
        <v>145.9</v>
      </c>
      <c r="M39" s="50">
        <v>145.80000000000001</v>
      </c>
      <c r="N39" s="50">
        <v>145.80000000000001</v>
      </c>
      <c r="O39" s="50">
        <v>145.80000000000001</v>
      </c>
      <c r="P39" s="50">
        <v>146</v>
      </c>
      <c r="Q39" s="50">
        <v>122</v>
      </c>
      <c r="R39" s="50">
        <v>112</v>
      </c>
      <c r="S39" s="50">
        <v>134.1</v>
      </c>
      <c r="T39" s="50">
        <v>102</v>
      </c>
      <c r="U39" s="50">
        <v>101.3</v>
      </c>
      <c r="V39" s="50">
        <v>122</v>
      </c>
      <c r="W39" s="50">
        <v>122</v>
      </c>
      <c r="X39" s="50">
        <v>145</v>
      </c>
      <c r="Y39" s="50">
        <v>145</v>
      </c>
      <c r="Z39" s="50">
        <v>144.6</v>
      </c>
      <c r="AA39" s="50">
        <v>115</v>
      </c>
      <c r="AB39" s="50">
        <v>106.9</v>
      </c>
      <c r="AC39" s="50">
        <v>106.5</v>
      </c>
      <c r="AD39" s="50">
        <v>107.5</v>
      </c>
      <c r="AE39" s="50">
        <v>107</v>
      </c>
      <c r="AF39" s="49">
        <v>65</v>
      </c>
      <c r="AG39" s="62">
        <v>144</v>
      </c>
      <c r="AH39" s="54">
        <f t="shared" si="2"/>
        <v>146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24.1</v>
      </c>
      <c r="C40" s="61">
        <v>0</v>
      </c>
      <c r="D40" s="61">
        <v>0</v>
      </c>
      <c r="E40" s="61">
        <v>0</v>
      </c>
      <c r="F40" s="61">
        <v>0</v>
      </c>
      <c r="G40" s="61">
        <v>25</v>
      </c>
      <c r="H40" s="61">
        <v>35</v>
      </c>
      <c r="I40" s="61">
        <v>25</v>
      </c>
      <c r="J40" s="61">
        <v>56</v>
      </c>
      <c r="K40" s="61">
        <v>65</v>
      </c>
      <c r="L40" s="61">
        <v>64.2</v>
      </c>
      <c r="M40" s="73">
        <v>70.3</v>
      </c>
      <c r="N40" s="73">
        <v>70.3</v>
      </c>
      <c r="O40" s="73">
        <v>70.3</v>
      </c>
      <c r="P40" s="73">
        <v>60.1</v>
      </c>
      <c r="Q40" s="73">
        <v>50.7</v>
      </c>
      <c r="R40" s="73">
        <v>44</v>
      </c>
      <c r="S40" s="73">
        <v>29.8</v>
      </c>
      <c r="T40" s="73">
        <v>30</v>
      </c>
      <c r="U40" s="73">
        <v>34.700000000000003</v>
      </c>
      <c r="V40" s="73">
        <v>53.7</v>
      </c>
      <c r="W40" s="73">
        <v>53.5</v>
      </c>
      <c r="X40" s="73">
        <v>70.099999999999994</v>
      </c>
      <c r="Y40" s="73">
        <v>70.099999999999994</v>
      </c>
      <c r="Z40" s="73">
        <v>70.400000000000006</v>
      </c>
      <c r="AA40" s="73">
        <v>70.099999999999994</v>
      </c>
      <c r="AB40" s="73">
        <v>69.5</v>
      </c>
      <c r="AC40" s="73">
        <v>70.8</v>
      </c>
      <c r="AD40" s="73">
        <v>50.4</v>
      </c>
      <c r="AE40" s="73">
        <v>34.5</v>
      </c>
      <c r="AF40" s="61">
        <v>26</v>
      </c>
      <c r="AG40" s="67">
        <v>70</v>
      </c>
      <c r="AH40" s="54">
        <f t="shared" si="2"/>
        <v>70.8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22.7</v>
      </c>
      <c r="C41" s="61">
        <v>23.2</v>
      </c>
      <c r="D41" s="61">
        <v>23.4</v>
      </c>
      <c r="E41" s="61">
        <v>22.8</v>
      </c>
      <c r="F41" s="61">
        <v>23</v>
      </c>
      <c r="G41" s="61">
        <v>22.7</v>
      </c>
      <c r="H41" s="61">
        <v>22.7</v>
      </c>
      <c r="I41" s="61">
        <v>32</v>
      </c>
      <c r="J41" s="61">
        <v>48</v>
      </c>
      <c r="K41" s="61">
        <v>60</v>
      </c>
      <c r="L41" s="61">
        <v>61.6</v>
      </c>
      <c r="M41" s="73">
        <v>67.7</v>
      </c>
      <c r="N41" s="73">
        <v>67.7</v>
      </c>
      <c r="O41" s="73">
        <v>60</v>
      </c>
      <c r="P41" s="73">
        <v>60.5</v>
      </c>
      <c r="Q41" s="73">
        <v>60.5</v>
      </c>
      <c r="R41" s="73">
        <v>46</v>
      </c>
      <c r="S41" s="73">
        <v>40</v>
      </c>
      <c r="T41" s="73">
        <v>36.299999999999997</v>
      </c>
      <c r="U41" s="73">
        <v>36.200000000000003</v>
      </c>
      <c r="V41" s="73">
        <v>61.5</v>
      </c>
      <c r="W41" s="73">
        <v>64.3</v>
      </c>
      <c r="X41" s="73">
        <v>67.5</v>
      </c>
      <c r="Y41" s="73">
        <v>67.5</v>
      </c>
      <c r="Z41" s="73">
        <v>68</v>
      </c>
      <c r="AA41" s="73">
        <v>66.8</v>
      </c>
      <c r="AB41" s="73">
        <v>66.400000000000006</v>
      </c>
      <c r="AC41" s="73">
        <v>66.5</v>
      </c>
      <c r="AD41" s="73">
        <v>66.3</v>
      </c>
      <c r="AE41" s="73">
        <v>55.6</v>
      </c>
      <c r="AF41" s="61">
        <v>50</v>
      </c>
      <c r="AG41" s="67">
        <v>69</v>
      </c>
      <c r="AH41" s="54">
        <f t="shared" si="2"/>
        <v>68</v>
      </c>
      <c r="AI41" s="55">
        <f t="shared" si="3"/>
        <v>22.7</v>
      </c>
      <c r="AK41" s="56"/>
    </row>
    <row r="42" spans="1:88" x14ac:dyDescent="0.25">
      <c r="A42" s="66" t="s">
        <v>50</v>
      </c>
      <c r="B42" s="61">
        <v>57.2</v>
      </c>
      <c r="C42" s="61">
        <v>57.2</v>
      </c>
      <c r="D42" s="61">
        <v>57.2</v>
      </c>
      <c r="E42" s="61">
        <v>57.2</v>
      </c>
      <c r="F42" s="61">
        <v>57.2</v>
      </c>
      <c r="G42" s="61">
        <v>58</v>
      </c>
      <c r="H42" s="61">
        <v>58</v>
      </c>
      <c r="I42" s="61">
        <v>58</v>
      </c>
      <c r="J42" s="61">
        <v>57.2</v>
      </c>
      <c r="K42" s="61">
        <v>57.2</v>
      </c>
      <c r="L42" s="61">
        <v>58</v>
      </c>
      <c r="M42" s="73">
        <v>57.7</v>
      </c>
      <c r="N42" s="73">
        <v>57.7</v>
      </c>
      <c r="O42" s="73">
        <v>57.7</v>
      </c>
      <c r="P42" s="73">
        <v>30</v>
      </c>
      <c r="Q42" s="73">
        <v>30</v>
      </c>
      <c r="R42" s="73">
        <v>30</v>
      </c>
      <c r="S42" s="73">
        <v>30</v>
      </c>
      <c r="T42" s="73">
        <v>30.5</v>
      </c>
      <c r="U42" s="73">
        <v>30.5</v>
      </c>
      <c r="V42" s="73">
        <v>60.2</v>
      </c>
      <c r="W42" s="73">
        <v>58.4</v>
      </c>
      <c r="X42" s="73">
        <v>55.7</v>
      </c>
      <c r="Y42" s="73">
        <v>55.7</v>
      </c>
      <c r="Z42" s="73">
        <v>55.7</v>
      </c>
      <c r="AA42" s="73">
        <v>55.7</v>
      </c>
      <c r="AB42" s="73">
        <v>58.7</v>
      </c>
      <c r="AC42" s="73">
        <v>60.7</v>
      </c>
      <c r="AD42" s="73">
        <v>60.7</v>
      </c>
      <c r="AE42" s="73">
        <v>60.4</v>
      </c>
      <c r="AF42" s="61">
        <v>60.2</v>
      </c>
      <c r="AG42" s="67">
        <v>60</v>
      </c>
      <c r="AH42" s="54">
        <f t="shared" si="2"/>
        <v>60.7</v>
      </c>
      <c r="AI42" s="55">
        <f t="shared" si="3"/>
        <v>30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10</v>
      </c>
      <c r="H43" s="61">
        <v>10</v>
      </c>
      <c r="I43" s="61">
        <v>10</v>
      </c>
      <c r="J43" s="61">
        <v>15</v>
      </c>
      <c r="K43" s="61">
        <v>15</v>
      </c>
      <c r="L43" s="61">
        <v>14.9</v>
      </c>
      <c r="M43" s="50">
        <v>28</v>
      </c>
      <c r="N43" s="50">
        <v>28</v>
      </c>
      <c r="O43" s="50">
        <v>28</v>
      </c>
      <c r="P43" s="50">
        <v>15</v>
      </c>
      <c r="Q43" s="50">
        <v>15</v>
      </c>
      <c r="R43" s="50">
        <v>10.5</v>
      </c>
      <c r="S43" s="50">
        <v>0</v>
      </c>
      <c r="T43" s="50">
        <v>0</v>
      </c>
      <c r="U43" s="50">
        <v>0</v>
      </c>
      <c r="V43" s="50">
        <v>0</v>
      </c>
      <c r="W43" s="50">
        <v>13.6</v>
      </c>
      <c r="X43" s="50">
        <v>21.6</v>
      </c>
      <c r="Y43" s="50">
        <v>28</v>
      </c>
      <c r="Z43" s="73">
        <v>28</v>
      </c>
      <c r="AA43" s="73">
        <v>23</v>
      </c>
      <c r="AB43" s="73">
        <v>21.1</v>
      </c>
      <c r="AC43" s="73">
        <v>22</v>
      </c>
      <c r="AD43" s="73">
        <v>21.6</v>
      </c>
      <c r="AE43" s="73">
        <v>10</v>
      </c>
      <c r="AF43" s="61">
        <v>0</v>
      </c>
      <c r="AG43" s="67">
        <v>30</v>
      </c>
      <c r="AH43" s="54">
        <f t="shared" si="2"/>
        <v>28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74">
        <v>18</v>
      </c>
      <c r="D45" s="74">
        <v>18</v>
      </c>
      <c r="E45" s="74">
        <v>18</v>
      </c>
      <c r="F45" s="74">
        <v>18</v>
      </c>
      <c r="G45" s="74">
        <v>18</v>
      </c>
      <c r="H45" s="74">
        <v>18</v>
      </c>
      <c r="I45" s="74">
        <v>18</v>
      </c>
      <c r="J45" s="74">
        <v>18</v>
      </c>
      <c r="K45" s="74">
        <v>18</v>
      </c>
      <c r="L45" s="74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3.2</v>
      </c>
      <c r="C46" s="61">
        <v>3.2</v>
      </c>
      <c r="D46" s="61">
        <v>3.2</v>
      </c>
      <c r="E46" s="61">
        <v>3.2</v>
      </c>
      <c r="F46" s="61">
        <v>3.2</v>
      </c>
      <c r="G46" s="61">
        <v>3.2</v>
      </c>
      <c r="H46" s="61">
        <v>3.2</v>
      </c>
      <c r="I46" s="61">
        <v>3.2</v>
      </c>
      <c r="J46" s="61">
        <v>3.2</v>
      </c>
      <c r="K46" s="61">
        <v>3.2</v>
      </c>
      <c r="L46" s="61">
        <v>3.2</v>
      </c>
      <c r="M46" s="50">
        <v>3.2</v>
      </c>
      <c r="N46" s="50">
        <v>3.2</v>
      </c>
      <c r="O46" s="50">
        <v>3.2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3.2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74">
        <v>6.4</v>
      </c>
      <c r="D48" s="74">
        <v>6.4</v>
      </c>
      <c r="E48" s="74">
        <v>6.4</v>
      </c>
      <c r="F48" s="74">
        <v>6.4</v>
      </c>
      <c r="G48" s="74">
        <v>6.4</v>
      </c>
      <c r="H48" s="74">
        <v>6.4</v>
      </c>
      <c r="I48" s="74">
        <v>6.4</v>
      </c>
      <c r="J48" s="74">
        <v>6.4</v>
      </c>
      <c r="K48" s="74">
        <v>6.4</v>
      </c>
      <c r="L48" s="74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7.5</v>
      </c>
      <c r="C49" s="61">
        <v>7.5</v>
      </c>
      <c r="D49" s="61">
        <v>7.5</v>
      </c>
      <c r="E49" s="61">
        <v>7.5</v>
      </c>
      <c r="F49" s="61">
        <v>7.5</v>
      </c>
      <c r="G49" s="61">
        <v>7.5</v>
      </c>
      <c r="H49" s="61">
        <v>7.5</v>
      </c>
      <c r="I49" s="61">
        <v>7.5</v>
      </c>
      <c r="J49" s="61">
        <v>7.5</v>
      </c>
      <c r="K49" s="61">
        <v>7.5</v>
      </c>
      <c r="L49" s="61">
        <v>7.5</v>
      </c>
      <c r="M49" s="50">
        <v>7.5</v>
      </c>
      <c r="N49" s="50">
        <v>7.5</v>
      </c>
      <c r="O49" s="50">
        <v>7.5</v>
      </c>
      <c r="P49" s="50">
        <v>7.5</v>
      </c>
      <c r="Q49" s="50">
        <v>7.5</v>
      </c>
      <c r="R49" s="50">
        <v>7.5</v>
      </c>
      <c r="S49" s="50">
        <v>7.5</v>
      </c>
      <c r="T49" s="50">
        <v>7.5</v>
      </c>
      <c r="U49" s="50">
        <v>7.5</v>
      </c>
      <c r="V49" s="50">
        <v>7.5</v>
      </c>
      <c r="W49" s="50">
        <v>7.5</v>
      </c>
      <c r="X49" s="50">
        <v>7.5</v>
      </c>
      <c r="Y49" s="50">
        <v>7.5</v>
      </c>
      <c r="Z49" s="50">
        <v>7.5</v>
      </c>
      <c r="AA49" s="50">
        <v>7.5</v>
      </c>
      <c r="AB49" s="50">
        <v>7.5</v>
      </c>
      <c r="AC49" s="50">
        <v>7.5</v>
      </c>
      <c r="AD49" s="50">
        <v>7.5</v>
      </c>
      <c r="AE49" s="50">
        <v>7.5</v>
      </c>
      <c r="AF49" s="50">
        <v>7.5</v>
      </c>
      <c r="AG49" s="67">
        <v>10.050000000000001</v>
      </c>
      <c r="AH49" s="54">
        <f t="shared" si="2"/>
        <v>7.5</v>
      </c>
      <c r="AI49" s="55">
        <f t="shared" si="3"/>
        <v>7.5</v>
      </c>
      <c r="AK49" s="56"/>
    </row>
    <row r="50" spans="1:37" x14ac:dyDescent="0.25">
      <c r="A50" s="66" t="s">
        <v>58</v>
      </c>
      <c r="B50" s="61">
        <v>4</v>
      </c>
      <c r="C50" s="61">
        <v>4</v>
      </c>
      <c r="D50" s="61">
        <v>4</v>
      </c>
      <c r="E50" s="61">
        <v>4</v>
      </c>
      <c r="F50" s="61">
        <v>4</v>
      </c>
      <c r="G50" s="61">
        <v>4</v>
      </c>
      <c r="H50" s="61">
        <v>4</v>
      </c>
      <c r="I50" s="61">
        <v>4</v>
      </c>
      <c r="J50" s="61">
        <v>4</v>
      </c>
      <c r="K50" s="61">
        <v>4</v>
      </c>
      <c r="L50" s="61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7">
        <v>6.2</v>
      </c>
      <c r="AH50" s="54">
        <f t="shared" si="2"/>
        <v>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159.63999999999999</v>
      </c>
      <c r="C52" s="72">
        <f t="shared" ref="C52:AF52" si="7">SUM(C39:C51)</f>
        <v>136.04</v>
      </c>
      <c r="D52" s="72">
        <f t="shared" si="7"/>
        <v>136.23999999999998</v>
      </c>
      <c r="E52" s="72">
        <f t="shared" si="7"/>
        <v>135.64000000000001</v>
      </c>
      <c r="F52" s="72">
        <f t="shared" si="7"/>
        <v>135.84</v>
      </c>
      <c r="G52" s="72">
        <f t="shared" si="7"/>
        <v>220.33999999999997</v>
      </c>
      <c r="H52" s="72">
        <f t="shared" si="7"/>
        <v>241.33999999999997</v>
      </c>
      <c r="I52" s="72">
        <f t="shared" si="7"/>
        <v>277.64</v>
      </c>
      <c r="J52" s="72">
        <f t="shared" si="7"/>
        <v>342.84</v>
      </c>
      <c r="K52" s="72">
        <f t="shared" si="7"/>
        <v>397.84</v>
      </c>
      <c r="L52" s="72">
        <f t="shared" si="7"/>
        <v>400.24</v>
      </c>
      <c r="M52" s="72">
        <f t="shared" si="7"/>
        <v>425.14</v>
      </c>
      <c r="N52" s="72">
        <f t="shared" si="7"/>
        <v>425.14</v>
      </c>
      <c r="O52" s="72">
        <f t="shared" si="7"/>
        <v>417.44</v>
      </c>
      <c r="P52" s="72">
        <f t="shared" si="7"/>
        <v>368.04</v>
      </c>
      <c r="Q52" s="72">
        <f t="shared" si="7"/>
        <v>334.64</v>
      </c>
      <c r="R52" s="72">
        <f t="shared" si="7"/>
        <v>298.94</v>
      </c>
      <c r="S52" s="72">
        <f t="shared" si="7"/>
        <v>290.33999999999997</v>
      </c>
      <c r="T52" s="72">
        <f t="shared" si="7"/>
        <v>255.24</v>
      </c>
      <c r="U52" s="72">
        <f t="shared" si="7"/>
        <v>259.14</v>
      </c>
      <c r="V52" s="72">
        <f t="shared" si="7"/>
        <v>353.84</v>
      </c>
      <c r="W52" s="72">
        <f t="shared" si="7"/>
        <v>368.24</v>
      </c>
      <c r="X52" s="72">
        <f t="shared" si="7"/>
        <v>416.34000000000003</v>
      </c>
      <c r="Y52" s="72">
        <f t="shared" si="7"/>
        <v>422.74</v>
      </c>
      <c r="Z52" s="72">
        <f t="shared" si="7"/>
        <v>423.14</v>
      </c>
      <c r="AA52" s="72">
        <f t="shared" si="7"/>
        <v>387.03999999999996</v>
      </c>
      <c r="AB52" s="72">
        <f t="shared" si="7"/>
        <v>379.04</v>
      </c>
      <c r="AC52" s="72">
        <f t="shared" si="7"/>
        <v>382.94</v>
      </c>
      <c r="AD52" s="72">
        <f t="shared" si="7"/>
        <v>362.94</v>
      </c>
      <c r="AE52" s="72">
        <f t="shared" si="7"/>
        <v>323.94</v>
      </c>
      <c r="AF52" s="72">
        <f t="shared" si="7"/>
        <v>257.64</v>
      </c>
      <c r="AG52" s="78">
        <f>SUM(AG39:AG51)</f>
        <v>489.91</v>
      </c>
      <c r="AH52" s="54">
        <f t="shared" si="2"/>
        <v>425.14</v>
      </c>
      <c r="AI52" s="55">
        <f t="shared" si="3"/>
        <v>135.64000000000001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</v>
      </c>
      <c r="L53" s="61">
        <v>43.9</v>
      </c>
      <c r="M53" s="79">
        <v>50.1</v>
      </c>
      <c r="N53" s="79">
        <v>45.4</v>
      </c>
      <c r="O53" s="79">
        <v>50</v>
      </c>
      <c r="P53" s="79">
        <v>45.1</v>
      </c>
      <c r="Q53" s="50">
        <v>20</v>
      </c>
      <c r="R53" s="50">
        <v>14</v>
      </c>
      <c r="S53" s="50">
        <v>14.1</v>
      </c>
      <c r="T53" s="50">
        <v>11.1</v>
      </c>
      <c r="U53" s="50">
        <v>14.2</v>
      </c>
      <c r="V53" s="50">
        <v>29.2</v>
      </c>
      <c r="W53" s="50">
        <v>29.3</v>
      </c>
      <c r="X53" s="50">
        <v>50.8</v>
      </c>
      <c r="Y53" s="50">
        <v>53.4</v>
      </c>
      <c r="Z53" s="50">
        <v>54.1</v>
      </c>
      <c r="AA53" s="50">
        <v>49.4</v>
      </c>
      <c r="AB53" s="50">
        <v>44.8</v>
      </c>
      <c r="AC53" s="50">
        <v>44.8</v>
      </c>
      <c r="AD53" s="50">
        <v>45.4</v>
      </c>
      <c r="AE53" s="50">
        <v>0</v>
      </c>
      <c r="AF53" s="50">
        <v>0</v>
      </c>
      <c r="AG53" s="62">
        <v>60</v>
      </c>
      <c r="AH53" s="54">
        <f t="shared" si="2"/>
        <v>54.1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12.4</v>
      </c>
      <c r="L54" s="61">
        <v>19.399999999999999</v>
      </c>
      <c r="M54" s="79">
        <v>29</v>
      </c>
      <c r="N54" s="79">
        <v>20.399999999999999</v>
      </c>
      <c r="O54" s="79">
        <v>26.2</v>
      </c>
      <c r="P54" s="79">
        <v>20.7</v>
      </c>
      <c r="Q54" s="73">
        <v>15</v>
      </c>
      <c r="R54" s="73">
        <v>7</v>
      </c>
      <c r="S54" s="50">
        <v>6</v>
      </c>
      <c r="T54" s="50">
        <v>4.9000000000000004</v>
      </c>
      <c r="U54" s="50">
        <v>5.8</v>
      </c>
      <c r="V54" s="73">
        <v>14.6</v>
      </c>
      <c r="W54" s="73">
        <v>15.1</v>
      </c>
      <c r="X54" s="73">
        <v>15.7</v>
      </c>
      <c r="Y54" s="73">
        <v>25.1</v>
      </c>
      <c r="Z54" s="73">
        <v>25.2</v>
      </c>
      <c r="AA54" s="73">
        <v>22.7</v>
      </c>
      <c r="AB54" s="73">
        <v>20</v>
      </c>
      <c r="AC54" s="73">
        <v>20</v>
      </c>
      <c r="AD54" s="73">
        <v>21.1</v>
      </c>
      <c r="AE54" s="73">
        <v>0</v>
      </c>
      <c r="AF54" s="73">
        <v>0</v>
      </c>
      <c r="AG54" s="67">
        <v>32</v>
      </c>
      <c r="AH54" s="54">
        <f t="shared" si="2"/>
        <v>29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4.5999999999999996</v>
      </c>
      <c r="L55" s="74">
        <v>7.1</v>
      </c>
      <c r="M55" s="81">
        <v>10.6</v>
      </c>
      <c r="N55" s="81">
        <v>10</v>
      </c>
      <c r="O55" s="81">
        <v>10</v>
      </c>
      <c r="P55" s="81">
        <v>7.6</v>
      </c>
      <c r="Q55" s="80">
        <v>6</v>
      </c>
      <c r="R55" s="80">
        <v>3</v>
      </c>
      <c r="S55" s="50">
        <v>2.2000000000000002</v>
      </c>
      <c r="T55" s="50">
        <v>1.8</v>
      </c>
      <c r="U55" s="50">
        <v>2.1</v>
      </c>
      <c r="V55" s="80">
        <v>5.3</v>
      </c>
      <c r="W55" s="80">
        <v>5.5</v>
      </c>
      <c r="X55" s="80">
        <v>5.7</v>
      </c>
      <c r="Y55" s="80">
        <v>9.1999999999999993</v>
      </c>
      <c r="Z55" s="80">
        <v>9.1999999999999993</v>
      </c>
      <c r="AA55" s="80">
        <v>8.3000000000000007</v>
      </c>
      <c r="AB55" s="80">
        <v>7.3</v>
      </c>
      <c r="AC55" s="80">
        <v>7.3</v>
      </c>
      <c r="AD55" s="80">
        <v>7.7</v>
      </c>
      <c r="AE55" s="80">
        <v>0</v>
      </c>
      <c r="AF55" s="80">
        <v>0</v>
      </c>
      <c r="AG55" s="82">
        <v>14</v>
      </c>
      <c r="AH55" s="54">
        <f t="shared" si="2"/>
        <v>10.6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47</v>
      </c>
      <c r="L56" s="72">
        <f t="shared" si="8"/>
        <v>70.399999999999991</v>
      </c>
      <c r="M56" s="72">
        <f t="shared" si="8"/>
        <v>89.699999999999989</v>
      </c>
      <c r="N56" s="72">
        <f t="shared" si="8"/>
        <v>75.8</v>
      </c>
      <c r="O56" s="72">
        <f t="shared" si="8"/>
        <v>86.2</v>
      </c>
      <c r="P56" s="72">
        <f t="shared" si="8"/>
        <v>73.399999999999991</v>
      </c>
      <c r="Q56" s="72">
        <f t="shared" si="8"/>
        <v>41</v>
      </c>
      <c r="R56" s="72">
        <f t="shared" si="8"/>
        <v>24</v>
      </c>
      <c r="S56" s="72">
        <f t="shared" si="8"/>
        <v>22.3</v>
      </c>
      <c r="T56" s="72">
        <f t="shared" si="8"/>
        <v>17.8</v>
      </c>
      <c r="U56" s="72">
        <f t="shared" si="8"/>
        <v>22.1</v>
      </c>
      <c r="V56" s="72">
        <f t="shared" si="8"/>
        <v>49.099999999999994</v>
      </c>
      <c r="W56" s="72">
        <f t="shared" si="8"/>
        <v>49.9</v>
      </c>
      <c r="X56" s="72">
        <f t="shared" si="8"/>
        <v>72.2</v>
      </c>
      <c r="Y56" s="72">
        <f t="shared" si="8"/>
        <v>87.7</v>
      </c>
      <c r="Z56" s="72">
        <f t="shared" si="8"/>
        <v>88.5</v>
      </c>
      <c r="AA56" s="72">
        <f t="shared" si="8"/>
        <v>80.399999999999991</v>
      </c>
      <c r="AB56" s="72">
        <f t="shared" si="8"/>
        <v>72.099999999999994</v>
      </c>
      <c r="AC56" s="72">
        <f t="shared" si="8"/>
        <v>72.099999999999994</v>
      </c>
      <c r="AD56" s="72">
        <f t="shared" si="8"/>
        <v>74.2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89.699999999999989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61.1</v>
      </c>
      <c r="C57" s="50">
        <v>58</v>
      </c>
      <c r="D57" s="50">
        <v>66</v>
      </c>
      <c r="E57" s="50">
        <v>60</v>
      </c>
      <c r="F57" s="50">
        <v>62</v>
      </c>
      <c r="G57" s="50">
        <v>66</v>
      </c>
      <c r="H57" s="50">
        <v>65</v>
      </c>
      <c r="I57" s="50">
        <v>62</v>
      </c>
      <c r="J57" s="50">
        <v>69</v>
      </c>
      <c r="K57" s="50">
        <v>66</v>
      </c>
      <c r="L57" s="50">
        <v>74.2</v>
      </c>
      <c r="M57" s="50">
        <v>63.3</v>
      </c>
      <c r="N57" s="50">
        <v>75</v>
      </c>
      <c r="O57" s="50">
        <v>72</v>
      </c>
      <c r="P57" s="50">
        <v>75.099999999999994</v>
      </c>
      <c r="Q57" s="50">
        <v>65</v>
      </c>
      <c r="R57" s="50">
        <v>63</v>
      </c>
      <c r="S57" s="50">
        <v>70.599999999999994</v>
      </c>
      <c r="T57" s="50">
        <v>67.5</v>
      </c>
      <c r="U57" s="50">
        <v>67.2</v>
      </c>
      <c r="V57" s="50">
        <v>69.099999999999994</v>
      </c>
      <c r="W57" s="50">
        <v>75.7</v>
      </c>
      <c r="X57" s="50">
        <v>62.2</v>
      </c>
      <c r="Y57" s="50">
        <v>69.3</v>
      </c>
      <c r="Z57" s="50">
        <v>69.099999999999994</v>
      </c>
      <c r="AA57" s="50">
        <v>71.8</v>
      </c>
      <c r="AB57" s="50">
        <v>66.099999999999994</v>
      </c>
      <c r="AC57" s="50">
        <v>63.6</v>
      </c>
      <c r="AD57" s="50">
        <v>59.3</v>
      </c>
      <c r="AE57" s="50">
        <v>59</v>
      </c>
      <c r="AF57" s="50">
        <v>62</v>
      </c>
      <c r="AG57" s="62"/>
      <c r="AH57" s="54">
        <f t="shared" si="2"/>
        <v>75.7</v>
      </c>
      <c r="AI57" s="55">
        <f t="shared" si="3"/>
        <v>58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152.69999999999999</v>
      </c>
      <c r="C59" s="73">
        <v>198.5</v>
      </c>
      <c r="D59" s="73">
        <v>228.3</v>
      </c>
      <c r="E59" s="73">
        <v>233</v>
      </c>
      <c r="F59" s="73">
        <v>200</v>
      </c>
      <c r="G59" s="73">
        <v>182</v>
      </c>
      <c r="H59" s="73">
        <v>255</v>
      </c>
      <c r="I59" s="73">
        <v>269</v>
      </c>
      <c r="J59" s="50">
        <v>325</v>
      </c>
      <c r="K59" s="50">
        <v>59</v>
      </c>
      <c r="L59" s="50">
        <v>60.2</v>
      </c>
      <c r="M59" s="73">
        <v>66.599999999999994</v>
      </c>
      <c r="N59" s="73">
        <v>55</v>
      </c>
      <c r="O59" s="73">
        <v>326</v>
      </c>
      <c r="P59" s="73">
        <v>329.2</v>
      </c>
      <c r="Q59" s="73">
        <v>325</v>
      </c>
      <c r="R59" s="73">
        <v>320</v>
      </c>
      <c r="S59" s="73">
        <v>344.3</v>
      </c>
      <c r="T59" s="73">
        <v>337.1</v>
      </c>
      <c r="U59" s="73">
        <v>321.60000000000002</v>
      </c>
      <c r="V59" s="73">
        <v>75</v>
      </c>
      <c r="W59" s="73">
        <v>101</v>
      </c>
      <c r="X59" s="84">
        <v>63.1</v>
      </c>
      <c r="Y59" s="84">
        <v>25.4</v>
      </c>
      <c r="Z59" s="84">
        <v>32.6</v>
      </c>
      <c r="AA59" s="84">
        <v>152</v>
      </c>
      <c r="AB59" s="73">
        <v>254</v>
      </c>
      <c r="AC59" s="73">
        <v>242</v>
      </c>
      <c r="AD59" s="73">
        <v>261</v>
      </c>
      <c r="AE59" s="73">
        <v>270</v>
      </c>
      <c r="AF59" s="73">
        <v>230</v>
      </c>
      <c r="AG59" s="85"/>
      <c r="AH59" s="54">
        <f t="shared" si="2"/>
        <v>344.3</v>
      </c>
      <c r="AI59" s="55">
        <f t="shared" si="3"/>
        <v>25.4</v>
      </c>
      <c r="AK59" s="56"/>
    </row>
    <row r="60" spans="1:37" x14ac:dyDescent="0.25">
      <c r="A60" s="66" t="s">
        <v>68</v>
      </c>
      <c r="B60" s="58">
        <v>37</v>
      </c>
      <c r="C60" s="58">
        <v>35.299999999999997</v>
      </c>
      <c r="D60" s="58">
        <v>35.1</v>
      </c>
      <c r="E60" s="58">
        <v>34.700000000000003</v>
      </c>
      <c r="F60" s="58">
        <v>31.9</v>
      </c>
      <c r="G60" s="58">
        <v>32.5</v>
      </c>
      <c r="H60" s="58">
        <v>32.5</v>
      </c>
      <c r="I60" s="58">
        <v>36.799999999999997</v>
      </c>
      <c r="J60" s="58">
        <v>39.9</v>
      </c>
      <c r="K60" s="58">
        <v>42.2</v>
      </c>
      <c r="L60" s="58">
        <v>43.2</v>
      </c>
      <c r="M60" s="73">
        <v>43.4</v>
      </c>
      <c r="N60" s="73">
        <v>45</v>
      </c>
      <c r="O60" s="73">
        <v>44.3</v>
      </c>
      <c r="P60" s="73">
        <v>47</v>
      </c>
      <c r="Q60" s="73">
        <v>44</v>
      </c>
      <c r="R60" s="73">
        <v>42</v>
      </c>
      <c r="S60" s="73">
        <v>34.700000000000003</v>
      </c>
      <c r="T60" s="73">
        <v>39.200000000000003</v>
      </c>
      <c r="U60" s="73">
        <v>38.200000000000003</v>
      </c>
      <c r="V60" s="73">
        <v>38.9</v>
      </c>
      <c r="W60" s="73">
        <v>38</v>
      </c>
      <c r="X60" s="73">
        <v>42.2</v>
      </c>
      <c r="Y60" s="73">
        <v>43.2</v>
      </c>
      <c r="Z60" s="73">
        <v>42.4</v>
      </c>
      <c r="AA60" s="73">
        <v>41.9</v>
      </c>
      <c r="AB60" s="73">
        <v>39.700000000000003</v>
      </c>
      <c r="AC60" s="73">
        <v>38.9</v>
      </c>
      <c r="AD60" s="73">
        <v>37.6</v>
      </c>
      <c r="AE60" s="73">
        <v>0</v>
      </c>
      <c r="AF60" s="58">
        <v>0</v>
      </c>
      <c r="AG60" s="85"/>
      <c r="AH60" s="54">
        <f t="shared" si="2"/>
        <v>47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70.7</v>
      </c>
      <c r="C61" s="58">
        <v>65.099999999999994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0</v>
      </c>
      <c r="N61" s="50">
        <v>78</v>
      </c>
      <c r="O61" s="50">
        <v>85</v>
      </c>
      <c r="P61" s="50">
        <v>81.5</v>
      </c>
      <c r="Q61" s="50">
        <v>50</v>
      </c>
      <c r="R61" s="50">
        <v>70</v>
      </c>
      <c r="S61" s="50">
        <v>64.599999999999994</v>
      </c>
      <c r="T61" s="50">
        <v>62.5</v>
      </c>
      <c r="U61" s="50">
        <v>71.2</v>
      </c>
      <c r="V61" s="50">
        <v>80.5</v>
      </c>
      <c r="W61" s="50">
        <v>68.8</v>
      </c>
      <c r="X61" s="50">
        <v>81.5</v>
      </c>
      <c r="Y61" s="50">
        <v>64.900000000000006</v>
      </c>
      <c r="Z61" s="50">
        <v>63.9</v>
      </c>
      <c r="AA61" s="50">
        <v>64.900000000000006</v>
      </c>
      <c r="AB61" s="50">
        <v>67.900000000000006</v>
      </c>
      <c r="AC61" s="50">
        <v>61.5</v>
      </c>
      <c r="AD61" s="50">
        <v>0</v>
      </c>
      <c r="AE61" s="50">
        <v>0</v>
      </c>
      <c r="AF61" s="50">
        <v>0</v>
      </c>
      <c r="AG61" s="85"/>
      <c r="AH61" s="54">
        <f t="shared" si="2"/>
        <v>85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10</v>
      </c>
      <c r="Y66" s="63">
        <v>10</v>
      </c>
      <c r="Z66" s="63">
        <v>10</v>
      </c>
      <c r="AA66" s="63">
        <v>10</v>
      </c>
      <c r="AB66" s="63">
        <v>10</v>
      </c>
      <c r="AC66" s="63">
        <v>10</v>
      </c>
      <c r="AD66" s="63">
        <v>10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321.5</v>
      </c>
      <c r="C68" s="72">
        <f>SUM(C57:C67)</f>
        <v>356.9</v>
      </c>
      <c r="D68" s="72">
        <f t="shared" ref="D68:AF68" si="9">SUM(D57:D67)</f>
        <v>329.40000000000003</v>
      </c>
      <c r="E68" s="72">
        <f t="shared" si="9"/>
        <v>327.7</v>
      </c>
      <c r="F68" s="72">
        <f t="shared" si="9"/>
        <v>293.89999999999998</v>
      </c>
      <c r="G68" s="72">
        <f t="shared" si="9"/>
        <v>280.5</v>
      </c>
      <c r="H68" s="72">
        <f t="shared" si="9"/>
        <v>352.5</v>
      </c>
      <c r="I68" s="72">
        <f t="shared" si="9"/>
        <v>367.8</v>
      </c>
      <c r="J68" s="72">
        <f t="shared" si="9"/>
        <v>433.9</v>
      </c>
      <c r="K68" s="72">
        <f t="shared" si="9"/>
        <v>167.2</v>
      </c>
      <c r="L68" s="72">
        <f t="shared" si="9"/>
        <v>177.60000000000002</v>
      </c>
      <c r="M68" s="72">
        <f t="shared" si="9"/>
        <v>173.29999999999998</v>
      </c>
      <c r="N68" s="72">
        <f t="shared" si="9"/>
        <v>253</v>
      </c>
      <c r="O68" s="72">
        <f t="shared" si="9"/>
        <v>527.29999999999995</v>
      </c>
      <c r="P68" s="72">
        <f t="shared" si="9"/>
        <v>532.79999999999995</v>
      </c>
      <c r="Q68" s="72">
        <f t="shared" si="9"/>
        <v>484</v>
      </c>
      <c r="R68" s="72">
        <f t="shared" si="9"/>
        <v>495</v>
      </c>
      <c r="S68" s="72">
        <f t="shared" si="9"/>
        <v>514.19999999999993</v>
      </c>
      <c r="T68" s="72">
        <f t="shared" si="9"/>
        <v>506.3</v>
      </c>
      <c r="U68" s="72">
        <f t="shared" si="9"/>
        <v>498.2</v>
      </c>
      <c r="V68" s="72">
        <f t="shared" si="9"/>
        <v>263.5</v>
      </c>
      <c r="W68" s="72">
        <f t="shared" si="9"/>
        <v>283.5</v>
      </c>
      <c r="X68" s="72">
        <f t="shared" si="9"/>
        <v>259</v>
      </c>
      <c r="Y68" s="72">
        <f t="shared" si="9"/>
        <v>212.79999999999998</v>
      </c>
      <c r="Z68" s="72">
        <f t="shared" si="9"/>
        <v>218</v>
      </c>
      <c r="AA68" s="72">
        <f t="shared" si="9"/>
        <v>340.6</v>
      </c>
      <c r="AB68" s="72">
        <f t="shared" si="9"/>
        <v>437.70000000000005</v>
      </c>
      <c r="AC68" s="72">
        <f t="shared" si="9"/>
        <v>416</v>
      </c>
      <c r="AD68" s="72">
        <f t="shared" si="9"/>
        <v>367.90000000000003</v>
      </c>
      <c r="AE68" s="72">
        <f t="shared" si="9"/>
        <v>329</v>
      </c>
      <c r="AF68" s="72">
        <f t="shared" si="9"/>
        <v>292</v>
      </c>
      <c r="AG68" s="78">
        <f>SUM(AG57:AG67)</f>
        <v>0</v>
      </c>
      <c r="AH68" s="54">
        <f t="shared" si="2"/>
        <v>532.79999999999995</v>
      </c>
      <c r="AI68" s="55">
        <f t="shared" si="3"/>
        <v>167.2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977.54</v>
      </c>
      <c r="C73" s="89">
        <f>C68+C56+C52+C38+C72</f>
        <v>930.74</v>
      </c>
      <c r="D73" s="89">
        <f t="shared" ref="D73:AG73" si="11">D68+D56+D52+D38+D72</f>
        <v>903.44</v>
      </c>
      <c r="E73" s="89">
        <f t="shared" si="11"/>
        <v>901.1400000000001</v>
      </c>
      <c r="F73" s="89">
        <f t="shared" si="11"/>
        <v>907.04</v>
      </c>
      <c r="G73" s="89">
        <f t="shared" si="11"/>
        <v>947.64</v>
      </c>
      <c r="H73" s="89">
        <f t="shared" si="11"/>
        <v>1030.6399999999999</v>
      </c>
      <c r="I73" s="89">
        <f t="shared" si="11"/>
        <v>1077.26</v>
      </c>
      <c r="J73" s="89">
        <f t="shared" si="11"/>
        <v>1253.44</v>
      </c>
      <c r="K73" s="89">
        <f t="shared" si="11"/>
        <v>1408.8400000000001</v>
      </c>
      <c r="L73" s="89">
        <f t="shared" si="11"/>
        <v>1455.04</v>
      </c>
      <c r="M73" s="89">
        <f t="shared" si="11"/>
        <v>1517.74</v>
      </c>
      <c r="N73" s="89">
        <f t="shared" si="11"/>
        <v>1518.54</v>
      </c>
      <c r="O73" s="89">
        <f t="shared" si="11"/>
        <v>1495.54</v>
      </c>
      <c r="P73" s="89">
        <f t="shared" si="11"/>
        <v>1406.04</v>
      </c>
      <c r="Q73" s="89">
        <f t="shared" si="11"/>
        <v>1291.44</v>
      </c>
      <c r="R73" s="89">
        <f t="shared" si="11"/>
        <v>1249.74</v>
      </c>
      <c r="S73" s="89">
        <f t="shared" si="11"/>
        <v>1258.6399999999999</v>
      </c>
      <c r="T73" s="89">
        <f t="shared" si="11"/>
        <v>1211.1400000000001</v>
      </c>
      <c r="U73" s="89">
        <f t="shared" si="11"/>
        <v>1211.24</v>
      </c>
      <c r="V73" s="89">
        <f t="shared" si="11"/>
        <v>1278.24</v>
      </c>
      <c r="W73" s="89">
        <f t="shared" si="11"/>
        <v>1353.44</v>
      </c>
      <c r="X73" s="89">
        <f t="shared" si="11"/>
        <v>1559.3400000000001</v>
      </c>
      <c r="Y73" s="89">
        <f t="shared" si="11"/>
        <v>1575.04</v>
      </c>
      <c r="Z73" s="89">
        <f t="shared" si="11"/>
        <v>1541.44</v>
      </c>
      <c r="AA73" s="89">
        <f t="shared" si="11"/>
        <v>1478.04</v>
      </c>
      <c r="AB73" s="89">
        <f t="shared" si="11"/>
        <v>1413.8400000000001</v>
      </c>
      <c r="AC73" s="89">
        <f t="shared" si="11"/>
        <v>1386.04</v>
      </c>
      <c r="AD73" s="89">
        <f t="shared" si="11"/>
        <v>1320.04</v>
      </c>
      <c r="AE73" s="89">
        <f t="shared" si="11"/>
        <v>1173.94</v>
      </c>
      <c r="AF73" s="89">
        <f t="shared" si="11"/>
        <v>1030.6399999999999</v>
      </c>
      <c r="AG73" s="89">
        <f t="shared" si="11"/>
        <v>2144.14</v>
      </c>
      <c r="AH73" s="54">
        <f t="shared" si="2"/>
        <v>1575.04</v>
      </c>
      <c r="AI73" s="55">
        <f t="shared" si="3"/>
        <v>901.1400000000001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977.54</v>
      </c>
      <c r="C75" s="89">
        <f>C73+C74</f>
        <v>930.74</v>
      </c>
      <c r="D75" s="89">
        <f t="shared" ref="D75:AF75" si="12">D72+D68+D56+D52+D38+D74</f>
        <v>903.44</v>
      </c>
      <c r="E75" s="89">
        <f t="shared" si="12"/>
        <v>901.1400000000001</v>
      </c>
      <c r="F75" s="89">
        <f t="shared" si="12"/>
        <v>907.04</v>
      </c>
      <c r="G75" s="89">
        <f t="shared" si="12"/>
        <v>947.64</v>
      </c>
      <c r="H75" s="89">
        <f t="shared" si="12"/>
        <v>1030.6399999999999</v>
      </c>
      <c r="I75" s="89">
        <f t="shared" si="12"/>
        <v>1077.26</v>
      </c>
      <c r="J75" s="89">
        <f t="shared" si="12"/>
        <v>1253.44</v>
      </c>
      <c r="K75" s="89">
        <f t="shared" si="12"/>
        <v>1408.8400000000001</v>
      </c>
      <c r="L75" s="89">
        <f t="shared" si="12"/>
        <v>1455.04</v>
      </c>
      <c r="M75" s="89">
        <f t="shared" si="12"/>
        <v>1517.74</v>
      </c>
      <c r="N75" s="89">
        <f t="shared" si="12"/>
        <v>1518.54</v>
      </c>
      <c r="O75" s="89">
        <f t="shared" si="12"/>
        <v>1495.54</v>
      </c>
      <c r="P75" s="89">
        <f t="shared" si="12"/>
        <v>1406.04</v>
      </c>
      <c r="Q75" s="89">
        <f t="shared" si="12"/>
        <v>1291.44</v>
      </c>
      <c r="R75" s="89">
        <f t="shared" si="12"/>
        <v>1249.74</v>
      </c>
      <c r="S75" s="89">
        <f t="shared" si="12"/>
        <v>1258.6399999999999</v>
      </c>
      <c r="T75" s="89">
        <f t="shared" si="12"/>
        <v>1211.1400000000001</v>
      </c>
      <c r="U75" s="89">
        <f t="shared" si="12"/>
        <v>1211.24</v>
      </c>
      <c r="V75" s="89">
        <f t="shared" si="12"/>
        <v>1278.24</v>
      </c>
      <c r="W75" s="89">
        <f t="shared" si="12"/>
        <v>1353.44</v>
      </c>
      <c r="X75" s="89">
        <f t="shared" si="12"/>
        <v>1559.3400000000001</v>
      </c>
      <c r="Y75" s="89">
        <f t="shared" si="12"/>
        <v>1575.04</v>
      </c>
      <c r="Z75" s="89">
        <f t="shared" si="12"/>
        <v>1541.44</v>
      </c>
      <c r="AA75" s="89">
        <f t="shared" si="12"/>
        <v>1478.04</v>
      </c>
      <c r="AB75" s="89">
        <f t="shared" si="12"/>
        <v>1413.8400000000001</v>
      </c>
      <c r="AC75" s="89">
        <f t="shared" si="12"/>
        <v>1386.04</v>
      </c>
      <c r="AD75" s="89">
        <f t="shared" si="12"/>
        <v>1320.04</v>
      </c>
      <c r="AE75" s="89">
        <f t="shared" si="12"/>
        <v>1173.94</v>
      </c>
      <c r="AF75" s="89">
        <f t="shared" si="12"/>
        <v>1030.6399999999999</v>
      </c>
      <c r="AG75" s="78">
        <f>AG72+AG68+AG56+AG52+AG38+AG74</f>
        <v>2144.14</v>
      </c>
      <c r="AH75" s="54">
        <f t="shared" si="2"/>
        <v>1575.04</v>
      </c>
      <c r="AI75" s="55">
        <f t="shared" si="3"/>
        <v>901.1400000000001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>
        <f t="shared" si="13"/>
        <v>0</v>
      </c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f t="shared" si="16"/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f t="shared" si="17"/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f t="shared" si="18"/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f t="shared" si="19"/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f t="shared" si="20"/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1955.08</v>
      </c>
      <c r="C83" s="72">
        <f t="shared" ref="C83:AG83" si="21">SUM(C70:C82)</f>
        <v>1861.48</v>
      </c>
      <c r="D83" s="72">
        <f t="shared" si="21"/>
        <v>1806.88</v>
      </c>
      <c r="E83" s="72">
        <f t="shared" si="21"/>
        <v>1802.2800000000002</v>
      </c>
      <c r="F83" s="72">
        <f t="shared" si="21"/>
        <v>1814.08</v>
      </c>
      <c r="G83" s="72">
        <f t="shared" si="21"/>
        <v>1895.28</v>
      </c>
      <c r="H83" s="72">
        <f t="shared" si="21"/>
        <v>2061.2799999999997</v>
      </c>
      <c r="I83" s="72">
        <f t="shared" si="21"/>
        <v>2154.52</v>
      </c>
      <c r="J83" s="72">
        <f t="shared" si="21"/>
        <v>2506.88</v>
      </c>
      <c r="K83" s="72">
        <f t="shared" si="21"/>
        <v>2817.6800000000003</v>
      </c>
      <c r="L83" s="72">
        <f t="shared" si="21"/>
        <v>2910.08</v>
      </c>
      <c r="M83" s="72">
        <f t="shared" si="21"/>
        <v>3035.48</v>
      </c>
      <c r="N83" s="72">
        <f t="shared" si="21"/>
        <v>3037.08</v>
      </c>
      <c r="O83" s="72">
        <f t="shared" si="21"/>
        <v>2991.08</v>
      </c>
      <c r="P83" s="72">
        <f t="shared" si="21"/>
        <v>2812.08</v>
      </c>
      <c r="Q83" s="72">
        <f t="shared" si="21"/>
        <v>2582.88</v>
      </c>
      <c r="R83" s="72">
        <f t="shared" si="21"/>
        <v>2499.48</v>
      </c>
      <c r="S83" s="72">
        <f t="shared" si="21"/>
        <v>2517.2799999999997</v>
      </c>
      <c r="T83" s="72">
        <f t="shared" si="21"/>
        <v>2422.2800000000002</v>
      </c>
      <c r="U83" s="72">
        <f t="shared" si="21"/>
        <v>2422.48</v>
      </c>
      <c r="V83" s="72">
        <f t="shared" si="21"/>
        <v>2556.48</v>
      </c>
      <c r="W83" s="72">
        <f t="shared" si="21"/>
        <v>2706.88</v>
      </c>
      <c r="X83" s="72">
        <f t="shared" si="21"/>
        <v>3118.6800000000003</v>
      </c>
      <c r="Y83" s="72">
        <f t="shared" si="21"/>
        <v>3150.08</v>
      </c>
      <c r="Z83" s="72">
        <f t="shared" si="21"/>
        <v>3082.88</v>
      </c>
      <c r="AA83" s="72">
        <f t="shared" si="21"/>
        <v>2956.08</v>
      </c>
      <c r="AB83" s="72">
        <f t="shared" si="21"/>
        <v>2827.6800000000003</v>
      </c>
      <c r="AC83" s="72">
        <f t="shared" si="21"/>
        <v>2772.08</v>
      </c>
      <c r="AD83" s="72">
        <f t="shared" si="21"/>
        <v>2640.08</v>
      </c>
      <c r="AE83" s="72">
        <f t="shared" si="21"/>
        <v>2347.88</v>
      </c>
      <c r="AF83" s="72">
        <f t="shared" si="21"/>
        <v>2061.2799999999997</v>
      </c>
      <c r="AG83" s="78">
        <f t="shared" si="21"/>
        <v>4360.08</v>
      </c>
      <c r="AH83" s="54">
        <f t="shared" si="14"/>
        <v>3150.08</v>
      </c>
      <c r="AI83" s="55">
        <f t="shared" si="15"/>
        <v>1802.2800000000002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50.037999999999997</v>
      </c>
      <c r="C84" s="95">
        <v>50.034999999999997</v>
      </c>
      <c r="D84" s="95">
        <v>49.997999999999998</v>
      </c>
      <c r="E84" s="95">
        <v>49.962000000000003</v>
      </c>
      <c r="F84" s="95">
        <v>50.040999999999997</v>
      </c>
      <c r="G84" s="95">
        <v>49.999000000000002</v>
      </c>
      <c r="H84" s="95">
        <v>50</v>
      </c>
      <c r="I84" s="95">
        <v>49.899000000000001</v>
      </c>
      <c r="J84" s="95">
        <v>50.024000000000001</v>
      </c>
      <c r="K84" s="95">
        <v>50.122999999999998</v>
      </c>
      <c r="L84" s="95">
        <v>49.959000000000003</v>
      </c>
      <c r="M84" s="95">
        <v>50.045000000000002</v>
      </c>
      <c r="N84" s="95">
        <v>49.872999999999998</v>
      </c>
      <c r="O84" s="95">
        <v>50</v>
      </c>
      <c r="P84" s="95">
        <v>49.99</v>
      </c>
      <c r="Q84" s="95">
        <v>50.1</v>
      </c>
      <c r="R84" s="95">
        <v>49.97</v>
      </c>
      <c r="S84" s="95">
        <v>50.136000000000003</v>
      </c>
      <c r="T84" s="95">
        <v>49.896999999999998</v>
      </c>
      <c r="U84" s="95">
        <v>49.881</v>
      </c>
      <c r="V84" s="95">
        <v>50.063000000000002</v>
      </c>
      <c r="W84" s="95">
        <v>50.107999999999997</v>
      </c>
      <c r="X84" s="95">
        <v>50.085999999999999</v>
      </c>
      <c r="Y84" s="95">
        <v>49.902000000000001</v>
      </c>
      <c r="Z84" s="95">
        <v>49.966999999999999</v>
      </c>
      <c r="AA84" s="95">
        <v>49.904000000000003</v>
      </c>
      <c r="AB84" s="95">
        <v>49.999000000000002</v>
      </c>
      <c r="AC84" s="95">
        <v>50.017000000000003</v>
      </c>
      <c r="AD84" s="95">
        <v>49.932000000000002</v>
      </c>
      <c r="AE84" s="95">
        <v>49.98</v>
      </c>
      <c r="AF84" s="95">
        <v>49.99</v>
      </c>
      <c r="AG84" s="96"/>
      <c r="AH84" s="54">
        <f t="shared" si="14"/>
        <v>50.136000000000003</v>
      </c>
      <c r="AI84" s="55">
        <f t="shared" si="15"/>
        <v>49.872999999999998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128.80000000000001</v>
      </c>
      <c r="C85" s="73">
        <v>129.19999999999999</v>
      </c>
      <c r="D85" s="73">
        <v>126.6</v>
      </c>
      <c r="E85" s="73">
        <v>126.1</v>
      </c>
      <c r="F85" s="73">
        <v>126.7</v>
      </c>
      <c r="G85" s="73">
        <v>126.6</v>
      </c>
      <c r="H85" s="73">
        <v>126</v>
      </c>
      <c r="I85" s="73">
        <v>124.5</v>
      </c>
      <c r="J85" s="73">
        <v>122.9</v>
      </c>
      <c r="K85" s="73">
        <v>121.8</v>
      </c>
      <c r="L85" s="73">
        <v>121.8</v>
      </c>
      <c r="M85" s="73">
        <v>122</v>
      </c>
      <c r="N85" s="73">
        <v>122</v>
      </c>
      <c r="O85" s="73">
        <v>122.6</v>
      </c>
      <c r="P85" s="73">
        <v>123.2</v>
      </c>
      <c r="Q85" s="73">
        <v>123.5</v>
      </c>
      <c r="R85" s="73">
        <v>122.7</v>
      </c>
      <c r="S85" s="73">
        <v>123.3</v>
      </c>
      <c r="T85" s="73">
        <v>124.5</v>
      </c>
      <c r="U85" s="98">
        <v>124.8</v>
      </c>
      <c r="V85" s="98">
        <v>125.5</v>
      </c>
      <c r="W85" s="98">
        <v>124.8</v>
      </c>
      <c r="X85" s="98">
        <v>124.5</v>
      </c>
      <c r="Y85" s="98">
        <v>124.4</v>
      </c>
      <c r="Z85" s="98">
        <v>125.6</v>
      </c>
      <c r="AA85" s="98">
        <v>126.1</v>
      </c>
      <c r="AB85" s="73">
        <v>127.2</v>
      </c>
      <c r="AC85" s="73">
        <v>126.7</v>
      </c>
      <c r="AD85" s="73">
        <v>125.9</v>
      </c>
      <c r="AE85" s="73">
        <v>124.5</v>
      </c>
      <c r="AF85" s="73">
        <v>126</v>
      </c>
      <c r="AG85" s="99"/>
      <c r="AH85" s="54">
        <f t="shared" si="14"/>
        <v>129.19999999999999</v>
      </c>
      <c r="AI85" s="55">
        <f t="shared" si="15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131.69999999999999</v>
      </c>
      <c r="C86" s="73">
        <v>132.30000000000001</v>
      </c>
      <c r="D86" s="73">
        <v>130.6</v>
      </c>
      <c r="E86" s="73">
        <v>130.30000000000001</v>
      </c>
      <c r="F86" s="73">
        <v>130.9</v>
      </c>
      <c r="G86" s="73">
        <v>130.6</v>
      </c>
      <c r="H86" s="73">
        <v>129.6</v>
      </c>
      <c r="I86" s="73">
        <v>128.5</v>
      </c>
      <c r="J86" s="73">
        <v>125.8</v>
      </c>
      <c r="K86" s="73">
        <v>125.3</v>
      </c>
      <c r="L86" s="73">
        <v>125.9</v>
      </c>
      <c r="M86" s="73">
        <v>125.1</v>
      </c>
      <c r="N86" s="73">
        <v>124.3</v>
      </c>
      <c r="O86" s="73">
        <v>124.5</v>
      </c>
      <c r="P86" s="73">
        <v>124.9</v>
      </c>
      <c r="Q86" s="73">
        <v>125.3</v>
      </c>
      <c r="R86" s="73">
        <v>124.1</v>
      </c>
      <c r="S86" s="73">
        <v>125.5</v>
      </c>
      <c r="T86" s="73">
        <v>126.5</v>
      </c>
      <c r="U86" s="98">
        <v>127.2</v>
      </c>
      <c r="V86" s="98">
        <v>127.5</v>
      </c>
      <c r="W86" s="98">
        <v>126.7</v>
      </c>
      <c r="X86" s="98">
        <v>126.5</v>
      </c>
      <c r="Y86" s="98">
        <v>126.3</v>
      </c>
      <c r="Z86" s="98">
        <v>127.3</v>
      </c>
      <c r="AA86" s="98">
        <v>127.7</v>
      </c>
      <c r="AB86" s="73">
        <v>128.69999999999999</v>
      </c>
      <c r="AC86" s="73">
        <v>128.69999999999999</v>
      </c>
      <c r="AD86" s="73">
        <v>128.5</v>
      </c>
      <c r="AE86" s="73">
        <v>128.5</v>
      </c>
      <c r="AF86" s="73">
        <v>130</v>
      </c>
      <c r="AG86" s="99"/>
      <c r="AH86" s="54">
        <f t="shared" si="14"/>
        <v>132.30000000000001</v>
      </c>
      <c r="AI86" s="55">
        <f t="shared" si="15"/>
        <v>124.1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128.5</v>
      </c>
      <c r="C87" s="73">
        <v>129</v>
      </c>
      <c r="D87" s="73">
        <v>130.1</v>
      </c>
      <c r="E87" s="73">
        <v>131.80000000000001</v>
      </c>
      <c r="F87" s="73">
        <v>132.9</v>
      </c>
      <c r="G87" s="73">
        <v>129.6</v>
      </c>
      <c r="H87" s="73">
        <v>129</v>
      </c>
      <c r="I87" s="73">
        <v>129.30000000000001</v>
      </c>
      <c r="J87" s="73">
        <v>124.9</v>
      </c>
      <c r="K87" s="73">
        <v>126.5</v>
      </c>
      <c r="L87" s="73">
        <v>125.4</v>
      </c>
      <c r="M87" s="73">
        <v>127.5</v>
      </c>
      <c r="N87" s="73">
        <v>126.6</v>
      </c>
      <c r="O87" s="73">
        <v>127.6</v>
      </c>
      <c r="P87" s="73">
        <v>129.5</v>
      </c>
      <c r="Q87" s="73">
        <v>130.6</v>
      </c>
      <c r="R87" s="73">
        <v>130.19999999999999</v>
      </c>
      <c r="S87" s="73">
        <v>129.5</v>
      </c>
      <c r="T87" s="73">
        <v>128.5</v>
      </c>
      <c r="U87" s="73">
        <v>130.19999999999999</v>
      </c>
      <c r="V87" s="73">
        <v>130.5</v>
      </c>
      <c r="W87" s="73">
        <v>127.2</v>
      </c>
      <c r="X87" s="98">
        <v>127</v>
      </c>
      <c r="Y87" s="98">
        <v>128.6</v>
      </c>
      <c r="Z87" s="98">
        <v>130</v>
      </c>
      <c r="AA87" s="98">
        <v>129.5</v>
      </c>
      <c r="AB87" s="73">
        <v>129.9</v>
      </c>
      <c r="AC87" s="73">
        <v>131</v>
      </c>
      <c r="AD87" s="73">
        <v>129.6</v>
      </c>
      <c r="AE87" s="73">
        <v>131</v>
      </c>
      <c r="AF87" s="73">
        <v>130</v>
      </c>
      <c r="AG87" s="99"/>
      <c r="AH87" s="54">
        <f t="shared" si="14"/>
        <v>132.9</v>
      </c>
      <c r="AI87" s="55">
        <f t="shared" si="15"/>
        <v>124.9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130.4</v>
      </c>
      <c r="C88" s="73">
        <v>131.19999999999999</v>
      </c>
      <c r="D88" s="73">
        <v>132</v>
      </c>
      <c r="E88" s="73">
        <v>132</v>
      </c>
      <c r="F88" s="73">
        <v>134</v>
      </c>
      <c r="G88" s="73">
        <v>131.30000000000001</v>
      </c>
      <c r="H88" s="73">
        <v>130</v>
      </c>
      <c r="I88" s="73">
        <v>132</v>
      </c>
      <c r="J88" s="73">
        <v>127.9</v>
      </c>
      <c r="K88" s="73">
        <v>129.5</v>
      </c>
      <c r="L88" s="73">
        <v>129.9</v>
      </c>
      <c r="M88" s="73">
        <v>131.30000000000001</v>
      </c>
      <c r="N88" s="73">
        <v>130.69999999999999</v>
      </c>
      <c r="O88" s="73">
        <v>131.69999999999999</v>
      </c>
      <c r="P88" s="73">
        <v>132.6</v>
      </c>
      <c r="Q88" s="73">
        <v>132.9</v>
      </c>
      <c r="R88" s="73">
        <v>133.30000000000001</v>
      </c>
      <c r="S88" s="73">
        <v>132.30000000000001</v>
      </c>
      <c r="T88" s="73">
        <v>131.4</v>
      </c>
      <c r="U88" s="73">
        <v>132.5</v>
      </c>
      <c r="V88" s="73">
        <v>133.6</v>
      </c>
      <c r="W88" s="73">
        <v>130</v>
      </c>
      <c r="X88" s="98">
        <v>128.80000000000001</v>
      </c>
      <c r="Y88" s="98">
        <v>133.30000000000001</v>
      </c>
      <c r="Z88" s="98">
        <v>135</v>
      </c>
      <c r="AA88" s="98">
        <v>132.69999999999999</v>
      </c>
      <c r="AB88" s="73">
        <v>132.1</v>
      </c>
      <c r="AC88" s="73">
        <v>132.9</v>
      </c>
      <c r="AD88" s="73">
        <v>132.19999999999999</v>
      </c>
      <c r="AE88" s="73">
        <v>133.6</v>
      </c>
      <c r="AF88" s="73">
        <v>133</v>
      </c>
      <c r="AG88" s="99"/>
      <c r="AH88" s="54">
        <f t="shared" si="14"/>
        <v>135</v>
      </c>
      <c r="AI88" s="55">
        <f t="shared" si="15"/>
        <v>127.9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132</v>
      </c>
      <c r="C89" s="101">
        <v>132.6</v>
      </c>
      <c r="D89" s="101">
        <v>131</v>
      </c>
      <c r="E89" s="101">
        <v>129</v>
      </c>
      <c r="F89" s="101">
        <v>130.9</v>
      </c>
      <c r="G89" s="101">
        <v>134.9</v>
      </c>
      <c r="H89" s="101">
        <v>133</v>
      </c>
      <c r="I89" s="101">
        <v>134.69999999999999</v>
      </c>
      <c r="J89" s="101">
        <v>133.80000000000001</v>
      </c>
      <c r="K89" s="101">
        <v>132.80000000000001</v>
      </c>
      <c r="L89" s="101">
        <v>132.30000000000001</v>
      </c>
      <c r="M89" s="101">
        <v>130.80000000000001</v>
      </c>
      <c r="N89" s="101">
        <v>131.69999999999999</v>
      </c>
      <c r="O89" s="101">
        <v>132</v>
      </c>
      <c r="P89" s="101">
        <v>133.6</v>
      </c>
      <c r="Q89" s="101">
        <v>133.80000000000001</v>
      </c>
      <c r="R89" s="101">
        <v>133.9</v>
      </c>
      <c r="S89" s="101">
        <v>133.9</v>
      </c>
      <c r="T89" s="101">
        <v>133.1</v>
      </c>
      <c r="U89" s="101">
        <v>133.6</v>
      </c>
      <c r="V89" s="101">
        <v>136</v>
      </c>
      <c r="W89" s="101">
        <v>131.69999999999999</v>
      </c>
      <c r="X89" s="98">
        <v>135.4</v>
      </c>
      <c r="Y89" s="98">
        <v>135.5</v>
      </c>
      <c r="Z89" s="98">
        <v>136.30000000000001</v>
      </c>
      <c r="AA89" s="98">
        <v>132.80000000000001</v>
      </c>
      <c r="AB89" s="101">
        <v>133.6</v>
      </c>
      <c r="AC89" s="101">
        <v>133.19999999999999</v>
      </c>
      <c r="AD89" s="101">
        <v>133.9</v>
      </c>
      <c r="AE89" s="101">
        <v>131</v>
      </c>
      <c r="AF89" s="101">
        <v>133</v>
      </c>
      <c r="AG89" s="102"/>
      <c r="AH89" s="54">
        <f t="shared" si="14"/>
        <v>136.30000000000001</v>
      </c>
      <c r="AI89" s="55">
        <f t="shared" si="15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137</v>
      </c>
      <c r="C90" s="73">
        <v>137.5</v>
      </c>
      <c r="D90" s="73">
        <v>136.6</v>
      </c>
      <c r="E90" s="73">
        <v>136.30000000000001</v>
      </c>
      <c r="F90" s="73">
        <v>137.4</v>
      </c>
      <c r="G90" s="73">
        <v>136.6</v>
      </c>
      <c r="H90" s="73">
        <v>136</v>
      </c>
      <c r="I90" s="73">
        <v>134.6</v>
      </c>
      <c r="J90" s="73">
        <v>131</v>
      </c>
      <c r="K90" s="73">
        <v>132.4</v>
      </c>
      <c r="L90" s="73">
        <v>128.9</v>
      </c>
      <c r="M90" s="73">
        <v>130.4</v>
      </c>
      <c r="N90" s="73">
        <v>126.7</v>
      </c>
      <c r="O90" s="73">
        <v>132</v>
      </c>
      <c r="P90" s="73">
        <v>134.9</v>
      </c>
      <c r="Q90" s="73">
        <v>133.9</v>
      </c>
      <c r="R90" s="73">
        <v>136.19999999999999</v>
      </c>
      <c r="S90" s="73">
        <v>133.80000000000001</v>
      </c>
      <c r="T90" s="73">
        <v>134.69999999999999</v>
      </c>
      <c r="U90" s="73">
        <v>134.30000000000001</v>
      </c>
      <c r="V90" s="73">
        <v>134.80000000000001</v>
      </c>
      <c r="W90" s="73">
        <v>134</v>
      </c>
      <c r="X90" s="98">
        <v>131.19999999999999</v>
      </c>
      <c r="Y90" s="98">
        <v>128.80000000000001</v>
      </c>
      <c r="Z90" s="98">
        <v>129.6</v>
      </c>
      <c r="AA90" s="98">
        <v>131.30000000000001</v>
      </c>
      <c r="AB90" s="73">
        <v>131.69999999999999</v>
      </c>
      <c r="AC90" s="73">
        <v>132.4</v>
      </c>
      <c r="AD90" s="73">
        <v>133.6</v>
      </c>
      <c r="AE90" s="73">
        <v>135</v>
      </c>
      <c r="AF90" s="73">
        <v>136</v>
      </c>
      <c r="AG90" s="99"/>
      <c r="AH90" s="54">
        <f t="shared" si="14"/>
        <v>137.5</v>
      </c>
      <c r="AI90" s="55">
        <f t="shared" si="15"/>
        <v>126.7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>
        <v>66</v>
      </c>
      <c r="C91" s="103">
        <v>66.2</v>
      </c>
      <c r="D91" s="103">
        <v>65.5</v>
      </c>
      <c r="E91" s="103">
        <v>65.400000000000006</v>
      </c>
      <c r="F91" s="103">
        <v>65.7</v>
      </c>
      <c r="G91" s="103">
        <v>65.5</v>
      </c>
      <c r="H91" s="103">
        <v>65</v>
      </c>
      <c r="I91" s="103">
        <v>64.599999999999994</v>
      </c>
      <c r="J91" s="103">
        <v>63.4</v>
      </c>
      <c r="K91" s="103">
        <v>63.5</v>
      </c>
      <c r="L91" s="103">
        <v>63.9</v>
      </c>
      <c r="M91" s="103">
        <v>63</v>
      </c>
      <c r="N91" s="103">
        <v>62.5</v>
      </c>
      <c r="O91" s="103">
        <v>62.9</v>
      </c>
      <c r="P91" s="103">
        <v>63.3</v>
      </c>
      <c r="Q91" s="103">
        <v>63.4</v>
      </c>
      <c r="R91" s="103">
        <v>62.5</v>
      </c>
      <c r="S91" s="103">
        <v>63.3</v>
      </c>
      <c r="T91" s="103">
        <v>63.7</v>
      </c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4"/>
      <c r="AH91" s="54">
        <f t="shared" si="14"/>
        <v>66.2</v>
      </c>
      <c r="AI91" s="55">
        <f t="shared" si="15"/>
        <v>62.5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208.84</v>
      </c>
      <c r="C93" s="110">
        <f>SUM(C15,C18,C21:C22,C42,C44:C45,C47,C49,C94:C97,C102,C108,C114,C123,C125,C137,C144,C147:C148,C155,C157,C159,C163:C165,C167:C169,C174,C180:C181,C183:C185,C193,C198)</f>
        <v>186.14</v>
      </c>
      <c r="D93" s="110">
        <f t="shared" ref="D93:AF93" si="22">SUM(D15,D18,D21:D22,D42,D44:D45,D47,D49,D94:D97,D102,D108,D114,D123,D125,D137,D144,D147:D148,D155,D157,D159,D163:D165,D167:D169,D174,D180:D181,D183:D185,D193,D198)</f>
        <v>181.83999999999997</v>
      </c>
      <c r="E93" s="110">
        <f>SUM(E15,E18,E21:E22,E42,E44:E45,E47,E49,E94:E97,E102,E108,E114,E123,E125,E137,E144,E147:E148,E155,E157,E159,E163:E165,E167:E169,E174,E180:E181,E183:E185,E193,E198)</f>
        <v>314.74</v>
      </c>
      <c r="F93" s="110">
        <f t="shared" si="22"/>
        <v>318.74000000000007</v>
      </c>
      <c r="G93" s="109">
        <f>SUM(G15,G18,G21:G22,G42,G44:G45,G47,G49,G94:G97,G102,G108,G114,G123,G125,G137,G144,G147:G148,G155,G157,G159,G163:G165,G167:G169,G174,G180:G181,G183:G185,G193,G198)</f>
        <v>326.84000000000003</v>
      </c>
      <c r="H93" s="109">
        <f t="shared" si="22"/>
        <v>219.83999999999997</v>
      </c>
      <c r="I93" s="109">
        <f t="shared" si="22"/>
        <v>276.24</v>
      </c>
      <c r="J93" s="109">
        <f t="shared" si="22"/>
        <v>328.94000000000005</v>
      </c>
      <c r="K93" s="109">
        <f t="shared" si="22"/>
        <v>396.44000000000005</v>
      </c>
      <c r="L93" s="109">
        <f t="shared" si="22"/>
        <v>433.34000000000003</v>
      </c>
      <c r="M93" s="109">
        <f t="shared" si="22"/>
        <v>452.14</v>
      </c>
      <c r="N93" s="109">
        <f t="shared" si="22"/>
        <v>458.04</v>
      </c>
      <c r="O93" s="109">
        <f t="shared" si="22"/>
        <v>448.04000000000008</v>
      </c>
      <c r="P93" s="109">
        <f t="shared" si="22"/>
        <v>435.44</v>
      </c>
      <c r="Q93" s="109">
        <f t="shared" si="22"/>
        <v>381.54</v>
      </c>
      <c r="R93" s="109">
        <f t="shared" si="22"/>
        <v>388.54</v>
      </c>
      <c r="S93" s="109">
        <f t="shared" si="22"/>
        <v>368.04</v>
      </c>
      <c r="T93" s="109">
        <f t="shared" si="22"/>
        <v>365.34000000000003</v>
      </c>
      <c r="U93" s="109">
        <f t="shared" si="22"/>
        <v>363.34000000000003</v>
      </c>
      <c r="V93" s="109">
        <f t="shared" si="22"/>
        <v>386.14000000000004</v>
      </c>
      <c r="W93" s="109">
        <f t="shared" si="22"/>
        <v>410.94000000000005</v>
      </c>
      <c r="X93" s="109">
        <f t="shared" si="22"/>
        <v>477.44000000000005</v>
      </c>
      <c r="Y93" s="109">
        <f t="shared" si="22"/>
        <v>498.64</v>
      </c>
      <c r="Z93" s="109">
        <f t="shared" si="22"/>
        <v>493.1400000000001</v>
      </c>
      <c r="AA93" s="109">
        <f t="shared" si="22"/>
        <v>486.34000000000009</v>
      </c>
      <c r="AB93" s="109">
        <f t="shared" si="22"/>
        <v>468.74000000000007</v>
      </c>
      <c r="AC93" s="109">
        <f t="shared" si="22"/>
        <v>450.04</v>
      </c>
      <c r="AD93" s="109">
        <f t="shared" si="22"/>
        <v>426.14</v>
      </c>
      <c r="AE93" s="109">
        <f t="shared" si="22"/>
        <v>333.14000000000004</v>
      </c>
      <c r="AF93" s="109">
        <f t="shared" si="22"/>
        <v>188.93999999999997</v>
      </c>
      <c r="AG93" s="111"/>
      <c r="AH93" s="54">
        <f>MAX(C93:AF93)</f>
        <v>498.64</v>
      </c>
      <c r="AI93" s="55">
        <f>MIN(C93:AF93)</f>
        <v>181.83999999999997</v>
      </c>
    </row>
    <row r="94" spans="1:88" x14ac:dyDescent="0.25">
      <c r="A94" s="112" t="s">
        <v>98</v>
      </c>
      <c r="B94" s="175">
        <v>-4.2</v>
      </c>
      <c r="C94" s="58">
        <v>-14.6</v>
      </c>
      <c r="D94" s="58">
        <v>-12.4</v>
      </c>
      <c r="E94" s="58">
        <v>-9.5</v>
      </c>
      <c r="F94" s="58">
        <v>-8.1999999999999993</v>
      </c>
      <c r="G94" s="114">
        <v>21.7</v>
      </c>
      <c r="H94" s="114">
        <v>-2.8</v>
      </c>
      <c r="I94" s="114">
        <v>25.6</v>
      </c>
      <c r="J94" s="114">
        <v>44.9</v>
      </c>
      <c r="K94" s="114">
        <v>56</v>
      </c>
      <c r="L94" s="114">
        <v>60.1</v>
      </c>
      <c r="M94" s="113">
        <v>60.6</v>
      </c>
      <c r="N94" s="114">
        <v>67.599999999999994</v>
      </c>
      <c r="O94" s="114">
        <v>72</v>
      </c>
      <c r="P94" s="114">
        <v>81.5</v>
      </c>
      <c r="Q94" s="114">
        <v>76</v>
      </c>
      <c r="R94" s="114">
        <v>69</v>
      </c>
      <c r="S94" s="114">
        <v>53.1</v>
      </c>
      <c r="T94" s="114">
        <v>48.9</v>
      </c>
      <c r="U94" s="113">
        <v>55.6</v>
      </c>
      <c r="V94" s="113">
        <v>75.5</v>
      </c>
      <c r="W94" s="113">
        <v>74.599999999999994</v>
      </c>
      <c r="X94" s="114">
        <v>67</v>
      </c>
      <c r="Y94" s="114">
        <v>64.900000000000006</v>
      </c>
      <c r="Z94" s="114">
        <v>72.599999999999994</v>
      </c>
      <c r="AA94" s="114">
        <v>71.2</v>
      </c>
      <c r="AB94" s="113">
        <v>70.5</v>
      </c>
      <c r="AC94" s="113">
        <v>68.7</v>
      </c>
      <c r="AD94" s="113">
        <v>67.8</v>
      </c>
      <c r="AE94" s="113">
        <v>52</v>
      </c>
      <c r="AF94" s="113"/>
      <c r="AG94" s="115">
        <v>75</v>
      </c>
      <c r="AH94" s="54">
        <f t="shared" ref="AH94:AH99" si="23">IF(ABS(MAX(C94:AF94))&gt;ABS(MIN(C94:AF94)),MAX(C94:AF94),MIN(C94:AF94))</f>
        <v>81.5</v>
      </c>
      <c r="AI94" s="116">
        <f t="shared" ref="AI94:AI99" si="24">INDEX($C$9:$AF$9,1,MATCH(AH94,C94:AF94,0))</f>
        <v>0.45833333333333298</v>
      </c>
    </row>
    <row r="95" spans="1:88" x14ac:dyDescent="0.25">
      <c r="A95" s="117" t="s">
        <v>99</v>
      </c>
      <c r="B95" s="176">
        <v>-44.8</v>
      </c>
      <c r="C95" s="60">
        <v>-47.6</v>
      </c>
      <c r="D95" s="60">
        <v>-62.3</v>
      </c>
      <c r="E95" s="60">
        <v>67</v>
      </c>
      <c r="F95" s="60">
        <v>66</v>
      </c>
      <c r="G95" s="60">
        <v>61.9</v>
      </c>
      <c r="H95" s="60">
        <v>-37.6</v>
      </c>
      <c r="I95" s="60">
        <v>-28</v>
      </c>
      <c r="J95" s="60">
        <v>-9</v>
      </c>
      <c r="K95" s="60">
        <v>2.1</v>
      </c>
      <c r="L95" s="60">
        <v>25.1</v>
      </c>
      <c r="M95" s="60">
        <v>31</v>
      </c>
      <c r="N95" s="60">
        <v>44.5</v>
      </c>
      <c r="O95" s="60">
        <v>50</v>
      </c>
      <c r="P95" s="60">
        <f>31.2+28.8</f>
        <v>60</v>
      </c>
      <c r="Q95" s="60">
        <v>27</v>
      </c>
      <c r="R95" s="60">
        <v>41</v>
      </c>
      <c r="S95" s="60">
        <v>42.7</v>
      </c>
      <c r="T95" s="60">
        <v>49.6</v>
      </c>
      <c r="U95" s="60">
        <v>32</v>
      </c>
      <c r="V95" s="60">
        <v>32.6</v>
      </c>
      <c r="W95" s="60">
        <v>45.8</v>
      </c>
      <c r="X95" s="60">
        <v>74.599999999999994</v>
      </c>
      <c r="Y95" s="60">
        <v>84.5</v>
      </c>
      <c r="Z95" s="60">
        <v>73.099999999999994</v>
      </c>
      <c r="AA95" s="60">
        <v>73.400000000000006</v>
      </c>
      <c r="AB95" s="73">
        <f>33.6+31.4</f>
        <v>65</v>
      </c>
      <c r="AC95" s="73">
        <f>27+24.9</f>
        <v>51.9</v>
      </c>
      <c r="AD95" s="73">
        <f>21+17</f>
        <v>38</v>
      </c>
      <c r="AE95" s="73">
        <v>-2</v>
      </c>
      <c r="AF95" s="73"/>
      <c r="AG95" s="115">
        <v>240</v>
      </c>
      <c r="AH95" s="54">
        <f t="shared" si="23"/>
        <v>84.5</v>
      </c>
      <c r="AI95" s="116">
        <f t="shared" si="24"/>
        <v>0.77083333333333337</v>
      </c>
    </row>
    <row r="96" spans="1:88" x14ac:dyDescent="0.25">
      <c r="A96" s="117" t="s">
        <v>100</v>
      </c>
      <c r="B96" s="176">
        <v>13.7</v>
      </c>
      <c r="C96" s="60">
        <v>12.9</v>
      </c>
      <c r="D96" s="60">
        <v>12.4</v>
      </c>
      <c r="E96" s="60">
        <v>12.6</v>
      </c>
      <c r="F96" s="60">
        <v>12.6</v>
      </c>
      <c r="G96" s="60">
        <v>11.9</v>
      </c>
      <c r="H96" s="60">
        <v>1.7</v>
      </c>
      <c r="I96" s="60">
        <v>11.4</v>
      </c>
      <c r="J96" s="60">
        <v>10.8</v>
      </c>
      <c r="K96" s="60">
        <v>45.1</v>
      </c>
      <c r="L96" s="60">
        <v>45</v>
      </c>
      <c r="M96" s="60">
        <v>63.9</v>
      </c>
      <c r="N96" s="60">
        <v>55</v>
      </c>
      <c r="O96" s="60">
        <v>51</v>
      </c>
      <c r="P96" s="60">
        <v>46.4</v>
      </c>
      <c r="Q96" s="60">
        <v>31</v>
      </c>
      <c r="R96" s="60">
        <v>24</v>
      </c>
      <c r="S96" s="60">
        <v>23.6</v>
      </c>
      <c r="T96" s="60">
        <v>20.7</v>
      </c>
      <c r="U96" s="60">
        <v>25.4</v>
      </c>
      <c r="V96" s="60">
        <v>40.5</v>
      </c>
      <c r="W96" s="60">
        <v>40.5</v>
      </c>
      <c r="X96" s="60">
        <v>61.8</v>
      </c>
      <c r="Y96" s="60">
        <v>65.099999999999994</v>
      </c>
      <c r="Z96" s="60">
        <v>65.099999999999994</v>
      </c>
      <c r="AA96" s="60">
        <v>59.8</v>
      </c>
      <c r="AB96" s="73">
        <v>58</v>
      </c>
      <c r="AC96" s="73">
        <v>58.2</v>
      </c>
      <c r="AD96" s="73">
        <v>58.5</v>
      </c>
      <c r="AE96" s="73">
        <v>12</v>
      </c>
      <c r="AF96" s="73"/>
      <c r="AG96" s="115">
        <v>60</v>
      </c>
      <c r="AH96" s="54">
        <f t="shared" si="23"/>
        <v>65.099999999999994</v>
      </c>
      <c r="AI96" s="116">
        <f t="shared" si="24"/>
        <v>0.77083333333333337</v>
      </c>
    </row>
    <row r="97" spans="1:37" x14ac:dyDescent="0.25">
      <c r="A97" s="118" t="s">
        <v>101</v>
      </c>
      <c r="B97" s="177">
        <v>58.9</v>
      </c>
      <c r="C97" s="63">
        <v>50.2</v>
      </c>
      <c r="D97" s="63">
        <v>58.9</v>
      </c>
      <c r="E97" s="63">
        <v>59.4</v>
      </c>
      <c r="F97" s="63">
        <v>63.1</v>
      </c>
      <c r="G97" s="63">
        <v>45.3</v>
      </c>
      <c r="H97" s="63">
        <v>72.5</v>
      </c>
      <c r="I97" s="63">
        <v>81.2</v>
      </c>
      <c r="J97" s="63">
        <v>97</v>
      </c>
      <c r="K97" s="63">
        <v>108</v>
      </c>
      <c r="L97" s="63">
        <v>117.1</v>
      </c>
      <c r="M97" s="63">
        <v>111.7</v>
      </c>
      <c r="N97" s="63">
        <v>106</v>
      </c>
      <c r="O97" s="63">
        <v>90.1</v>
      </c>
      <c r="P97" s="63">
        <v>92</v>
      </c>
      <c r="Q97" s="63">
        <v>92</v>
      </c>
      <c r="R97" s="63">
        <v>99</v>
      </c>
      <c r="S97" s="63">
        <v>93.1</v>
      </c>
      <c r="T97" s="63">
        <v>90.1</v>
      </c>
      <c r="U97" s="63">
        <v>94.3</v>
      </c>
      <c r="V97" s="63">
        <v>51.8</v>
      </c>
      <c r="W97" s="63">
        <v>66.099999999999994</v>
      </c>
      <c r="X97" s="63">
        <v>92.8</v>
      </c>
      <c r="Y97" s="63">
        <v>102.9</v>
      </c>
      <c r="Z97" s="63">
        <v>101.1</v>
      </c>
      <c r="AA97" s="63">
        <v>92.5</v>
      </c>
      <c r="AB97" s="119">
        <v>87.8</v>
      </c>
      <c r="AC97" s="119">
        <v>81.8</v>
      </c>
      <c r="AD97" s="119">
        <v>72.400000000000006</v>
      </c>
      <c r="AE97" s="119">
        <v>82</v>
      </c>
      <c r="AF97" s="119"/>
      <c r="AG97" s="120">
        <v>120</v>
      </c>
      <c r="AH97" s="54">
        <f t="shared" si="23"/>
        <v>117.1</v>
      </c>
      <c r="AI97" s="116">
        <f t="shared" si="24"/>
        <v>0.3125</v>
      </c>
    </row>
    <row r="98" spans="1:37" x14ac:dyDescent="0.25">
      <c r="A98" s="118" t="s">
        <v>102</v>
      </c>
      <c r="B98" s="177">
        <v>50.4</v>
      </c>
      <c r="C98" s="63">
        <v>51.4</v>
      </c>
      <c r="D98" s="63">
        <v>71.400000000000006</v>
      </c>
      <c r="E98" s="63">
        <v>69</v>
      </c>
      <c r="F98" s="63">
        <v>69</v>
      </c>
      <c r="G98" s="63">
        <v>55.3</v>
      </c>
      <c r="H98" s="63">
        <v>76.599999999999994</v>
      </c>
      <c r="I98" s="63">
        <v>81.599999999999994</v>
      </c>
      <c r="J98" s="63">
        <v>89</v>
      </c>
      <c r="K98" s="63">
        <v>102</v>
      </c>
      <c r="L98" s="63">
        <v>97</v>
      </c>
      <c r="M98" s="63">
        <v>103.9</v>
      </c>
      <c r="N98" s="63">
        <v>74</v>
      </c>
      <c r="O98" s="63">
        <v>78</v>
      </c>
      <c r="P98" s="63">
        <v>67.599999999999994</v>
      </c>
      <c r="Q98" s="63">
        <v>71</v>
      </c>
      <c r="R98" s="63">
        <v>73</v>
      </c>
      <c r="S98" s="63">
        <v>74.900000000000006</v>
      </c>
      <c r="T98" s="63">
        <v>86.5</v>
      </c>
      <c r="U98" s="63">
        <v>72</v>
      </c>
      <c r="V98" s="63">
        <v>53.7</v>
      </c>
      <c r="W98" s="63">
        <v>63.8</v>
      </c>
      <c r="X98" s="63">
        <v>85.4</v>
      </c>
      <c r="Y98" s="63">
        <v>92.4</v>
      </c>
      <c r="Z98" s="63">
        <v>76.599999999999994</v>
      </c>
      <c r="AA98" s="63">
        <v>72.3</v>
      </c>
      <c r="AB98" s="119">
        <v>71.8</v>
      </c>
      <c r="AC98" s="119">
        <v>61.3</v>
      </c>
      <c r="AD98" s="119">
        <v>83.7</v>
      </c>
      <c r="AE98" s="119">
        <v>78</v>
      </c>
      <c r="AF98" s="119"/>
      <c r="AG98" s="120"/>
      <c r="AH98" s="54">
        <f t="shared" si="23"/>
        <v>103.9</v>
      </c>
      <c r="AI98" s="116">
        <f t="shared" si="24"/>
        <v>0.33333333333333331</v>
      </c>
    </row>
    <row r="99" spans="1:37" ht="15.75" thickBot="1" x14ac:dyDescent="0.3">
      <c r="A99" s="118" t="s">
        <v>217</v>
      </c>
      <c r="B99" s="177">
        <v>52.5</v>
      </c>
      <c r="C99" s="63">
        <v>53.8</v>
      </c>
      <c r="D99" s="63">
        <v>49.7</v>
      </c>
      <c r="E99" s="63">
        <v>41.9</v>
      </c>
      <c r="F99" s="63">
        <v>41</v>
      </c>
      <c r="G99" s="63">
        <v>21.1</v>
      </c>
      <c r="H99" s="63">
        <v>53.7</v>
      </c>
      <c r="I99" s="63">
        <v>20.100000000000001</v>
      </c>
      <c r="J99" s="63">
        <v>21.6</v>
      </c>
      <c r="K99" s="63">
        <v>19.3</v>
      </c>
      <c r="L99" s="63">
        <v>17.7</v>
      </c>
      <c r="M99" s="63">
        <v>19</v>
      </c>
      <c r="N99" s="63">
        <v>12</v>
      </c>
      <c r="O99" s="63">
        <v>10</v>
      </c>
      <c r="P99" s="63">
        <v>-8.1</v>
      </c>
      <c r="Q99" s="63">
        <v>0</v>
      </c>
      <c r="R99" s="63">
        <v>-3.5</v>
      </c>
      <c r="S99" s="63">
        <v>3.2</v>
      </c>
      <c r="T99" s="63">
        <v>6.7</v>
      </c>
      <c r="U99" s="63">
        <v>4.8</v>
      </c>
      <c r="V99" s="63">
        <v>0</v>
      </c>
      <c r="W99" s="63">
        <v>-1</v>
      </c>
      <c r="X99" s="63">
        <v>13.4</v>
      </c>
      <c r="Y99" s="63">
        <v>20</v>
      </c>
      <c r="Z99" s="63">
        <v>8.5</v>
      </c>
      <c r="AA99" s="63">
        <v>15.8</v>
      </c>
      <c r="AB99" s="119">
        <v>16.7</v>
      </c>
      <c r="AC99" s="119">
        <v>18.899999999999999</v>
      </c>
      <c r="AD99" s="119">
        <v>12.6</v>
      </c>
      <c r="AE99" s="119">
        <v>21</v>
      </c>
      <c r="AF99" s="119"/>
      <c r="AG99" s="121"/>
      <c r="AH99" s="54">
        <f t="shared" si="23"/>
        <v>53.8</v>
      </c>
      <c r="AI99" s="116">
        <f t="shared" si="24"/>
        <v>4.1666666666666664E-2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1518.54</v>
      </c>
      <c r="C208" s="157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30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str">
        <f ca="1">"Pie Chart of Daily Peak Demand(Inclusive of Export) of Nepal ("&amp;A4&amp;" "&amp;B4&amp;")"</f>
        <v>Pie Chart of Daily Peak Demand(Inclusive of Export) of Nepal (Nepali Date: 2078/09/30)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str">
        <f ca="1">"Daily Load Curve(Excluding of Export) of Nepal ("&amp;A4&amp;" "&amp;B4&amp;")"</f>
        <v>Daily Load Curve(Excluding of Export) of Nepal (Nepali Date: 2078/09/30)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977.54</v>
      </c>
      <c r="U213" s="167">
        <f t="shared" si="61"/>
        <v>930.74</v>
      </c>
      <c r="V213" s="167">
        <f t="shared" si="61"/>
        <v>903.44</v>
      </c>
      <c r="W213" s="167">
        <f t="shared" si="61"/>
        <v>901.1400000000001</v>
      </c>
      <c r="X213" s="167">
        <f t="shared" si="61"/>
        <v>907.04</v>
      </c>
      <c r="Y213" s="167">
        <f t="shared" si="61"/>
        <v>947.64</v>
      </c>
      <c r="Z213" s="167">
        <f t="shared" si="61"/>
        <v>1030.6399999999999</v>
      </c>
      <c r="AA213" s="167">
        <f t="shared" si="61"/>
        <v>1077.26</v>
      </c>
      <c r="AB213" s="167">
        <f t="shared" si="61"/>
        <v>1253.44</v>
      </c>
      <c r="AC213" s="167">
        <f t="shared" si="61"/>
        <v>1408.8400000000001</v>
      </c>
      <c r="AD213" s="167">
        <f t="shared" si="61"/>
        <v>1455.04</v>
      </c>
      <c r="AE213" s="167">
        <f t="shared" si="61"/>
        <v>1517.74</v>
      </c>
      <c r="AF213" s="167">
        <f t="shared" si="61"/>
        <v>1518.54</v>
      </c>
      <c r="AG213" s="167">
        <f t="shared" si="61"/>
        <v>1495.54</v>
      </c>
      <c r="AH213" s="167">
        <f t="shared" si="61"/>
        <v>1406.04</v>
      </c>
      <c r="AI213" s="167">
        <f t="shared" si="61"/>
        <v>1291.44</v>
      </c>
      <c r="AJ213" s="167">
        <f t="shared" si="61"/>
        <v>1249.74</v>
      </c>
      <c r="AK213" s="167">
        <f t="shared" si="61"/>
        <v>1258.6399999999999</v>
      </c>
      <c r="AL213" s="167">
        <f t="shared" si="61"/>
        <v>1211.1400000000001</v>
      </c>
      <c r="AM213" s="167">
        <f t="shared" si="61"/>
        <v>1211.24</v>
      </c>
      <c r="AN213" s="167">
        <f t="shared" si="61"/>
        <v>1278.24</v>
      </c>
      <c r="AO213" s="167">
        <f t="shared" si="61"/>
        <v>1353.44</v>
      </c>
      <c r="AP213" s="167">
        <f t="shared" si="61"/>
        <v>1559.3400000000001</v>
      </c>
      <c r="AQ213" s="167">
        <f t="shared" si="61"/>
        <v>1575.04</v>
      </c>
      <c r="AR213" s="167">
        <f t="shared" si="61"/>
        <v>1541.44</v>
      </c>
      <c r="AS213" s="167">
        <f t="shared" si="61"/>
        <v>1478.04</v>
      </c>
      <c r="AT213" s="167">
        <f t="shared" si="61"/>
        <v>1413.8400000000001</v>
      </c>
      <c r="AU213" s="167">
        <f t="shared" si="61"/>
        <v>1386.04</v>
      </c>
      <c r="AV213" s="167">
        <f t="shared" si="61"/>
        <v>1320.04</v>
      </c>
      <c r="AW213" s="167">
        <f t="shared" si="61"/>
        <v>1173.94</v>
      </c>
      <c r="AX213" s="167">
        <f t="shared" si="61"/>
        <v>1030.6399999999999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C57:L57 C63:D67 P39:R39 O61:O67 P40:Q42 R42 R40:T41 U40:Y42 X85:AA91 AB81:AF81 B81:R81 C56:AF56 B82:AF83 D193:AF199 B193:B199 C68:AF72 AB84:AF91 B84:B91 B73:AF80 B9:AF10 B191:AF191 AF57:AF60 B53:B72 AG73 AB94:AF99 B94:B99 U212:AF212 J60:O60 J58:W59 C58:I61 B36:L36 J61:N61 M39:O42 S11:AE11 M37:R37 M11:R14 P60:R67 S12:X14 N45:X48 Z40:AE43 Y18:AF30 Y36:AF36 M53:AF55">
    <cfRule type="expression" dxfId="756" priority="269">
      <formula>B$9&gt;=20/24</formula>
    </cfRule>
    <cfRule type="expression" dxfId="755" priority="270">
      <formula>AND(B$9&gt;=14/24,B$9&lt;20/24)</formula>
    </cfRule>
    <cfRule type="expression" dxfId="754" priority="271">
      <formula>AND(B$9&gt;=8/24,B$9&lt;14/24)</formula>
    </cfRule>
    <cfRule type="expression" dxfId="753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52" priority="264">
      <formula>M$9&gt;=20/24</formula>
    </cfRule>
    <cfRule type="expression" dxfId="751" priority="265">
      <formula>AND(M$9&gt;=14/24,M$9&lt;20/24)</formula>
    </cfRule>
    <cfRule type="expression" dxfId="750" priority="266">
      <formula>AND(M$9&gt;=8/24,M$9&lt;14/24)</formula>
    </cfRule>
    <cfRule type="expression" dxfId="749" priority="267">
      <formula>M$9&lt;8/24</formula>
    </cfRule>
  </conditionalFormatting>
  <conditionalFormatting sqref="M43:R43">
    <cfRule type="expression" dxfId="748" priority="260">
      <formula>M$9&gt;=20/24</formula>
    </cfRule>
    <cfRule type="expression" dxfId="747" priority="261">
      <formula>AND(M$9&gt;=14/24,M$9&lt;20/24)</formula>
    </cfRule>
    <cfRule type="expression" dxfId="746" priority="262">
      <formula>AND(M$9&gt;=8/24,M$9&lt;14/24)</formula>
    </cfRule>
    <cfRule type="expression" dxfId="745" priority="263">
      <formula>M$9&lt;8/24</formula>
    </cfRule>
  </conditionalFormatting>
  <conditionalFormatting sqref="S39:AE39">
    <cfRule type="expression" dxfId="744" priority="252">
      <formula>S$9&gt;=20/24</formula>
    </cfRule>
    <cfRule type="expression" dxfId="743" priority="253">
      <formula>AND(S$9&gt;=14/24,S$9&lt;20/24)</formula>
    </cfRule>
    <cfRule type="expression" dxfId="742" priority="254">
      <formula>AND(S$9&gt;=8/24,S$9&lt;14/24)</formula>
    </cfRule>
    <cfRule type="expression" dxfId="741" priority="255">
      <formula>S$9&lt;8/24</formula>
    </cfRule>
  </conditionalFormatting>
  <conditionalFormatting sqref="S57:AE57">
    <cfRule type="expression" dxfId="740" priority="248">
      <formula>S$9&gt;=20/24</formula>
    </cfRule>
    <cfRule type="expression" dxfId="739" priority="249">
      <formula>AND(S$9&gt;=14/24,S$9&lt;20/24)</formula>
    </cfRule>
    <cfRule type="expression" dxfId="738" priority="250">
      <formula>AND(S$9&gt;=8/24,S$9&lt;14/24)</formula>
    </cfRule>
    <cfRule type="expression" dxfId="737" priority="251">
      <formula>S$9&lt;8/24</formula>
    </cfRule>
  </conditionalFormatting>
  <conditionalFormatting sqref="S81:AA81">
    <cfRule type="expression" dxfId="736" priority="244">
      <formula>S$9&gt;=20/24</formula>
    </cfRule>
    <cfRule type="expression" dxfId="735" priority="245">
      <formula>AND(S$9&gt;=14/24,S$9&lt;20/24)</formula>
    </cfRule>
    <cfRule type="expression" dxfId="734" priority="246">
      <formula>AND(S$9&gt;=8/24,S$9&lt;14/24)</formula>
    </cfRule>
    <cfRule type="expression" dxfId="733" priority="247">
      <formula>S$9&lt;8/24</formula>
    </cfRule>
  </conditionalFormatting>
  <conditionalFormatting sqref="U84:AA84">
    <cfRule type="expression" dxfId="732" priority="240">
      <formula>U$9&gt;=20/24</formula>
    </cfRule>
    <cfRule type="expression" dxfId="731" priority="241">
      <formula>AND(U$9&gt;=14/24,U$9&lt;20/24)</formula>
    </cfRule>
    <cfRule type="expression" dxfId="730" priority="242">
      <formula>AND(U$9&gt;=8/24,U$9&lt;14/24)</formula>
    </cfRule>
    <cfRule type="expression" dxfId="729" priority="243">
      <formula>U$9&lt;8/24</formula>
    </cfRule>
  </conditionalFormatting>
  <conditionalFormatting sqref="M49:X49">
    <cfRule type="expression" dxfId="728" priority="232">
      <formula>M$9&gt;=20/24</formula>
    </cfRule>
    <cfRule type="expression" dxfId="727" priority="233">
      <formula>AND(M$9&gt;=14/24,M$9&lt;20/24)</formula>
    </cfRule>
    <cfRule type="expression" dxfId="726" priority="234">
      <formula>AND(M$9&gt;=8/24,M$9&lt;14/24)</formula>
    </cfRule>
    <cfRule type="expression" dxfId="725" priority="235">
      <formula>M$9&lt;8/24</formula>
    </cfRule>
  </conditionalFormatting>
  <conditionalFormatting sqref="M50:X50">
    <cfRule type="expression" dxfId="724" priority="228">
      <formula>M$9&gt;=20/24</formula>
    </cfRule>
    <cfRule type="expression" dxfId="723" priority="229">
      <formula>AND(M$9&gt;=14/24,M$9&lt;20/24)</formula>
    </cfRule>
    <cfRule type="expression" dxfId="722" priority="230">
      <formula>AND(M$9&gt;=8/24,M$9&lt;14/24)</formula>
    </cfRule>
    <cfRule type="expression" dxfId="721" priority="231">
      <formula>M$9&lt;8/24</formula>
    </cfRule>
  </conditionalFormatting>
  <conditionalFormatting sqref="M45:X48">
    <cfRule type="expression" dxfId="720" priority="224">
      <formula>M$9&gt;=20/24</formula>
    </cfRule>
    <cfRule type="expression" dxfId="719" priority="225">
      <formula>AND(M$9&gt;=14/24,M$9&lt;20/24)</formula>
    </cfRule>
    <cfRule type="expression" dxfId="718" priority="226">
      <formula>AND(M$9&gt;=8/24,M$9&lt;14/24)</formula>
    </cfRule>
    <cfRule type="expression" dxfId="717" priority="227">
      <formula>M$9&lt;8/24</formula>
    </cfRule>
  </conditionalFormatting>
  <conditionalFormatting sqref="S37:AF37">
    <cfRule type="expression" dxfId="716" priority="220">
      <formula>S$9&gt;=20/24</formula>
    </cfRule>
    <cfRule type="expression" dxfId="715" priority="221">
      <formula>AND(S$9&gt;=14/24,S$9&lt;20/24)</formula>
    </cfRule>
    <cfRule type="expression" dxfId="714" priority="222">
      <formula>AND(S$9&gt;=8/24,S$9&lt;14/24)</formula>
    </cfRule>
    <cfRule type="expression" dxfId="713" priority="223">
      <formula>S$9&lt;8/24</formula>
    </cfRule>
  </conditionalFormatting>
  <conditionalFormatting sqref="Y31:AF32 Y35:AF35">
    <cfRule type="expression" dxfId="712" priority="216">
      <formula>Y$9&gt;=20/24</formula>
    </cfRule>
    <cfRule type="expression" dxfId="711" priority="217">
      <formula>AND(Y$9&gt;=14/24,Y$9&lt;20/24)</formula>
    </cfRule>
    <cfRule type="expression" dxfId="710" priority="218">
      <formula>AND(Y$9&gt;=8/24,Y$9&lt;14/24)</formula>
    </cfRule>
    <cfRule type="expression" dxfId="709" priority="219">
      <formula>Y$9&lt;8/24</formula>
    </cfRule>
  </conditionalFormatting>
  <conditionalFormatting sqref="S42:T43 T43:Y43 S45:AF48">
    <cfRule type="expression" dxfId="708" priority="212">
      <formula>S$9&gt;=20/24</formula>
    </cfRule>
    <cfRule type="expression" dxfId="707" priority="213">
      <formula>AND(S$9&gt;=14/24,S$9&lt;20/24)</formula>
    </cfRule>
    <cfRule type="expression" dxfId="706" priority="214">
      <formula>AND(S$9&gt;=8/24,S$9&lt;14/24)</formula>
    </cfRule>
    <cfRule type="expression" dxfId="705" priority="215">
      <formula>S$9&lt;8/24</formula>
    </cfRule>
  </conditionalFormatting>
  <conditionalFormatting sqref="S49:AF49">
    <cfRule type="expression" dxfId="704" priority="208">
      <formula>S$9&gt;=20/24</formula>
    </cfRule>
    <cfRule type="expression" dxfId="703" priority="209">
      <formula>AND(S$9&gt;=14/24,S$9&lt;20/24)</formula>
    </cfRule>
    <cfRule type="expression" dxfId="702" priority="210">
      <formula>AND(S$9&gt;=8/24,S$9&lt;14/24)</formula>
    </cfRule>
    <cfRule type="expression" dxfId="701" priority="211">
      <formula>S$9&lt;8/24</formula>
    </cfRule>
  </conditionalFormatting>
  <conditionalFormatting sqref="S50:AF50">
    <cfRule type="expression" dxfId="700" priority="204">
      <formula>S$9&gt;=20/24</formula>
    </cfRule>
    <cfRule type="expression" dxfId="699" priority="205">
      <formula>AND(S$9&gt;=14/24,S$9&lt;20/24)</formula>
    </cfRule>
    <cfRule type="expression" dxfId="698" priority="206">
      <formula>AND(S$9&gt;=8/24,S$9&lt;14/24)</formula>
    </cfRule>
    <cfRule type="expression" dxfId="697" priority="207">
      <formula>S$9&lt;8/24</formula>
    </cfRule>
  </conditionalFormatting>
  <conditionalFormatting sqref="S60:T67 X60:AE67 AF61:AF67">
    <cfRule type="expression" dxfId="696" priority="200">
      <formula>S$9&gt;=20/24</formula>
    </cfRule>
    <cfRule type="expression" dxfId="695" priority="201">
      <formula>AND(S$9&gt;=14/24,S$9&lt;20/24)</formula>
    </cfRule>
    <cfRule type="expression" dxfId="694" priority="202">
      <formula>AND(S$9&gt;=8/24,S$9&lt;14/24)</formula>
    </cfRule>
    <cfRule type="expression" dxfId="693" priority="203">
      <formula>S$9&lt;8/24</formula>
    </cfRule>
  </conditionalFormatting>
  <conditionalFormatting sqref="J62:L67 C62:I62">
    <cfRule type="expression" dxfId="692" priority="196">
      <formula>C$9&gt;=20/24</formula>
    </cfRule>
    <cfRule type="expression" dxfId="691" priority="197">
      <formula>AND(C$9&gt;=14/24,C$9&lt;20/24)</formula>
    </cfRule>
    <cfRule type="expression" dxfId="690" priority="198">
      <formula>AND(C$9&gt;=8/24,C$9&lt;14/24)</formula>
    </cfRule>
    <cfRule type="expression" dxfId="689" priority="199">
      <formula>C$9&lt;8/24</formula>
    </cfRule>
  </conditionalFormatting>
  <conditionalFormatting sqref="U94:AA97">
    <cfRule type="expression" dxfId="688" priority="192">
      <formula>U$9&gt;=20/24</formula>
    </cfRule>
    <cfRule type="expression" dxfId="687" priority="193">
      <formula>AND(U$9&gt;=14/24,U$9&lt;20/24)</formula>
    </cfRule>
    <cfRule type="expression" dxfId="686" priority="194">
      <formula>AND(U$9&gt;=8/24,U$9&lt;14/24)</formula>
    </cfRule>
    <cfRule type="expression" dxfId="685" priority="195">
      <formula>U$9&lt;8/24</formula>
    </cfRule>
  </conditionalFormatting>
  <conditionalFormatting sqref="AG51 J11:O11 B11:I32 J12:L32 B34:L36 M12:O14 S11:AF11 P11:R14 S12:X14 Y34:AA36 B37:AA37 Y18:AF32 AB34:AF37 B38:AF56">
    <cfRule type="expression" dxfId="684" priority="191">
      <formula>B11&gt;$AG11</formula>
    </cfRule>
  </conditionalFormatting>
  <conditionalFormatting sqref="A100:A156 A84:A97 A11:A14 A16:A32 A45:A72 A80:A82 A74:A78 A35:A43 A169:A199">
    <cfRule type="expression" dxfId="683" priority="190">
      <formula>$AH11=0</formula>
    </cfRule>
  </conditionalFormatting>
  <conditionalFormatting sqref="U98:AA98">
    <cfRule type="expression" dxfId="682" priority="186">
      <formula>U$9&gt;=20/24</formula>
    </cfRule>
    <cfRule type="expression" dxfId="681" priority="187">
      <formula>AND(U$9&gt;=14/24,U$9&lt;20/24)</formula>
    </cfRule>
    <cfRule type="expression" dxfId="680" priority="188">
      <formula>AND(U$9&gt;=8/24,U$9&lt;14/24)</formula>
    </cfRule>
    <cfRule type="expression" dxfId="679" priority="189">
      <formula>U$9&lt;8/24</formula>
    </cfRule>
  </conditionalFormatting>
  <conditionalFormatting sqref="A98">
    <cfRule type="expression" dxfId="678" priority="185">
      <formula>$AH98=0</formula>
    </cfRule>
  </conditionalFormatting>
  <conditionalFormatting sqref="E63:I67">
    <cfRule type="expression" dxfId="677" priority="177">
      <formula>E$9&gt;=20/24</formula>
    </cfRule>
    <cfRule type="expression" dxfId="676" priority="178">
      <formula>AND(E$9&gt;=14/24,E$9&lt;20/24)</formula>
    </cfRule>
    <cfRule type="expression" dxfId="675" priority="179">
      <formula>AND(E$9&gt;=8/24,E$9&lt;14/24)</formula>
    </cfRule>
    <cfRule type="expression" dxfId="674" priority="180">
      <formula>E$9&lt;8/24</formula>
    </cfRule>
  </conditionalFormatting>
  <conditionalFormatting sqref="M62:N67">
    <cfRule type="expression" dxfId="673" priority="173">
      <formula>M$9&gt;=20/24</formula>
    </cfRule>
    <cfRule type="expression" dxfId="672" priority="174">
      <formula>AND(M$9&gt;=14/24,M$9&lt;20/24)</formula>
    </cfRule>
    <cfRule type="expression" dxfId="671" priority="175">
      <formula>AND(M$9&gt;=8/24,M$9&lt;14/24)</formula>
    </cfRule>
    <cfRule type="expression" dxfId="670" priority="176">
      <formula>M$9&lt;8/24</formula>
    </cfRule>
  </conditionalFormatting>
  <conditionalFormatting sqref="AL32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Y34:AF34">
    <cfRule type="expression" dxfId="669" priority="160">
      <formula>Y$9&gt;=20/24</formula>
    </cfRule>
    <cfRule type="expression" dxfId="668" priority="161">
      <formula>AND(Y$9&gt;=14/24,Y$9&lt;20/24)</formula>
    </cfRule>
    <cfRule type="expression" dxfId="667" priority="162">
      <formula>AND(Y$9&gt;=8/24,Y$9&lt;14/24)</formula>
    </cfRule>
    <cfRule type="expression" dxfId="666" priority="163">
      <formula>Y$9&lt;8/24</formula>
    </cfRule>
  </conditionalFormatting>
  <conditionalFormatting sqref="A34">
    <cfRule type="expression" dxfId="665" priority="159">
      <formula>$AH34=0</formula>
    </cfRule>
  </conditionalFormatting>
  <conditionalFormatting sqref="A83">
    <cfRule type="expression" dxfId="664" priority="158">
      <formula>$AH83=0</formula>
    </cfRule>
  </conditionalFormatting>
  <conditionalFormatting sqref="M15:X15">
    <cfRule type="expression" dxfId="663" priority="150">
      <formula>M$9&gt;=20/24</formula>
    </cfRule>
    <cfRule type="expression" dxfId="662" priority="151">
      <formula>AND(M$9&gt;=14/24,M$9&lt;20/24)</formula>
    </cfRule>
    <cfRule type="expression" dxfId="661" priority="152">
      <formula>AND(M$9&gt;=8/24,M$9&lt;14/24)</formula>
    </cfRule>
    <cfRule type="expression" dxfId="660" priority="153">
      <formula>M$9&lt;8/24</formula>
    </cfRule>
  </conditionalFormatting>
  <conditionalFormatting sqref="M15:X15">
    <cfRule type="expression" dxfId="659" priority="149">
      <formula>M15&gt;$AG15</formula>
    </cfRule>
  </conditionalFormatting>
  <conditionalFormatting sqref="A15">
    <cfRule type="expression" dxfId="658" priority="148">
      <formula>$AH15=0</formula>
    </cfRule>
  </conditionalFormatting>
  <conditionalFormatting sqref="A163:A168">
    <cfRule type="expression" dxfId="657" priority="147">
      <formula>$AH163=0</formula>
    </cfRule>
  </conditionalFormatting>
  <conditionalFormatting sqref="A157:A162">
    <cfRule type="expression" dxfId="656" priority="146">
      <formula>$AH157=0</formula>
    </cfRule>
  </conditionalFormatting>
  <conditionalFormatting sqref="Z44:AF44">
    <cfRule type="expression" dxfId="655" priority="142">
      <formula>Z$9&gt;=20/24</formula>
    </cfRule>
    <cfRule type="expression" dxfId="654" priority="143">
      <formula>AND(Z$9&gt;=14/24,Z$9&lt;20/24)</formula>
    </cfRule>
    <cfRule type="expression" dxfId="653" priority="144">
      <formula>AND(Z$9&gt;=8/24,Z$9&lt;14/24)</formula>
    </cfRule>
    <cfRule type="expression" dxfId="652" priority="145">
      <formula>Z$9&lt;8/24</formula>
    </cfRule>
  </conditionalFormatting>
  <conditionalFormatting sqref="M44:T44">
    <cfRule type="expression" dxfId="651" priority="138">
      <formula>M$9&gt;=20/24</formula>
    </cfRule>
    <cfRule type="expression" dxfId="650" priority="139">
      <formula>AND(M$9&gt;=14/24,M$9&lt;20/24)</formula>
    </cfRule>
    <cfRule type="expression" dxfId="649" priority="140">
      <formula>AND(M$9&gt;=8/24,M$9&lt;14/24)</formula>
    </cfRule>
    <cfRule type="expression" dxfId="648" priority="141">
      <formula>M$9&lt;8/24</formula>
    </cfRule>
  </conditionalFormatting>
  <conditionalFormatting sqref="S44:AF44">
    <cfRule type="expression" dxfId="647" priority="134">
      <formula>S$9&gt;=20/24</formula>
    </cfRule>
    <cfRule type="expression" dxfId="646" priority="135">
      <formula>AND(S$9&gt;=14/24,S$9&lt;20/24)</formula>
    </cfRule>
    <cfRule type="expression" dxfId="645" priority="136">
      <formula>AND(S$9&gt;=8/24,S$9&lt;14/24)</formula>
    </cfRule>
    <cfRule type="expression" dxfId="644" priority="137">
      <formula>S$9&lt;8/24</formula>
    </cfRule>
  </conditionalFormatting>
  <conditionalFormatting sqref="A44">
    <cfRule type="expression" dxfId="643" priority="133">
      <formula>$AH44=0</formula>
    </cfRule>
  </conditionalFormatting>
  <conditionalFormatting sqref="A79">
    <cfRule type="expression" dxfId="642" priority="132">
      <formula>$AH79=0</formula>
    </cfRule>
  </conditionalFormatting>
  <conditionalFormatting sqref="A73">
    <cfRule type="expression" dxfId="641" priority="131">
      <formula>$AH73=0</formula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640" priority="127">
      <formula>U$9&gt;=20/24</formula>
    </cfRule>
    <cfRule type="expression" dxfId="639" priority="128">
      <formula>AND(U$9&gt;=14/24,U$9&lt;20/24)</formula>
    </cfRule>
    <cfRule type="expression" dxfId="638" priority="129">
      <formula>AND(U$9&gt;=8/24,U$9&lt;14/24)</formula>
    </cfRule>
    <cfRule type="expression" dxfId="637" priority="130">
      <formula>U$9&lt;8/24</formula>
    </cfRule>
  </conditionalFormatting>
  <conditionalFormatting sqref="U85:W91">
    <cfRule type="expression" dxfId="636" priority="123">
      <formula>U$9&gt;=20/24</formula>
    </cfRule>
    <cfRule type="expression" dxfId="635" priority="124">
      <formula>AND(U$9&gt;=14/24,U$9&lt;20/24)</formula>
    </cfRule>
    <cfRule type="expression" dxfId="634" priority="125">
      <formula>AND(U$9&gt;=8/24,U$9&lt;14/24)</formula>
    </cfRule>
    <cfRule type="expression" dxfId="633" priority="126">
      <formula>U$9&lt;8/24</formula>
    </cfRule>
  </conditionalFormatting>
  <conditionalFormatting sqref="C84:R91 S85:T91">
    <cfRule type="expression" dxfId="632" priority="119">
      <formula>C$9&gt;=20/24</formula>
    </cfRule>
    <cfRule type="expression" dxfId="631" priority="120">
      <formula>AND(C$9&gt;=14/24,C$9&lt;20/24)</formula>
    </cfRule>
    <cfRule type="expression" dxfId="630" priority="121">
      <formula>AND(C$9&gt;=8/24,C$9&lt;14/24)</formula>
    </cfRule>
    <cfRule type="expression" dxfId="629" priority="122">
      <formula>C$9&lt;8/24</formula>
    </cfRule>
  </conditionalFormatting>
  <conditionalFormatting sqref="S84:T84">
    <cfRule type="expression" dxfId="628" priority="115">
      <formula>S$9&gt;=20/24</formula>
    </cfRule>
    <cfRule type="expression" dxfId="627" priority="116">
      <formula>AND(S$9&gt;=14/24,S$9&lt;20/24)</formula>
    </cfRule>
    <cfRule type="expression" dxfId="626" priority="117">
      <formula>AND(S$9&gt;=8/24,S$9&lt;14/24)</formula>
    </cfRule>
    <cfRule type="expression" dxfId="625" priority="118">
      <formula>S$9&lt;8/24</formula>
    </cfRule>
  </conditionalFormatting>
  <conditionalFormatting sqref="C95:M97 C94:F94">
    <cfRule type="expression" dxfId="624" priority="111">
      <formula>C$9&gt;=20/24</formula>
    </cfRule>
    <cfRule type="expression" dxfId="623" priority="112">
      <formula>AND(C$9&gt;=14/24,C$9&lt;20/24)</formula>
    </cfRule>
    <cfRule type="expression" dxfId="622" priority="113">
      <formula>AND(C$9&gt;=8/24,C$9&lt;14/24)</formula>
    </cfRule>
    <cfRule type="expression" dxfId="621" priority="114">
      <formula>C$9&lt;8/24</formula>
    </cfRule>
  </conditionalFormatting>
  <conditionalFormatting sqref="N95:R97 O94:R94">
    <cfRule type="expression" dxfId="620" priority="107">
      <formula>N$9&gt;=20/24</formula>
    </cfRule>
    <cfRule type="expression" dxfId="619" priority="108">
      <formula>AND(N$9&gt;=14/24,N$9&lt;20/24)</formula>
    </cfRule>
    <cfRule type="expression" dxfId="618" priority="109">
      <formula>AND(N$9&gt;=8/24,N$9&lt;14/24)</formula>
    </cfRule>
    <cfRule type="expression" dxfId="617" priority="110">
      <formula>N$9&lt;8/24</formula>
    </cfRule>
  </conditionalFormatting>
  <conditionalFormatting sqref="S94:T97">
    <cfRule type="expression" dxfId="616" priority="103">
      <formula>S$9&gt;=20/24</formula>
    </cfRule>
    <cfRule type="expression" dxfId="615" priority="104">
      <formula>AND(S$9&gt;=14/24,S$9&lt;20/24)</formula>
    </cfRule>
    <cfRule type="expression" dxfId="614" priority="105">
      <formula>AND(S$9&gt;=8/24,S$9&lt;14/24)</formula>
    </cfRule>
    <cfRule type="expression" dxfId="613" priority="106">
      <formula>S$9&lt;8/24</formula>
    </cfRule>
  </conditionalFormatting>
  <conditionalFormatting sqref="C98:M98">
    <cfRule type="expression" dxfId="612" priority="99">
      <formula>C$9&gt;=20/24</formula>
    </cfRule>
    <cfRule type="expression" dxfId="611" priority="100">
      <formula>AND(C$9&gt;=14/24,C$9&lt;20/24)</formula>
    </cfRule>
    <cfRule type="expression" dxfId="610" priority="101">
      <formula>AND(C$9&gt;=8/24,C$9&lt;14/24)</formula>
    </cfRule>
    <cfRule type="expression" dxfId="609" priority="102">
      <formula>C$9&lt;8/24</formula>
    </cfRule>
  </conditionalFormatting>
  <conditionalFormatting sqref="N98:R98">
    <cfRule type="expression" dxfId="608" priority="95">
      <formula>N$9&gt;=20/24</formula>
    </cfRule>
    <cfRule type="expression" dxfId="607" priority="96">
      <formula>AND(N$9&gt;=14/24,N$9&lt;20/24)</formula>
    </cfRule>
    <cfRule type="expression" dxfId="606" priority="97">
      <formula>AND(N$9&gt;=8/24,N$9&lt;14/24)</formula>
    </cfRule>
    <cfRule type="expression" dxfId="605" priority="98">
      <formula>N$9&lt;8/24</formula>
    </cfRule>
  </conditionalFormatting>
  <conditionalFormatting sqref="S98:T98">
    <cfRule type="expression" dxfId="604" priority="91">
      <formula>S$9&gt;=20/24</formula>
    </cfRule>
    <cfRule type="expression" dxfId="603" priority="92">
      <formula>AND(S$9&gt;=14/24,S$9&lt;20/24)</formula>
    </cfRule>
    <cfRule type="expression" dxfId="602" priority="93">
      <formula>AND(S$9&gt;=8/24,S$9&lt;14/24)</formula>
    </cfRule>
    <cfRule type="expression" dxfId="601" priority="94">
      <formula>S$9&lt;8/24</formula>
    </cfRule>
  </conditionalFormatting>
  <conditionalFormatting sqref="M94:N94">
    <cfRule type="expression" dxfId="600" priority="87">
      <formula>M$9&gt;=20/24</formula>
    </cfRule>
    <cfRule type="expression" dxfId="599" priority="88">
      <formula>AND(M$9&gt;=14/24,M$9&lt;20/24)</formula>
    </cfRule>
    <cfRule type="expression" dxfId="598" priority="89">
      <formula>AND(M$9&gt;=8/24,M$9&lt;14/24)</formula>
    </cfRule>
    <cfRule type="expression" dxfId="597" priority="90">
      <formula>M$9&lt;8/24</formula>
    </cfRule>
  </conditionalFormatting>
  <conditionalFormatting sqref="G94:L94">
    <cfRule type="expression" dxfId="596" priority="83">
      <formula>G$9&gt;=20/24</formula>
    </cfRule>
    <cfRule type="expression" dxfId="595" priority="84">
      <formula>AND(G$9&gt;=14/24,G$9&lt;20/24)</formula>
    </cfRule>
    <cfRule type="expression" dxfId="594" priority="85">
      <formula>AND(G$9&gt;=8/24,G$9&lt;14/24)</formula>
    </cfRule>
    <cfRule type="expression" dxfId="593" priority="86">
      <formula>G$9&lt;8/24</formula>
    </cfRule>
  </conditionalFormatting>
  <conditionalFormatting sqref="U94:W94">
    <cfRule type="expression" dxfId="592" priority="79">
      <formula>U$9&gt;=20/24</formula>
    </cfRule>
    <cfRule type="expression" dxfId="591" priority="80">
      <formula>AND(U$9&gt;=14/24,U$9&lt;20/24)</formula>
    </cfRule>
    <cfRule type="expression" dxfId="590" priority="81">
      <formula>AND(U$9&gt;=8/24,U$9&lt;14/24)</formula>
    </cfRule>
    <cfRule type="expression" dxfId="589" priority="82">
      <formula>U$9&lt;8/24</formula>
    </cfRule>
  </conditionalFormatting>
  <conditionalFormatting sqref="N94:T94">
    <cfRule type="expression" dxfId="588" priority="75">
      <formula>N$9&gt;=20/24</formula>
    </cfRule>
    <cfRule type="expression" dxfId="587" priority="76">
      <formula>AND(N$9&gt;=14/24,N$9&lt;20/24)</formula>
    </cfRule>
    <cfRule type="expression" dxfId="586" priority="77">
      <formula>AND(N$9&gt;=8/24,N$9&lt;14/24)</formula>
    </cfRule>
    <cfRule type="expression" dxfId="585" priority="78">
      <formula>N$9&lt;8/24</formula>
    </cfRule>
  </conditionalFormatting>
  <conditionalFormatting sqref="U99:AA99">
    <cfRule type="expression" dxfId="584" priority="71">
      <formula>U$9&gt;=20/24</formula>
    </cfRule>
    <cfRule type="expression" dxfId="583" priority="72">
      <formula>AND(U$9&gt;=14/24,U$9&lt;20/24)</formula>
    </cfRule>
    <cfRule type="expression" dxfId="582" priority="73">
      <formula>AND(U$9&gt;=8/24,U$9&lt;14/24)</formula>
    </cfRule>
    <cfRule type="expression" dxfId="581" priority="74">
      <formula>U$9&lt;8/24</formula>
    </cfRule>
  </conditionalFormatting>
  <conditionalFormatting sqref="C99:M99">
    <cfRule type="expression" dxfId="580" priority="67">
      <formula>C$9&gt;=20/24</formula>
    </cfRule>
    <cfRule type="expression" dxfId="579" priority="68">
      <formula>AND(C$9&gt;=14/24,C$9&lt;20/24)</formula>
    </cfRule>
    <cfRule type="expression" dxfId="578" priority="69">
      <formula>AND(C$9&gt;=8/24,C$9&lt;14/24)</formula>
    </cfRule>
    <cfRule type="expression" dxfId="577" priority="70">
      <formula>C$9&lt;8/24</formula>
    </cfRule>
  </conditionalFormatting>
  <conditionalFormatting sqref="N99:R99">
    <cfRule type="expression" dxfId="576" priority="63">
      <formula>N$9&gt;=20/24</formula>
    </cfRule>
    <cfRule type="expression" dxfId="575" priority="64">
      <formula>AND(N$9&gt;=14/24,N$9&lt;20/24)</formula>
    </cfRule>
    <cfRule type="expression" dxfId="574" priority="65">
      <formula>AND(N$9&gt;=8/24,N$9&lt;14/24)</formula>
    </cfRule>
    <cfRule type="expression" dxfId="573" priority="66">
      <formula>N$9&lt;8/24</formula>
    </cfRule>
  </conditionalFormatting>
  <conditionalFormatting sqref="S99:T99">
    <cfRule type="expression" dxfId="572" priority="59">
      <formula>S$9&gt;=20/24</formula>
    </cfRule>
    <cfRule type="expression" dxfId="571" priority="60">
      <formula>AND(S$9&gt;=14/24,S$9&lt;20/24)</formula>
    </cfRule>
    <cfRule type="expression" dxfId="570" priority="61">
      <formula>AND(S$9&gt;=8/24,S$9&lt;14/24)</formula>
    </cfRule>
    <cfRule type="expression" dxfId="569" priority="62">
      <formula>S$9&lt;8/24</formula>
    </cfRule>
  </conditionalFormatting>
  <conditionalFormatting sqref="Y12:AF16">
    <cfRule type="expression" dxfId="568" priority="55">
      <formula>Y$9&gt;=20/24</formula>
    </cfRule>
    <cfRule type="expression" dxfId="567" priority="56">
      <formula>AND(Y$9&gt;=14/24,Y$9&lt;20/24)</formula>
    </cfRule>
    <cfRule type="expression" dxfId="566" priority="57">
      <formula>AND(Y$9&gt;=8/24,Y$9&lt;14/24)</formula>
    </cfRule>
    <cfRule type="expression" dxfId="565" priority="58">
      <formula>Y$9&lt;8/24</formula>
    </cfRule>
  </conditionalFormatting>
  <conditionalFormatting sqref="Y17:AF17">
    <cfRule type="expression" dxfId="564" priority="51">
      <formula>Y$9&gt;=20/24</formula>
    </cfRule>
    <cfRule type="expression" dxfId="563" priority="52">
      <formula>AND(Y$9&gt;=14/24,Y$9&lt;20/24)</formula>
    </cfRule>
    <cfRule type="expression" dxfId="562" priority="53">
      <formula>AND(Y$9&gt;=8/24,Y$9&lt;14/24)</formula>
    </cfRule>
    <cfRule type="expression" dxfId="561" priority="54">
      <formula>Y$9&lt;8/24</formula>
    </cfRule>
  </conditionalFormatting>
  <conditionalFormatting sqref="Y12:AF13">
    <cfRule type="expression" dxfId="560" priority="47">
      <formula>Y$9&gt;=20/24</formula>
    </cfRule>
    <cfRule type="expression" dxfId="559" priority="48">
      <formula>AND(Y$9&gt;=14/24,Y$9&lt;20/24)</formula>
    </cfRule>
    <cfRule type="expression" dxfId="558" priority="49">
      <formula>AND(Y$9&gt;=8/24,Y$9&lt;14/24)</formula>
    </cfRule>
    <cfRule type="expression" dxfId="557" priority="50">
      <formula>Y$9&lt;8/24</formula>
    </cfRule>
  </conditionalFormatting>
  <conditionalFormatting sqref="AB58:AE59">
    <cfRule type="expression" dxfId="556" priority="43">
      <formula>AB$9&gt;=20/24</formula>
    </cfRule>
    <cfRule type="expression" dxfId="555" priority="44">
      <formula>AND(AB$9&gt;=14/24,AB$9&lt;20/24)</formula>
    </cfRule>
    <cfRule type="expression" dxfId="554" priority="45">
      <formula>AND(AB$9&gt;=8/24,AB$9&lt;14/24)</formula>
    </cfRule>
    <cfRule type="expression" dxfId="553" priority="46">
      <formula>AB$9&lt;8/24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2" priority="276">
      <formula>C$9&gt;=20/24</formula>
    </cfRule>
    <cfRule type="expression" dxfId="551" priority="277">
      <formula>AND(C$9&gt;=14/24,C$9&lt;20/24)</formula>
    </cfRule>
    <cfRule type="expression" dxfId="550" priority="278">
      <formula>AND(C$9&gt;=8/24,C$9&lt;14/24)</formula>
    </cfRule>
    <cfRule type="expression" dxfId="549" priority="279">
      <formula>C$9&lt;8/24</formula>
    </cfRule>
  </conditionalFormatting>
  <conditionalFormatting sqref="A200">
    <cfRule type="expression" dxfId="548" priority="280">
      <formula>$AH200=0</formula>
    </cfRule>
  </conditionalFormatting>
  <conditionalFormatting sqref="AG212">
    <cfRule type="expression" dxfId="547" priority="281">
      <formula>B$9&gt;=20/24</formula>
    </cfRule>
    <cfRule type="expression" dxfId="546" priority="282">
      <formula>AND(B$9&gt;=14/24,B$9&lt;20/24)</formula>
    </cfRule>
    <cfRule type="expression" dxfId="545" priority="283">
      <formula>AND(B$9&gt;=8/24,B$9&lt;14/24)</formula>
    </cfRule>
    <cfRule type="expression" dxfId="544" priority="284">
      <formula>B$9&lt;8/24</formula>
    </cfRule>
  </conditionalFormatting>
  <conditionalFormatting sqref="S8">
    <cfRule type="expression" dxfId="543" priority="37">
      <formula>U$9&gt;=20/24</formula>
    </cfRule>
    <cfRule type="expression" dxfId="542" priority="38">
      <formula>AND(U$9&gt;=14/24,U$9&lt;20/24)</formula>
    </cfRule>
    <cfRule type="expression" dxfId="541" priority="39">
      <formula>AND(U$9&gt;=8/24,U$9&lt;14/24)</formula>
    </cfRule>
    <cfRule type="expression" dxfId="540" priority="40">
      <formula>U$9&lt;8/24</formula>
    </cfRule>
  </conditionalFormatting>
  <conditionalFormatting sqref="AB8">
    <cfRule type="expression" dxfId="539" priority="33">
      <formula>AD$9&gt;=20/24</formula>
    </cfRule>
    <cfRule type="expression" dxfId="538" priority="34">
      <formula>AND(AD$9&gt;=14/24,AD$9&lt;20/24)</formula>
    </cfRule>
    <cfRule type="expression" dxfId="537" priority="35">
      <formula>AND(AD$9&gt;=8/24,AD$9&lt;14/24)</formula>
    </cfRule>
    <cfRule type="expression" dxfId="536" priority="36">
      <formula>AD$9&lt;8/24</formula>
    </cfRule>
  </conditionalFormatting>
  <conditionalFormatting sqref="AH212:AX212">
    <cfRule type="expression" dxfId="535" priority="285">
      <formula>AG$9&gt;=20/24</formula>
    </cfRule>
    <cfRule type="expression" dxfId="534" priority="286">
      <formula>AND(AG$9&gt;=14/24,AG$9&lt;20/24)</formula>
    </cfRule>
    <cfRule type="expression" dxfId="533" priority="287">
      <formula>AND(AG$9&gt;=8/24,AG$9&lt;14/24)</formula>
    </cfRule>
    <cfRule type="expression" dxfId="532" priority="288">
      <formula>AG$9&lt;8/24</formula>
    </cfRule>
  </conditionalFormatting>
  <conditionalFormatting sqref="T212">
    <cfRule type="expression" dxfId="531" priority="289">
      <formula>AX$9&gt;=20/24</formula>
    </cfRule>
    <cfRule type="expression" dxfId="530" priority="290">
      <formula>AND(AX$9&gt;=14/24,AX$9&lt;20/24)</formula>
    </cfRule>
    <cfRule type="expression" dxfId="529" priority="291">
      <formula>AND(AX$9&gt;=8/24,AX$9&lt;14/24)</formula>
    </cfRule>
    <cfRule type="expression" dxfId="528" priority="292">
      <formula>AX$9&lt;8/24</formula>
    </cfRule>
  </conditionalFormatting>
  <conditionalFormatting sqref="A99">
    <cfRule type="expression" dxfId="527" priority="32">
      <formula>$AH99=0</formula>
    </cfRule>
  </conditionalFormatting>
  <conditionalFormatting sqref="Y33:AF33">
    <cfRule type="expression" dxfId="526" priority="20">
      <formula>Y$9&gt;=20/24</formula>
    </cfRule>
    <cfRule type="expression" dxfId="525" priority="21">
      <formula>AND(Y$9&gt;=14/24,Y$9&lt;20/24)</formula>
    </cfRule>
    <cfRule type="expression" dxfId="524" priority="22">
      <formula>AND(Y$9&gt;=8/24,Y$9&lt;14/24)</formula>
    </cfRule>
    <cfRule type="expression" dxfId="523" priority="23">
      <formula>Y$9&lt;8/24</formula>
    </cfRule>
  </conditionalFormatting>
  <conditionalFormatting sqref="B33:L33 Y33:AF33">
    <cfRule type="expression" dxfId="522" priority="19">
      <formula>B33&gt;$AG33</formula>
    </cfRule>
  </conditionalFormatting>
  <conditionalFormatting sqref="M16:X32 M36:X36">
    <cfRule type="expression" dxfId="521" priority="15">
      <formula>M$9&gt;=20/24</formula>
    </cfRule>
    <cfRule type="expression" dxfId="520" priority="16">
      <formula>AND(M$9&gt;=14/24,M$9&lt;20/24)</formula>
    </cfRule>
    <cfRule type="expression" dxfId="519" priority="17">
      <formula>AND(M$9&gt;=8/24,M$9&lt;14/24)</formula>
    </cfRule>
    <cfRule type="expression" dxfId="518" priority="18">
      <formula>M$9&lt;8/24</formula>
    </cfRule>
  </conditionalFormatting>
  <conditionalFormatting sqref="M35:X35">
    <cfRule type="expression" dxfId="517" priority="11">
      <formula>M$9&gt;=20/24</formula>
    </cfRule>
    <cfRule type="expression" dxfId="516" priority="12">
      <formula>AND(M$9&gt;=14/24,M$9&lt;20/24)</formula>
    </cfRule>
    <cfRule type="expression" dxfId="515" priority="13">
      <formula>AND(M$9&gt;=8/24,M$9&lt;14/24)</formula>
    </cfRule>
    <cfRule type="expression" dxfId="514" priority="14">
      <formula>M$9&lt;8/24</formula>
    </cfRule>
  </conditionalFormatting>
  <conditionalFormatting sqref="M16:X32 M34:X36">
    <cfRule type="expression" dxfId="513" priority="10">
      <formula>M16&gt;$AG16</formula>
    </cfRule>
  </conditionalFormatting>
  <conditionalFormatting sqref="M34:X34">
    <cfRule type="expression" dxfId="512" priority="6">
      <formula>M$9&gt;=20/24</formula>
    </cfRule>
    <cfRule type="expression" dxfId="511" priority="7">
      <formula>AND(M$9&gt;=14/24,M$9&lt;20/24)</formula>
    </cfRule>
    <cfRule type="expression" dxfId="510" priority="8">
      <formula>AND(M$9&gt;=8/24,M$9&lt;14/24)</formula>
    </cfRule>
    <cfRule type="expression" dxfId="509" priority="9">
      <formula>M$9&lt;8/24</formula>
    </cfRule>
  </conditionalFormatting>
  <conditionalFormatting sqref="M33:X33">
    <cfRule type="expression" dxfId="508" priority="2">
      <formula>M$9&gt;=20/24</formula>
    </cfRule>
    <cfRule type="expression" dxfId="507" priority="3">
      <formula>AND(M$9&gt;=14/24,M$9&lt;20/24)</formula>
    </cfRule>
    <cfRule type="expression" dxfId="506" priority="4">
      <formula>AND(M$9&gt;=8/24,M$9&lt;14/24)</formula>
    </cfRule>
    <cfRule type="expression" dxfId="505" priority="5">
      <formula>M$9&lt;8/24</formula>
    </cfRule>
  </conditionalFormatting>
  <conditionalFormatting sqref="M33:X33">
    <cfRule type="expression" dxfId="504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" id="{A8B2E268-9A64-454B-AAC2-1A54EC533D6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D11" sqref="AD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e">
        <f ca="1">"2078/"&amp;"09/"&amp;INT(MID(CELL("filename",D6),FIND("]",CELL("filename",D6))+1,200))</f>
        <v>#VALUE!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298</v>
      </c>
      <c r="C5" s="32">
        <f t="shared" si="0"/>
        <v>286</v>
      </c>
      <c r="D5" s="32">
        <f t="shared" si="0"/>
        <v>283.7</v>
      </c>
      <c r="E5" s="32">
        <f t="shared" si="0"/>
        <v>266.5</v>
      </c>
      <c r="F5" s="32">
        <f t="shared" si="0"/>
        <v>289</v>
      </c>
      <c r="G5" s="32">
        <f t="shared" si="0"/>
        <v>306.8</v>
      </c>
      <c r="H5" s="32">
        <f t="shared" si="0"/>
        <v>353.9</v>
      </c>
      <c r="I5" s="32">
        <f t="shared" si="0"/>
        <v>361.4</v>
      </c>
      <c r="J5" s="32">
        <f t="shared" si="0"/>
        <v>170.2</v>
      </c>
      <c r="K5" s="32">
        <f t="shared" si="0"/>
        <v>172.10000000000002</v>
      </c>
      <c r="L5" s="32">
        <f t="shared" si="0"/>
        <v>169.7</v>
      </c>
      <c r="M5" s="32">
        <f t="shared" si="0"/>
        <v>154.1</v>
      </c>
      <c r="N5" s="32">
        <f t="shared" si="0"/>
        <v>221.1</v>
      </c>
      <c r="O5" s="32">
        <f t="shared" si="0"/>
        <v>213.7</v>
      </c>
      <c r="P5" s="32">
        <f t="shared" si="0"/>
        <v>168.7</v>
      </c>
      <c r="Q5" s="32">
        <f t="shared" si="0"/>
        <v>188.60000000000002</v>
      </c>
      <c r="R5" s="32">
        <f t="shared" si="0"/>
        <v>265.10000000000002</v>
      </c>
      <c r="S5" s="32">
        <f t="shared" si="0"/>
        <v>363.4</v>
      </c>
      <c r="T5" s="32">
        <f t="shared" si="0"/>
        <v>321.60000000000002</v>
      </c>
      <c r="U5" s="32">
        <f t="shared" si="0"/>
        <v>112.7</v>
      </c>
      <c r="V5" s="32">
        <f t="shared" si="0"/>
        <v>137.19999999999999</v>
      </c>
      <c r="W5" s="32">
        <f t="shared" si="0"/>
        <v>113.3</v>
      </c>
      <c r="X5" s="32">
        <f t="shared" si="0"/>
        <v>94.6</v>
      </c>
      <c r="Y5" s="32">
        <f t="shared" si="0"/>
        <v>86.8</v>
      </c>
      <c r="Z5" s="32">
        <f t="shared" si="0"/>
        <v>166.89999999999998</v>
      </c>
      <c r="AA5" s="32">
        <f t="shared" si="0"/>
        <v>247</v>
      </c>
      <c r="AB5" s="32">
        <f t="shared" si="0"/>
        <v>253</v>
      </c>
      <c r="AC5" s="32">
        <f t="shared" si="0"/>
        <v>280</v>
      </c>
      <c r="AD5" s="32">
        <f t="shared" si="0"/>
        <v>0</v>
      </c>
      <c r="AE5" s="32">
        <f t="shared" si="0"/>
        <v>0</v>
      </c>
      <c r="AF5" s="32">
        <f>B68</f>
        <v>224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1360MW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948.64</v>
      </c>
      <c r="C7" s="37">
        <f t="shared" ref="C7:AF7" si="1">C75</f>
        <v>879.63999999999987</v>
      </c>
      <c r="D7" s="37">
        <f t="shared" si="1"/>
        <v>864.43999999999994</v>
      </c>
      <c r="E7" s="37">
        <f t="shared" si="1"/>
        <v>867.13999999999987</v>
      </c>
      <c r="F7" s="37">
        <f t="shared" si="1"/>
        <v>924.93999999999994</v>
      </c>
      <c r="G7" s="37">
        <f t="shared" si="1"/>
        <v>962.14</v>
      </c>
      <c r="H7" s="37">
        <f t="shared" si="1"/>
        <v>1052.94</v>
      </c>
      <c r="I7" s="37">
        <f t="shared" si="1"/>
        <v>1134.04</v>
      </c>
      <c r="J7" s="37">
        <f t="shared" si="1"/>
        <v>1161.54</v>
      </c>
      <c r="K7" s="37">
        <f t="shared" si="1"/>
        <v>1333.94</v>
      </c>
      <c r="L7" s="37">
        <f t="shared" si="1"/>
        <v>1352.54</v>
      </c>
      <c r="M7" s="37">
        <f t="shared" si="1"/>
        <v>1359.94</v>
      </c>
      <c r="N7" s="37">
        <f t="shared" si="1"/>
        <v>1237.6399999999999</v>
      </c>
      <c r="O7" s="37">
        <f t="shared" si="1"/>
        <v>1118.3400000000001</v>
      </c>
      <c r="P7" s="37">
        <f t="shared" si="1"/>
        <v>971.54</v>
      </c>
      <c r="Q7" s="37">
        <f t="shared" si="1"/>
        <v>915.44</v>
      </c>
      <c r="R7" s="37">
        <f t="shared" si="1"/>
        <v>869.84</v>
      </c>
      <c r="S7" s="37">
        <f t="shared" si="1"/>
        <v>900.44</v>
      </c>
      <c r="T7" s="37">
        <f t="shared" si="1"/>
        <v>909.24</v>
      </c>
      <c r="U7" s="37">
        <f t="shared" si="1"/>
        <v>928.04</v>
      </c>
      <c r="V7" s="37">
        <f t="shared" si="1"/>
        <v>986.24</v>
      </c>
      <c r="W7" s="37">
        <f t="shared" si="1"/>
        <v>1104.44</v>
      </c>
      <c r="X7" s="37">
        <f t="shared" si="1"/>
        <v>1299.8399999999999</v>
      </c>
      <c r="Y7" s="37">
        <f t="shared" si="1"/>
        <v>1375.24</v>
      </c>
      <c r="Z7" s="37">
        <f t="shared" si="1"/>
        <v>1281.8400000000001</v>
      </c>
      <c r="AA7" s="37">
        <f t="shared" si="1"/>
        <v>1320.74</v>
      </c>
      <c r="AB7" s="37">
        <f t="shared" si="1"/>
        <v>1276.8400000000001</v>
      </c>
      <c r="AC7" s="37">
        <f t="shared" si="1"/>
        <v>1231.44</v>
      </c>
      <c r="AD7" s="37">
        <f t="shared" si="1"/>
        <v>1178.44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70</v>
      </c>
      <c r="C11" s="49">
        <v>15</v>
      </c>
      <c r="D11" s="49">
        <v>15</v>
      </c>
      <c r="E11" s="49">
        <v>15</v>
      </c>
      <c r="F11" s="49">
        <v>40</v>
      </c>
      <c r="G11" s="49">
        <v>61</v>
      </c>
      <c r="H11" s="49">
        <v>77</v>
      </c>
      <c r="I11" s="49">
        <v>60</v>
      </c>
      <c r="J11" s="49">
        <v>80</v>
      </c>
      <c r="K11" s="49">
        <v>310</v>
      </c>
      <c r="L11" s="49">
        <v>280</v>
      </c>
      <c r="M11" s="49">
        <v>280</v>
      </c>
      <c r="N11" s="49">
        <v>260</v>
      </c>
      <c r="O11" s="49">
        <v>110</v>
      </c>
      <c r="P11" s="50">
        <v>105</v>
      </c>
      <c r="Q11" s="50">
        <v>109</v>
      </c>
      <c r="R11" s="50">
        <v>106</v>
      </c>
      <c r="S11" s="50">
        <v>16</v>
      </c>
      <c r="T11" s="50">
        <v>16</v>
      </c>
      <c r="U11" s="50">
        <v>16</v>
      </c>
      <c r="V11" s="50">
        <v>150</v>
      </c>
      <c r="W11" s="50">
        <v>200</v>
      </c>
      <c r="X11" s="50">
        <v>320</v>
      </c>
      <c r="Y11" s="50">
        <v>370</v>
      </c>
      <c r="Z11" s="52">
        <v>300</v>
      </c>
      <c r="AA11" s="50">
        <v>280</v>
      </c>
      <c r="AB11" s="50">
        <v>170</v>
      </c>
      <c r="AC11" s="50">
        <v>130</v>
      </c>
      <c r="AD11" s="50">
        <v>50</v>
      </c>
      <c r="AE11" s="50"/>
      <c r="AF11" s="49"/>
      <c r="AG11" s="53">
        <v>456</v>
      </c>
      <c r="AH11" s="54">
        <f>MAX(B11:AF11)</f>
        <v>370</v>
      </c>
      <c r="AI11" s="55">
        <f>MIN(B11:AF11)</f>
        <v>15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58">
        <v>40</v>
      </c>
      <c r="Z12" s="58">
        <v>40</v>
      </c>
      <c r="AA12" s="58">
        <v>40</v>
      </c>
      <c r="AB12" s="58">
        <v>40</v>
      </c>
      <c r="AC12" s="58">
        <v>40</v>
      </c>
      <c r="AD12" s="58">
        <v>40</v>
      </c>
      <c r="AE12" s="50"/>
      <c r="AF12" s="49"/>
      <c r="AG12" s="59">
        <v>60</v>
      </c>
      <c r="AH12" s="54">
        <f t="shared" ref="AH12:AH75" si="2">MAX(B12:AF12)</f>
        <v>40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22.6</v>
      </c>
      <c r="C13" s="49">
        <v>22.6</v>
      </c>
      <c r="D13" s="49">
        <v>22.6</v>
      </c>
      <c r="E13" s="49">
        <v>22.6</v>
      </c>
      <c r="F13" s="49">
        <v>22.6</v>
      </c>
      <c r="G13" s="49">
        <v>22.6</v>
      </c>
      <c r="H13" s="49">
        <v>22.6</v>
      </c>
      <c r="I13" s="49">
        <v>22.6</v>
      </c>
      <c r="J13" s="49">
        <v>22.6</v>
      </c>
      <c r="K13" s="49">
        <v>22.6</v>
      </c>
      <c r="L13" s="49">
        <v>22.6</v>
      </c>
      <c r="M13" s="49">
        <v>21.9</v>
      </c>
      <c r="N13" s="49">
        <v>21.9</v>
      </c>
      <c r="O13" s="49">
        <v>21.9</v>
      </c>
      <c r="P13" s="49">
        <v>21.9</v>
      </c>
      <c r="Q13" s="49">
        <v>21.9</v>
      </c>
      <c r="R13" s="49">
        <v>21.9</v>
      </c>
      <c r="S13" s="49">
        <v>21.9</v>
      </c>
      <c r="T13" s="49">
        <v>21.9</v>
      </c>
      <c r="U13" s="49">
        <v>21.9</v>
      </c>
      <c r="V13" s="49">
        <v>21.9</v>
      </c>
      <c r="W13" s="49">
        <v>21.9</v>
      </c>
      <c r="X13" s="49">
        <v>21.9</v>
      </c>
      <c r="Y13" s="58">
        <v>21.9</v>
      </c>
      <c r="Z13" s="58">
        <v>21.9</v>
      </c>
      <c r="AA13" s="58">
        <v>21.9</v>
      </c>
      <c r="AB13" s="58">
        <v>22.6</v>
      </c>
      <c r="AC13" s="58">
        <v>22.6</v>
      </c>
      <c r="AD13" s="58">
        <v>22.6</v>
      </c>
      <c r="AE13" s="50"/>
      <c r="AF13" s="49"/>
      <c r="AG13" s="59">
        <v>52.4</v>
      </c>
      <c r="AH13" s="54">
        <f t="shared" si="2"/>
        <v>22.6</v>
      </c>
      <c r="AI13" s="55">
        <f t="shared" si="3"/>
        <v>21.9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42.6</v>
      </c>
      <c r="C14" s="49">
        <v>42.6</v>
      </c>
      <c r="D14" s="49">
        <v>42.6</v>
      </c>
      <c r="E14" s="49">
        <v>42.6</v>
      </c>
      <c r="F14" s="49">
        <v>42.6</v>
      </c>
      <c r="G14" s="49">
        <v>42.6</v>
      </c>
      <c r="H14" s="49">
        <v>42.6</v>
      </c>
      <c r="I14" s="49">
        <v>42.6</v>
      </c>
      <c r="J14" s="49">
        <v>42.6</v>
      </c>
      <c r="K14" s="49">
        <v>42.6</v>
      </c>
      <c r="L14" s="49">
        <v>42.6</v>
      </c>
      <c r="M14" s="49">
        <v>41.6</v>
      </c>
      <c r="N14" s="49">
        <v>41.6</v>
      </c>
      <c r="O14" s="49">
        <v>41.6</v>
      </c>
      <c r="P14" s="49">
        <v>41.6</v>
      </c>
      <c r="Q14" s="49">
        <v>41.6</v>
      </c>
      <c r="R14" s="49">
        <v>41.6</v>
      </c>
      <c r="S14" s="49">
        <v>41.6</v>
      </c>
      <c r="T14" s="49">
        <v>41.6</v>
      </c>
      <c r="U14" s="49">
        <v>41.6</v>
      </c>
      <c r="V14" s="49">
        <v>41.6</v>
      </c>
      <c r="W14" s="49">
        <v>41.6</v>
      </c>
      <c r="X14" s="49">
        <v>41.6</v>
      </c>
      <c r="Y14" s="60">
        <v>41.6</v>
      </c>
      <c r="Z14" s="60">
        <v>41.6</v>
      </c>
      <c r="AA14" s="60">
        <v>41.6</v>
      </c>
      <c r="AB14" s="60">
        <v>41.9</v>
      </c>
      <c r="AC14" s="60">
        <v>41.9</v>
      </c>
      <c r="AD14" s="60">
        <v>41.9</v>
      </c>
      <c r="AE14" s="50"/>
      <c r="AF14" s="49"/>
      <c r="AG14" s="59">
        <v>50</v>
      </c>
      <c r="AH14" s="54">
        <f t="shared" si="2"/>
        <v>42.6</v>
      </c>
      <c r="AI14" s="55">
        <f t="shared" si="3"/>
        <v>41.6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21.9</v>
      </c>
      <c r="C15" s="61">
        <v>21.9</v>
      </c>
      <c r="D15" s="61">
        <v>21.9</v>
      </c>
      <c r="E15" s="61">
        <v>21.9</v>
      </c>
      <c r="F15" s="61">
        <v>21.9</v>
      </c>
      <c r="G15" s="61">
        <v>21.9</v>
      </c>
      <c r="H15" s="61">
        <v>21.9</v>
      </c>
      <c r="I15" s="61">
        <v>21.9</v>
      </c>
      <c r="J15" s="61">
        <v>21.9</v>
      </c>
      <c r="K15" s="61">
        <v>21.9</v>
      </c>
      <c r="L15" s="61">
        <v>21.9</v>
      </c>
      <c r="M15" s="61">
        <v>22.8</v>
      </c>
      <c r="N15" s="61">
        <v>22.8</v>
      </c>
      <c r="O15" s="61">
        <v>22.8</v>
      </c>
      <c r="P15" s="61">
        <v>22.8</v>
      </c>
      <c r="Q15" s="61">
        <v>22.8</v>
      </c>
      <c r="R15" s="61">
        <v>22.8</v>
      </c>
      <c r="S15" s="61">
        <v>22.8</v>
      </c>
      <c r="T15" s="61">
        <v>22.8</v>
      </c>
      <c r="U15" s="61">
        <v>22.8</v>
      </c>
      <c r="V15" s="61">
        <v>22.8</v>
      </c>
      <c r="W15" s="61">
        <v>22.8</v>
      </c>
      <c r="X15" s="61">
        <v>22.8</v>
      </c>
      <c r="Y15" s="60">
        <v>22.8</v>
      </c>
      <c r="Z15" s="60">
        <v>22.8</v>
      </c>
      <c r="AA15" s="60">
        <v>22.8</v>
      </c>
      <c r="AB15" s="60">
        <v>22.8</v>
      </c>
      <c r="AC15" s="60">
        <v>22.8</v>
      </c>
      <c r="AD15" s="60">
        <v>22.8</v>
      </c>
      <c r="AE15" s="50"/>
      <c r="AF15" s="61"/>
      <c r="AG15" s="62">
        <v>45</v>
      </c>
      <c r="AH15" s="54">
        <f t="shared" si="2"/>
        <v>22.8</v>
      </c>
      <c r="AI15" s="55">
        <f t="shared" si="3"/>
        <v>21.9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49">
        <v>12</v>
      </c>
      <c r="N16" s="49">
        <v>12</v>
      </c>
      <c r="O16" s="49">
        <v>12</v>
      </c>
      <c r="P16" s="49">
        <v>12</v>
      </c>
      <c r="Q16" s="49">
        <v>12</v>
      </c>
      <c r="R16" s="49">
        <v>12</v>
      </c>
      <c r="S16" s="49">
        <v>12</v>
      </c>
      <c r="T16" s="49">
        <v>12</v>
      </c>
      <c r="U16" s="49">
        <v>12</v>
      </c>
      <c r="V16" s="49">
        <v>12</v>
      </c>
      <c r="W16" s="49">
        <v>12</v>
      </c>
      <c r="X16" s="49">
        <v>12</v>
      </c>
      <c r="Y16" s="63">
        <v>12</v>
      </c>
      <c r="Z16" s="63">
        <v>12</v>
      </c>
      <c r="AA16" s="63">
        <v>12</v>
      </c>
      <c r="AB16" s="63">
        <v>12</v>
      </c>
      <c r="AC16" s="63">
        <v>12</v>
      </c>
      <c r="AD16" s="63">
        <v>12</v>
      </c>
      <c r="AE16" s="50"/>
      <c r="AF16" s="49"/>
      <c r="AG16" s="59">
        <v>45</v>
      </c>
      <c r="AH16" s="54">
        <f t="shared" si="2"/>
        <v>12</v>
      </c>
      <c r="AI16" s="55">
        <f t="shared" si="3"/>
        <v>12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10</v>
      </c>
      <c r="L17" s="49">
        <v>10</v>
      </c>
      <c r="M17" s="49">
        <v>10</v>
      </c>
      <c r="N17" s="49">
        <v>10</v>
      </c>
      <c r="O17" s="49">
        <v>10</v>
      </c>
      <c r="P17" s="49">
        <v>10</v>
      </c>
      <c r="Q17" s="49">
        <v>10</v>
      </c>
      <c r="R17" s="49">
        <v>10</v>
      </c>
      <c r="S17" s="49">
        <v>10</v>
      </c>
      <c r="T17" s="49">
        <v>10</v>
      </c>
      <c r="U17" s="49">
        <v>10</v>
      </c>
      <c r="V17" s="49">
        <v>10</v>
      </c>
      <c r="W17" s="49">
        <v>10</v>
      </c>
      <c r="X17" s="49">
        <v>10</v>
      </c>
      <c r="Y17" s="60">
        <v>10</v>
      </c>
      <c r="Z17" s="60">
        <v>10</v>
      </c>
      <c r="AA17" s="60">
        <v>10</v>
      </c>
      <c r="AB17" s="60">
        <v>10</v>
      </c>
      <c r="AC17" s="60">
        <v>10</v>
      </c>
      <c r="AD17" s="60">
        <v>10</v>
      </c>
      <c r="AE17" s="50"/>
      <c r="AF17" s="49"/>
      <c r="AG17" s="59">
        <v>42</v>
      </c>
      <c r="AH17" s="54">
        <f t="shared" si="2"/>
        <v>10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49">
        <v>10</v>
      </c>
      <c r="N18" s="49">
        <v>10</v>
      </c>
      <c r="O18" s="49">
        <v>10</v>
      </c>
      <c r="P18" s="49">
        <v>10</v>
      </c>
      <c r="Q18" s="49">
        <v>10</v>
      </c>
      <c r="R18" s="49">
        <v>10</v>
      </c>
      <c r="S18" s="49">
        <v>10</v>
      </c>
      <c r="T18" s="49">
        <v>10</v>
      </c>
      <c r="U18" s="49">
        <v>10</v>
      </c>
      <c r="V18" s="49">
        <v>10</v>
      </c>
      <c r="W18" s="49">
        <v>10</v>
      </c>
      <c r="X18" s="49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/>
      <c r="AF18" s="49"/>
      <c r="AG18" s="59">
        <v>36</v>
      </c>
      <c r="AH18" s="54">
        <f t="shared" si="2"/>
        <v>10</v>
      </c>
      <c r="AI18" s="55">
        <f t="shared" si="3"/>
        <v>10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10.9</v>
      </c>
      <c r="C19" s="49">
        <v>10.9</v>
      </c>
      <c r="D19" s="49">
        <v>10.9</v>
      </c>
      <c r="E19" s="49">
        <v>10.9</v>
      </c>
      <c r="F19" s="49">
        <v>10.9</v>
      </c>
      <c r="G19" s="49">
        <v>10.9</v>
      </c>
      <c r="H19" s="49">
        <v>10.9</v>
      </c>
      <c r="I19" s="49">
        <v>10.9</v>
      </c>
      <c r="J19" s="49">
        <v>10.9</v>
      </c>
      <c r="K19" s="49">
        <v>10.9</v>
      </c>
      <c r="L19" s="49">
        <v>10.9</v>
      </c>
      <c r="M19" s="49">
        <v>10.9</v>
      </c>
      <c r="N19" s="49">
        <v>10.9</v>
      </c>
      <c r="O19" s="49">
        <v>10.9</v>
      </c>
      <c r="P19" s="49">
        <v>10.9</v>
      </c>
      <c r="Q19" s="49">
        <v>10.9</v>
      </c>
      <c r="R19" s="49">
        <v>10.9</v>
      </c>
      <c r="S19" s="49">
        <v>10.9</v>
      </c>
      <c r="T19" s="49">
        <v>10.9</v>
      </c>
      <c r="U19" s="49">
        <v>10.9</v>
      </c>
      <c r="V19" s="49">
        <v>10.9</v>
      </c>
      <c r="W19" s="49">
        <v>10.9</v>
      </c>
      <c r="X19" s="49">
        <v>10.9</v>
      </c>
      <c r="Y19" s="50">
        <v>10.9</v>
      </c>
      <c r="Z19" s="50">
        <v>10.9</v>
      </c>
      <c r="AA19" s="50">
        <v>10.9</v>
      </c>
      <c r="AB19" s="50">
        <v>10.8</v>
      </c>
      <c r="AC19" s="50">
        <v>10.8</v>
      </c>
      <c r="AD19" s="50">
        <v>10.8</v>
      </c>
      <c r="AE19" s="50"/>
      <c r="AF19" s="49"/>
      <c r="AG19" s="59">
        <v>30</v>
      </c>
      <c r="AH19" s="54">
        <f t="shared" si="2"/>
        <v>10.9</v>
      </c>
      <c r="AI19" s="55">
        <f t="shared" si="3"/>
        <v>10.8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49">
        <v>6.2</v>
      </c>
      <c r="T20" s="49">
        <v>6.2</v>
      </c>
      <c r="U20" s="49">
        <v>6.2</v>
      </c>
      <c r="V20" s="49">
        <v>6.2</v>
      </c>
      <c r="W20" s="49">
        <v>6.2</v>
      </c>
      <c r="X20" s="49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/>
      <c r="AF20" s="49"/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49">
        <v>8.5</v>
      </c>
      <c r="T21" s="49">
        <v>8.5</v>
      </c>
      <c r="U21" s="49">
        <v>8.5</v>
      </c>
      <c r="V21" s="49">
        <v>8.5</v>
      </c>
      <c r="W21" s="49">
        <v>8.5</v>
      </c>
      <c r="X21" s="49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/>
      <c r="AF21" s="49"/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15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49">
        <v>15</v>
      </c>
      <c r="M22" s="49">
        <v>15</v>
      </c>
      <c r="N22" s="49">
        <v>15</v>
      </c>
      <c r="O22" s="49">
        <v>15</v>
      </c>
      <c r="P22" s="49">
        <v>15</v>
      </c>
      <c r="Q22" s="49">
        <v>15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20</v>
      </c>
      <c r="Z22" s="50">
        <v>20</v>
      </c>
      <c r="AA22" s="50">
        <v>20</v>
      </c>
      <c r="AB22" s="50">
        <v>19.100000000000001</v>
      </c>
      <c r="AC22" s="50">
        <v>19.100000000000001</v>
      </c>
      <c r="AD22" s="50">
        <v>19.100000000000001</v>
      </c>
      <c r="AE22" s="50"/>
      <c r="AF22" s="49"/>
      <c r="AG22" s="59">
        <v>25</v>
      </c>
      <c r="AH22" s="54">
        <f t="shared" si="2"/>
        <v>20</v>
      </c>
      <c r="AI22" s="55">
        <f t="shared" si="3"/>
        <v>11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49">
        <v>8</v>
      </c>
      <c r="N23" s="49">
        <v>8</v>
      </c>
      <c r="O23" s="49">
        <v>8</v>
      </c>
      <c r="P23" s="49">
        <v>8</v>
      </c>
      <c r="Q23" s="49">
        <v>8</v>
      </c>
      <c r="R23" s="49">
        <v>8</v>
      </c>
      <c r="S23" s="49">
        <v>8</v>
      </c>
      <c r="T23" s="49">
        <v>8</v>
      </c>
      <c r="U23" s="49">
        <v>8</v>
      </c>
      <c r="V23" s="49">
        <v>8</v>
      </c>
      <c r="W23" s="49">
        <v>8</v>
      </c>
      <c r="X23" s="49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/>
      <c r="AF23" s="49"/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12.6</v>
      </c>
      <c r="C24" s="49">
        <v>12.6</v>
      </c>
      <c r="D24" s="49">
        <v>12.6</v>
      </c>
      <c r="E24" s="49">
        <v>12.6</v>
      </c>
      <c r="F24" s="49">
        <v>12.6</v>
      </c>
      <c r="G24" s="49">
        <v>12.6</v>
      </c>
      <c r="H24" s="49">
        <v>12.6</v>
      </c>
      <c r="I24" s="49">
        <v>12.6</v>
      </c>
      <c r="J24" s="49">
        <v>12.6</v>
      </c>
      <c r="K24" s="49">
        <v>12.6</v>
      </c>
      <c r="L24" s="49">
        <v>12.6</v>
      </c>
      <c r="M24" s="49">
        <v>11.4</v>
      </c>
      <c r="N24" s="49">
        <v>11.4</v>
      </c>
      <c r="O24" s="49">
        <v>11.4</v>
      </c>
      <c r="P24" s="49">
        <v>11.4</v>
      </c>
      <c r="Q24" s="49">
        <v>11.4</v>
      </c>
      <c r="R24" s="49">
        <v>11.4</v>
      </c>
      <c r="S24" s="49">
        <v>11.4</v>
      </c>
      <c r="T24" s="49">
        <v>11.4</v>
      </c>
      <c r="U24" s="49">
        <v>11.4</v>
      </c>
      <c r="V24" s="49">
        <v>11.4</v>
      </c>
      <c r="W24" s="49">
        <v>11.4</v>
      </c>
      <c r="X24" s="49">
        <v>11.4</v>
      </c>
      <c r="Y24" s="50">
        <v>14.1</v>
      </c>
      <c r="Z24" s="50">
        <v>14.1</v>
      </c>
      <c r="AA24" s="50">
        <v>14.1</v>
      </c>
      <c r="AB24" s="50">
        <v>14.1</v>
      </c>
      <c r="AC24" s="50">
        <v>14.1</v>
      </c>
      <c r="AD24" s="50">
        <v>14.1</v>
      </c>
      <c r="AE24" s="50"/>
      <c r="AF24" s="49"/>
      <c r="AG24" s="59">
        <v>25</v>
      </c>
      <c r="AH24" s="54">
        <f t="shared" si="2"/>
        <v>14.1</v>
      </c>
      <c r="AI24" s="55">
        <f t="shared" si="3"/>
        <v>11.4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49">
        <v>8</v>
      </c>
      <c r="T25" s="49">
        <v>8</v>
      </c>
      <c r="U25" s="49">
        <v>8</v>
      </c>
      <c r="V25" s="49">
        <v>8</v>
      </c>
      <c r="W25" s="49">
        <v>8</v>
      </c>
      <c r="X25" s="49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/>
      <c r="AF25" s="49"/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/>
      <c r="AF26" s="49"/>
      <c r="AG26" s="59">
        <v>20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49">
        <v>4.5</v>
      </c>
      <c r="T27" s="49">
        <v>4.5</v>
      </c>
      <c r="U27" s="49">
        <v>4.5</v>
      </c>
      <c r="V27" s="49">
        <v>4.5</v>
      </c>
      <c r="W27" s="49">
        <v>4.5</v>
      </c>
      <c r="X27" s="49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49"/>
      <c r="AF27" s="49"/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/>
      <c r="AF28" s="49"/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49">
        <v>5</v>
      </c>
      <c r="N29" s="49">
        <v>5</v>
      </c>
      <c r="O29" s="49">
        <v>5</v>
      </c>
      <c r="P29" s="49">
        <v>5</v>
      </c>
      <c r="Q29" s="49">
        <v>5</v>
      </c>
      <c r="R29" s="49">
        <v>5</v>
      </c>
      <c r="S29" s="49">
        <v>5</v>
      </c>
      <c r="T29" s="49">
        <v>5</v>
      </c>
      <c r="U29" s="49">
        <v>5</v>
      </c>
      <c r="V29" s="49">
        <v>5</v>
      </c>
      <c r="W29" s="49">
        <v>5</v>
      </c>
      <c r="X29" s="49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/>
      <c r="AF29" s="49"/>
      <c r="AG29" s="59">
        <v>22.1</v>
      </c>
      <c r="AH29" s="54">
        <f t="shared" si="2"/>
        <v>5</v>
      </c>
      <c r="AI29" s="55">
        <f t="shared" si="3"/>
        <v>5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49">
        <v>12</v>
      </c>
      <c r="T30" s="49">
        <v>12</v>
      </c>
      <c r="U30" s="49">
        <v>12</v>
      </c>
      <c r="V30" s="49">
        <v>12</v>
      </c>
      <c r="W30" s="49">
        <v>12</v>
      </c>
      <c r="X30" s="49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/>
      <c r="AF30" s="49"/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61">
        <v>6</v>
      </c>
      <c r="O31" s="61">
        <v>6</v>
      </c>
      <c r="P31" s="61">
        <v>6</v>
      </c>
      <c r="Q31" s="61">
        <v>6</v>
      </c>
      <c r="R31" s="61">
        <v>6</v>
      </c>
      <c r="S31" s="61">
        <v>6</v>
      </c>
      <c r="T31" s="61">
        <v>6</v>
      </c>
      <c r="U31" s="61">
        <v>6</v>
      </c>
      <c r="V31" s="61">
        <v>6</v>
      </c>
      <c r="W31" s="61">
        <v>6</v>
      </c>
      <c r="X31" s="61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/>
      <c r="AF31" s="61"/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/>
      <c r="AF32" s="61"/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5</v>
      </c>
      <c r="C33" s="61">
        <v>5</v>
      </c>
      <c r="D33" s="61">
        <v>5</v>
      </c>
      <c r="E33" s="61">
        <v>5</v>
      </c>
      <c r="F33" s="61">
        <v>5</v>
      </c>
      <c r="G33" s="61">
        <v>5</v>
      </c>
      <c r="H33" s="61">
        <v>5</v>
      </c>
      <c r="I33" s="61">
        <v>5</v>
      </c>
      <c r="J33" s="61">
        <v>5</v>
      </c>
      <c r="K33" s="61">
        <v>5</v>
      </c>
      <c r="L33" s="61">
        <v>5</v>
      </c>
      <c r="M33" s="61">
        <v>5</v>
      </c>
      <c r="N33" s="61">
        <v>5</v>
      </c>
      <c r="O33" s="61">
        <v>5</v>
      </c>
      <c r="P33" s="61">
        <v>5</v>
      </c>
      <c r="Q33" s="61">
        <v>5</v>
      </c>
      <c r="R33" s="61">
        <v>5</v>
      </c>
      <c r="S33" s="61">
        <v>5</v>
      </c>
      <c r="T33" s="61">
        <v>5</v>
      </c>
      <c r="U33" s="61">
        <v>5</v>
      </c>
      <c r="V33" s="61">
        <v>5</v>
      </c>
      <c r="W33" s="61">
        <v>5</v>
      </c>
      <c r="X33" s="61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/>
      <c r="AF33" s="61"/>
      <c r="AG33" s="67">
        <v>11</v>
      </c>
      <c r="AH33" s="54">
        <f t="shared" si="2"/>
        <v>5</v>
      </c>
      <c r="AI33" s="55">
        <f t="shared" si="3"/>
        <v>5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61">
        <v>4.2</v>
      </c>
      <c r="N34" s="61">
        <v>4.2</v>
      </c>
      <c r="O34" s="61">
        <v>4.2</v>
      </c>
      <c r="P34" s="61">
        <v>4.2</v>
      </c>
      <c r="Q34" s="61">
        <v>4.2</v>
      </c>
      <c r="R34" s="61">
        <v>4.2</v>
      </c>
      <c r="S34" s="61">
        <v>4.2</v>
      </c>
      <c r="T34" s="61">
        <v>4.2</v>
      </c>
      <c r="U34" s="61">
        <v>4.2</v>
      </c>
      <c r="V34" s="61">
        <v>4.2</v>
      </c>
      <c r="W34" s="61">
        <v>4.2</v>
      </c>
      <c r="X34" s="61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/>
      <c r="AF34" s="61"/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/>
      <c r="AF35" s="61"/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/>
      <c r="AF36" s="61"/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37.200000000000003</v>
      </c>
      <c r="C37" s="61">
        <v>37.200000000000003</v>
      </c>
      <c r="D37" s="61">
        <v>37.200000000000003</v>
      </c>
      <c r="E37" s="61">
        <v>37.200000000000003</v>
      </c>
      <c r="F37" s="61">
        <v>37.200000000000003</v>
      </c>
      <c r="G37" s="61">
        <v>37.200000000000003</v>
      </c>
      <c r="H37" s="61">
        <v>37.200000000000003</v>
      </c>
      <c r="I37" s="61">
        <v>37.200000000000003</v>
      </c>
      <c r="J37" s="61">
        <v>37.200000000000003</v>
      </c>
      <c r="K37" s="61">
        <v>37.200000000000003</v>
      </c>
      <c r="L37" s="61">
        <v>37.200000000000003</v>
      </c>
      <c r="M37" s="61">
        <f>18.4+33.7</f>
        <v>52.1</v>
      </c>
      <c r="N37" s="61">
        <f>18.4+33.7</f>
        <v>52.1</v>
      </c>
      <c r="O37" s="61">
        <f>19+33.8</f>
        <v>52.8</v>
      </c>
      <c r="P37" s="61">
        <f>19+33.8</f>
        <v>52.8</v>
      </c>
      <c r="Q37" s="61">
        <f>19+33.8</f>
        <v>52.8</v>
      </c>
      <c r="R37" s="61">
        <f>19.3+35.3</f>
        <v>54.599999999999994</v>
      </c>
      <c r="S37" s="70">
        <v>51.8</v>
      </c>
      <c r="T37" s="70">
        <v>49.3</v>
      </c>
      <c r="U37" s="70">
        <v>52.9</v>
      </c>
      <c r="V37" s="70">
        <v>51.3</v>
      </c>
      <c r="W37" s="70">
        <v>46.8</v>
      </c>
      <c r="X37" s="70">
        <v>47.8</v>
      </c>
      <c r="Y37" s="70">
        <v>37.299999999999997</v>
      </c>
      <c r="Z37" s="70">
        <v>47.5</v>
      </c>
      <c r="AA37" s="70">
        <v>47.4</v>
      </c>
      <c r="AB37" s="70">
        <f>16.6+30.9</f>
        <v>47.5</v>
      </c>
      <c r="AC37" s="70">
        <f>16.6+30.9</f>
        <v>47.5</v>
      </c>
      <c r="AD37" s="70">
        <f>16.6+30.9</f>
        <v>47.5</v>
      </c>
      <c r="AE37" s="70"/>
      <c r="AF37" s="61"/>
      <c r="AG37" s="67">
        <v>240</v>
      </c>
      <c r="AH37" s="54">
        <f t="shared" si="2"/>
        <v>54.599999999999994</v>
      </c>
      <c r="AI37" s="55">
        <f t="shared" si="3"/>
        <v>37.200000000000003</v>
      </c>
      <c r="AK37" s="56"/>
    </row>
    <row r="38" spans="1:88" ht="15.75" thickBot="1" x14ac:dyDescent="0.3">
      <c r="A38" s="71" t="s">
        <v>46</v>
      </c>
      <c r="B38" s="72">
        <f>SUM(B11:B36)</f>
        <v>485</v>
      </c>
      <c r="C38" s="72">
        <f t="shared" ref="C38:AF38" si="4">SUM(C11:C36)</f>
        <v>429.99999999999994</v>
      </c>
      <c r="D38" s="72">
        <f t="shared" si="4"/>
        <v>429.99999999999994</v>
      </c>
      <c r="E38" s="72">
        <f t="shared" si="4"/>
        <v>429.99999999999994</v>
      </c>
      <c r="F38" s="72">
        <f t="shared" si="4"/>
        <v>454.99999999999994</v>
      </c>
      <c r="G38" s="72">
        <f t="shared" si="4"/>
        <v>476</v>
      </c>
      <c r="H38" s="72">
        <f t="shared" si="4"/>
        <v>492</v>
      </c>
      <c r="I38" s="72">
        <f t="shared" si="4"/>
        <v>475</v>
      </c>
      <c r="J38" s="72">
        <f t="shared" si="4"/>
        <v>495</v>
      </c>
      <c r="K38" s="72">
        <f t="shared" si="4"/>
        <v>735.00000000000011</v>
      </c>
      <c r="L38" s="72">
        <f t="shared" si="4"/>
        <v>705</v>
      </c>
      <c r="M38" s="72">
        <f t="shared" si="4"/>
        <v>703</v>
      </c>
      <c r="N38" s="72">
        <f t="shared" si="4"/>
        <v>683</v>
      </c>
      <c r="O38" s="72">
        <f t="shared" si="4"/>
        <v>533</v>
      </c>
      <c r="P38" s="72">
        <f t="shared" si="4"/>
        <v>528</v>
      </c>
      <c r="Q38" s="72">
        <f t="shared" si="4"/>
        <v>532</v>
      </c>
      <c r="R38" s="72">
        <f t="shared" si="4"/>
        <v>525</v>
      </c>
      <c r="S38" s="72">
        <f t="shared" si="4"/>
        <v>435</v>
      </c>
      <c r="T38" s="72">
        <f t="shared" si="4"/>
        <v>435</v>
      </c>
      <c r="U38" s="72">
        <f t="shared" si="4"/>
        <v>435</v>
      </c>
      <c r="V38" s="72">
        <f t="shared" si="4"/>
        <v>569</v>
      </c>
      <c r="W38" s="72">
        <f t="shared" si="4"/>
        <v>619</v>
      </c>
      <c r="X38" s="72">
        <f t="shared" si="4"/>
        <v>739</v>
      </c>
      <c r="Y38" s="72">
        <f t="shared" si="4"/>
        <v>800.7</v>
      </c>
      <c r="Z38" s="72">
        <f>SUM(Z11:Z36)</f>
        <v>730.7</v>
      </c>
      <c r="AA38" s="72">
        <f t="shared" si="4"/>
        <v>710.7</v>
      </c>
      <c r="AB38" s="72">
        <f t="shared" si="4"/>
        <v>600.70000000000005</v>
      </c>
      <c r="AC38" s="72">
        <f t="shared" si="4"/>
        <v>560.70000000000005</v>
      </c>
      <c r="AD38" s="72">
        <f t="shared" si="4"/>
        <v>480.7</v>
      </c>
      <c r="AE38" s="72">
        <f t="shared" si="4"/>
        <v>0</v>
      </c>
      <c r="AF38" s="72">
        <f t="shared" si="4"/>
        <v>0</v>
      </c>
      <c r="AG38" s="67">
        <f>SUM(AG11:AG37)</f>
        <v>1492.8299999999997</v>
      </c>
      <c r="AH38" s="54">
        <f t="shared" si="2"/>
        <v>800.7</v>
      </c>
      <c r="AI38" s="55">
        <f t="shared" si="3"/>
        <v>0</v>
      </c>
      <c r="AK38" s="56"/>
    </row>
    <row r="39" spans="1:88" x14ac:dyDescent="0.25">
      <c r="A39" s="57" t="s">
        <v>47</v>
      </c>
      <c r="B39" s="49">
        <v>48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65</v>
      </c>
      <c r="I39" s="61">
        <v>100</v>
      </c>
      <c r="J39" s="61">
        <v>100</v>
      </c>
      <c r="K39" s="61">
        <v>142.5</v>
      </c>
      <c r="L39" s="61">
        <v>142.5</v>
      </c>
      <c r="M39" s="61">
        <v>146</v>
      </c>
      <c r="N39" s="61">
        <v>145.80000000000001</v>
      </c>
      <c r="O39" s="61">
        <v>121.9</v>
      </c>
      <c r="P39" s="61">
        <v>48</v>
      </c>
      <c r="Q39" s="50">
        <v>45.5</v>
      </c>
      <c r="R39" s="50">
        <v>20.6</v>
      </c>
      <c r="S39" s="50">
        <v>35.799999999999997</v>
      </c>
      <c r="T39" s="50">
        <v>0</v>
      </c>
      <c r="U39" s="50">
        <v>30.3</v>
      </c>
      <c r="V39" s="50">
        <v>79</v>
      </c>
      <c r="W39" s="50">
        <v>107.2</v>
      </c>
      <c r="X39" s="50">
        <v>146.30000000000001</v>
      </c>
      <c r="Y39" s="50">
        <v>146</v>
      </c>
      <c r="Z39" s="50">
        <v>146</v>
      </c>
      <c r="AA39" s="50">
        <v>145.69999999999999</v>
      </c>
      <c r="AB39" s="50">
        <v>145.6</v>
      </c>
      <c r="AC39" s="50">
        <v>145.6</v>
      </c>
      <c r="AD39" s="50">
        <v>145.6</v>
      </c>
      <c r="AE39" s="50"/>
      <c r="AF39" s="49"/>
      <c r="AG39" s="62">
        <v>144</v>
      </c>
      <c r="AH39" s="54">
        <f t="shared" si="2"/>
        <v>146.30000000000001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25</v>
      </c>
      <c r="C40" s="61">
        <v>0</v>
      </c>
      <c r="D40" s="61">
        <v>0</v>
      </c>
      <c r="E40" s="61">
        <v>0</v>
      </c>
      <c r="F40" s="61">
        <v>40</v>
      </c>
      <c r="G40" s="61">
        <v>30</v>
      </c>
      <c r="H40" s="61">
        <v>30</v>
      </c>
      <c r="I40" s="61">
        <v>45</v>
      </c>
      <c r="J40" s="61">
        <v>45</v>
      </c>
      <c r="K40" s="61">
        <v>68.8</v>
      </c>
      <c r="L40" s="61">
        <v>68.8</v>
      </c>
      <c r="M40" s="61">
        <v>71.599999999999994</v>
      </c>
      <c r="N40" s="61">
        <v>56.9</v>
      </c>
      <c r="O40" s="61">
        <v>48.9</v>
      </c>
      <c r="P40" s="61">
        <v>25</v>
      </c>
      <c r="Q40" s="73">
        <v>24.8</v>
      </c>
      <c r="R40" s="73">
        <v>24.8</v>
      </c>
      <c r="S40" s="73">
        <v>30</v>
      </c>
      <c r="T40" s="73">
        <v>0</v>
      </c>
      <c r="U40" s="73">
        <v>0</v>
      </c>
      <c r="V40" s="73">
        <v>59.3</v>
      </c>
      <c r="W40" s="73">
        <v>59.7</v>
      </c>
      <c r="X40" s="73">
        <v>69.7</v>
      </c>
      <c r="Y40" s="73">
        <v>69.5</v>
      </c>
      <c r="Z40" s="73">
        <v>69.5</v>
      </c>
      <c r="AA40" s="73">
        <v>70.5</v>
      </c>
      <c r="AB40" s="73">
        <v>70.8</v>
      </c>
      <c r="AC40" s="73">
        <v>70.8</v>
      </c>
      <c r="AD40" s="73">
        <v>70.8</v>
      </c>
      <c r="AE40" s="73"/>
      <c r="AF40" s="61"/>
      <c r="AG40" s="67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50</v>
      </c>
      <c r="C41" s="61">
        <v>35</v>
      </c>
      <c r="D41" s="61">
        <v>35</v>
      </c>
      <c r="E41" s="61">
        <v>40</v>
      </c>
      <c r="F41" s="61">
        <v>40</v>
      </c>
      <c r="G41" s="61">
        <v>40</v>
      </c>
      <c r="H41" s="61">
        <v>32</v>
      </c>
      <c r="I41" s="61">
        <v>33</v>
      </c>
      <c r="J41" s="61">
        <v>33</v>
      </c>
      <c r="K41" s="61">
        <v>67.5</v>
      </c>
      <c r="L41" s="61">
        <v>67.5</v>
      </c>
      <c r="M41" s="61">
        <v>67.2</v>
      </c>
      <c r="N41" s="61">
        <v>61.4</v>
      </c>
      <c r="O41" s="61">
        <v>57</v>
      </c>
      <c r="P41" s="61">
        <v>33.200000000000003</v>
      </c>
      <c r="Q41" s="73">
        <v>32.6</v>
      </c>
      <c r="R41" s="73">
        <v>0</v>
      </c>
      <c r="S41" s="73">
        <v>23.7</v>
      </c>
      <c r="T41" s="73">
        <v>0</v>
      </c>
      <c r="U41" s="73">
        <v>20.5</v>
      </c>
      <c r="V41" s="73">
        <v>45.3</v>
      </c>
      <c r="W41" s="73">
        <v>60.4</v>
      </c>
      <c r="X41" s="73">
        <v>68.599999999999994</v>
      </c>
      <c r="Y41" s="73">
        <v>67.8</v>
      </c>
      <c r="Z41" s="73">
        <v>67.8</v>
      </c>
      <c r="AA41" s="73">
        <v>67.099999999999994</v>
      </c>
      <c r="AB41" s="73">
        <v>67.3</v>
      </c>
      <c r="AC41" s="73">
        <v>67.3</v>
      </c>
      <c r="AD41" s="73">
        <v>67.3</v>
      </c>
      <c r="AE41" s="73"/>
      <c r="AF41" s="61"/>
      <c r="AG41" s="67">
        <v>69</v>
      </c>
      <c r="AH41" s="54">
        <f t="shared" si="2"/>
        <v>68.599999999999994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60.2</v>
      </c>
      <c r="C42" s="61">
        <v>60.2</v>
      </c>
      <c r="D42" s="61">
        <v>57</v>
      </c>
      <c r="E42" s="61">
        <v>57</v>
      </c>
      <c r="F42" s="61">
        <v>57</v>
      </c>
      <c r="G42" s="61">
        <v>55.7</v>
      </c>
      <c r="H42" s="61">
        <v>55.7</v>
      </c>
      <c r="I42" s="61">
        <v>55.7</v>
      </c>
      <c r="J42" s="61">
        <v>55.7</v>
      </c>
      <c r="K42" s="61">
        <v>55.7</v>
      </c>
      <c r="L42" s="61">
        <v>55.7</v>
      </c>
      <c r="M42" s="61">
        <v>55.9</v>
      </c>
      <c r="N42" s="61">
        <v>57.2</v>
      </c>
      <c r="O42" s="61">
        <v>57.2</v>
      </c>
      <c r="P42" s="61">
        <v>57.2</v>
      </c>
      <c r="Q42" s="73">
        <v>55.4</v>
      </c>
      <c r="R42" s="73">
        <v>54.4</v>
      </c>
      <c r="S42" s="73">
        <v>54.4</v>
      </c>
      <c r="T42" s="73">
        <v>54.4</v>
      </c>
      <c r="U42" s="73">
        <v>54.4</v>
      </c>
      <c r="V42" s="73">
        <v>54.4</v>
      </c>
      <c r="W42" s="73">
        <v>54.4</v>
      </c>
      <c r="X42" s="73">
        <v>54.4</v>
      </c>
      <c r="Y42" s="73">
        <v>54.4</v>
      </c>
      <c r="Z42" s="73">
        <v>54.4</v>
      </c>
      <c r="AA42" s="73">
        <v>54.7</v>
      </c>
      <c r="AB42" s="73">
        <v>54.7</v>
      </c>
      <c r="AC42" s="73">
        <v>54.7</v>
      </c>
      <c r="AD42" s="73">
        <v>54.7</v>
      </c>
      <c r="AE42" s="73"/>
      <c r="AF42" s="61"/>
      <c r="AG42" s="67">
        <v>60</v>
      </c>
      <c r="AH42" s="54">
        <f t="shared" si="2"/>
        <v>60.2</v>
      </c>
      <c r="AI42" s="55">
        <f t="shared" si="3"/>
        <v>54.4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15</v>
      </c>
      <c r="H43" s="61">
        <v>15</v>
      </c>
      <c r="I43" s="61">
        <v>15</v>
      </c>
      <c r="J43" s="61">
        <v>15</v>
      </c>
      <c r="K43" s="61">
        <v>23.8</v>
      </c>
      <c r="L43" s="61">
        <v>23.8</v>
      </c>
      <c r="M43" s="61">
        <v>23.8</v>
      </c>
      <c r="N43" s="61">
        <v>22.8</v>
      </c>
      <c r="O43" s="61">
        <v>22.8</v>
      </c>
      <c r="P43" s="61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9.8000000000000007</v>
      </c>
      <c r="V43" s="50">
        <v>10.1</v>
      </c>
      <c r="W43" s="50">
        <v>10.1</v>
      </c>
      <c r="X43" s="50">
        <v>28.7</v>
      </c>
      <c r="Y43" s="50">
        <v>28.8</v>
      </c>
      <c r="Z43" s="50">
        <v>28.8</v>
      </c>
      <c r="AA43" s="73">
        <v>28.2</v>
      </c>
      <c r="AB43" s="73">
        <v>27.8</v>
      </c>
      <c r="AC43" s="73">
        <v>23</v>
      </c>
      <c r="AD43" s="73">
        <v>23</v>
      </c>
      <c r="AE43" s="73"/>
      <c r="AF43" s="61"/>
      <c r="AG43" s="67">
        <v>30</v>
      </c>
      <c r="AH43" s="54">
        <f t="shared" si="2"/>
        <v>28.8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/>
      <c r="AF44" s="61"/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18</v>
      </c>
      <c r="C45" s="61">
        <v>18</v>
      </c>
      <c r="D45" s="61">
        <v>18</v>
      </c>
      <c r="E45" s="61">
        <v>18</v>
      </c>
      <c r="F45" s="61">
        <v>18</v>
      </c>
      <c r="G45" s="61">
        <v>18</v>
      </c>
      <c r="H45" s="61">
        <v>18</v>
      </c>
      <c r="I45" s="61">
        <v>18</v>
      </c>
      <c r="J45" s="61">
        <v>18</v>
      </c>
      <c r="K45" s="61">
        <v>18</v>
      </c>
      <c r="L45" s="61">
        <v>18</v>
      </c>
      <c r="M45" s="61">
        <v>18</v>
      </c>
      <c r="N45" s="61">
        <v>18</v>
      </c>
      <c r="O45" s="61">
        <v>18</v>
      </c>
      <c r="P45" s="61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/>
      <c r="AF45" s="61"/>
      <c r="AG45" s="67">
        <v>24</v>
      </c>
      <c r="AH45" s="54">
        <f t="shared" si="2"/>
        <v>18</v>
      </c>
      <c r="AI45" s="55">
        <f t="shared" si="3"/>
        <v>18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61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/>
      <c r="AF46" s="61"/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13</v>
      </c>
      <c r="C47" s="61">
        <v>13</v>
      </c>
      <c r="D47" s="61">
        <v>13</v>
      </c>
      <c r="E47" s="61">
        <v>13</v>
      </c>
      <c r="F47" s="61">
        <v>13</v>
      </c>
      <c r="G47" s="61">
        <v>13</v>
      </c>
      <c r="H47" s="61">
        <v>13</v>
      </c>
      <c r="I47" s="61">
        <v>13</v>
      </c>
      <c r="J47" s="61">
        <v>13</v>
      </c>
      <c r="K47" s="61">
        <v>13</v>
      </c>
      <c r="L47" s="61">
        <v>13</v>
      </c>
      <c r="M47" s="61">
        <v>13</v>
      </c>
      <c r="N47" s="61">
        <v>13</v>
      </c>
      <c r="O47" s="61">
        <v>13</v>
      </c>
      <c r="P47" s="61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/>
      <c r="AF47" s="61"/>
      <c r="AG47" s="67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6.4</v>
      </c>
      <c r="C48" s="61">
        <v>6.4</v>
      </c>
      <c r="D48" s="61">
        <v>6.4</v>
      </c>
      <c r="E48" s="61">
        <v>6.4</v>
      </c>
      <c r="F48" s="61">
        <v>6.4</v>
      </c>
      <c r="G48" s="61">
        <v>6.4</v>
      </c>
      <c r="H48" s="61">
        <v>6.4</v>
      </c>
      <c r="I48" s="61">
        <v>6.4</v>
      </c>
      <c r="J48" s="61">
        <v>6.4</v>
      </c>
      <c r="K48" s="61">
        <v>6.4</v>
      </c>
      <c r="L48" s="61">
        <v>6.4</v>
      </c>
      <c r="M48" s="61">
        <v>6.4</v>
      </c>
      <c r="N48" s="61">
        <v>6.4</v>
      </c>
      <c r="O48" s="61">
        <v>6.4</v>
      </c>
      <c r="P48" s="61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/>
      <c r="AF48" s="61"/>
      <c r="AG48" s="67">
        <v>14</v>
      </c>
      <c r="AH48" s="54">
        <f t="shared" si="2"/>
        <v>6.4</v>
      </c>
      <c r="AI48" s="55">
        <f t="shared" si="3"/>
        <v>6.4</v>
      </c>
      <c r="AK48" s="56"/>
    </row>
    <row r="49" spans="1:37" x14ac:dyDescent="0.25">
      <c r="A49" s="66" t="s">
        <v>57</v>
      </c>
      <c r="B49" s="61">
        <v>7.5</v>
      </c>
      <c r="C49" s="61">
        <v>7.5</v>
      </c>
      <c r="D49" s="61">
        <v>7.5</v>
      </c>
      <c r="E49" s="61">
        <v>7.5</v>
      </c>
      <c r="F49" s="61">
        <v>7.5</v>
      </c>
      <c r="G49" s="61">
        <v>7.5</v>
      </c>
      <c r="H49" s="61">
        <v>7.5</v>
      </c>
      <c r="I49" s="61">
        <v>7.5</v>
      </c>
      <c r="J49" s="61">
        <v>7.5</v>
      </c>
      <c r="K49" s="61">
        <v>7.5</v>
      </c>
      <c r="L49" s="61">
        <v>7.5</v>
      </c>
      <c r="M49" s="61">
        <v>7.5</v>
      </c>
      <c r="N49" s="61">
        <v>7.5</v>
      </c>
      <c r="O49" s="61">
        <v>7.5</v>
      </c>
      <c r="P49" s="61">
        <v>7.5</v>
      </c>
      <c r="Q49" s="50">
        <v>7.5</v>
      </c>
      <c r="R49" s="50">
        <v>7.5</v>
      </c>
      <c r="S49" s="50">
        <v>7.5</v>
      </c>
      <c r="T49" s="50">
        <v>7.5</v>
      </c>
      <c r="U49" s="50">
        <v>7.5</v>
      </c>
      <c r="V49" s="50">
        <v>7.5</v>
      </c>
      <c r="W49" s="50">
        <v>7.5</v>
      </c>
      <c r="X49" s="50">
        <v>7.5</v>
      </c>
      <c r="Y49" s="50">
        <v>7.5</v>
      </c>
      <c r="Z49" s="50">
        <v>7.5</v>
      </c>
      <c r="AA49" s="50">
        <v>7.5</v>
      </c>
      <c r="AB49" s="50">
        <v>7.4</v>
      </c>
      <c r="AC49" s="50">
        <v>7.4</v>
      </c>
      <c r="AD49" s="50">
        <v>7.4</v>
      </c>
      <c r="AE49" s="50"/>
      <c r="AF49" s="61"/>
      <c r="AG49" s="67">
        <v>10.050000000000001</v>
      </c>
      <c r="AH49" s="54">
        <f t="shared" si="2"/>
        <v>7.5</v>
      </c>
      <c r="AI49" s="55">
        <f t="shared" si="3"/>
        <v>7.4</v>
      </c>
      <c r="AK49" s="56"/>
    </row>
    <row r="50" spans="1:37" x14ac:dyDescent="0.25">
      <c r="A50" s="66" t="s">
        <v>58</v>
      </c>
      <c r="B50" s="61">
        <v>4</v>
      </c>
      <c r="C50" s="61">
        <v>4</v>
      </c>
      <c r="D50" s="61">
        <v>4</v>
      </c>
      <c r="E50" s="61">
        <v>4</v>
      </c>
      <c r="F50" s="61">
        <v>4</v>
      </c>
      <c r="G50" s="61">
        <v>4</v>
      </c>
      <c r="H50" s="61">
        <v>4</v>
      </c>
      <c r="I50" s="61">
        <v>4</v>
      </c>
      <c r="J50" s="61">
        <v>4</v>
      </c>
      <c r="K50" s="61">
        <v>4</v>
      </c>
      <c r="L50" s="61">
        <v>4</v>
      </c>
      <c r="M50" s="61">
        <v>4</v>
      </c>
      <c r="N50" s="61">
        <v>4</v>
      </c>
      <c r="O50" s="61">
        <v>4</v>
      </c>
      <c r="P50" s="61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/>
      <c r="AF50" s="61"/>
      <c r="AG50" s="67">
        <v>6.2</v>
      </c>
      <c r="AH50" s="54">
        <f t="shared" si="2"/>
        <v>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239.64</v>
      </c>
      <c r="C52" s="72">
        <f t="shared" ref="C52:AF52" si="6">SUM(C39:C51)</f>
        <v>151.63999999999999</v>
      </c>
      <c r="D52" s="72">
        <f t="shared" si="6"/>
        <v>148.44</v>
      </c>
      <c r="E52" s="72">
        <f t="shared" si="6"/>
        <v>153.44</v>
      </c>
      <c r="F52" s="72">
        <f t="shared" si="6"/>
        <v>203.44</v>
      </c>
      <c r="G52" s="72">
        <f t="shared" si="6"/>
        <v>197.14</v>
      </c>
      <c r="H52" s="72">
        <f t="shared" si="6"/>
        <v>254.14</v>
      </c>
      <c r="I52" s="72">
        <f t="shared" si="6"/>
        <v>305.14</v>
      </c>
      <c r="J52" s="72">
        <f t="shared" si="6"/>
        <v>305.14</v>
      </c>
      <c r="K52" s="72">
        <f t="shared" si="6"/>
        <v>414.74</v>
      </c>
      <c r="L52" s="72">
        <f t="shared" si="6"/>
        <v>414.74</v>
      </c>
      <c r="M52" s="72">
        <f t="shared" si="6"/>
        <v>420.94</v>
      </c>
      <c r="N52" s="72">
        <f t="shared" si="6"/>
        <v>400.54</v>
      </c>
      <c r="O52" s="72">
        <f t="shared" si="6"/>
        <v>364.24</v>
      </c>
      <c r="P52" s="72">
        <f t="shared" si="6"/>
        <v>229.84</v>
      </c>
      <c r="Q52" s="72">
        <f t="shared" si="6"/>
        <v>214.74</v>
      </c>
      <c r="R52" s="72">
        <f t="shared" si="6"/>
        <v>156.24</v>
      </c>
      <c r="S52" s="72">
        <f t="shared" si="6"/>
        <v>200.34</v>
      </c>
      <c r="T52" s="72">
        <f t="shared" si="6"/>
        <v>110.84000000000002</v>
      </c>
      <c r="U52" s="72">
        <f t="shared" si="6"/>
        <v>171.44</v>
      </c>
      <c r="V52" s="72">
        <f t="shared" si="6"/>
        <v>304.54000000000002</v>
      </c>
      <c r="W52" s="72">
        <f t="shared" si="6"/>
        <v>348.24</v>
      </c>
      <c r="X52" s="72">
        <f t="shared" si="6"/>
        <v>424.14</v>
      </c>
      <c r="Y52" s="72">
        <f t="shared" si="6"/>
        <v>422.94</v>
      </c>
      <c r="Z52" s="72">
        <f t="shared" si="6"/>
        <v>422.94</v>
      </c>
      <c r="AA52" s="72">
        <f t="shared" si="6"/>
        <v>422.63999999999993</v>
      </c>
      <c r="AB52" s="72">
        <f t="shared" si="6"/>
        <v>422.53999999999996</v>
      </c>
      <c r="AC52" s="72">
        <f t="shared" si="6"/>
        <v>417.73999999999995</v>
      </c>
      <c r="AD52" s="72">
        <f t="shared" si="6"/>
        <v>417.73999999999995</v>
      </c>
      <c r="AE52" s="72">
        <f t="shared" si="6"/>
        <v>3.54</v>
      </c>
      <c r="AF52" s="72">
        <f t="shared" si="6"/>
        <v>3.54</v>
      </c>
      <c r="AG52" s="78">
        <f>SUM(AG39:AG51)</f>
        <v>489.91</v>
      </c>
      <c r="AH52" s="54">
        <f t="shared" si="2"/>
        <v>424.14</v>
      </c>
      <c r="AI52" s="55">
        <f t="shared" si="3"/>
        <v>3.54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14</v>
      </c>
      <c r="L53" s="61">
        <v>40</v>
      </c>
      <c r="M53" s="79">
        <v>40.799999999999997</v>
      </c>
      <c r="N53" s="79">
        <v>0</v>
      </c>
      <c r="O53" s="79">
        <v>0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14.2</v>
      </c>
      <c r="Y53" s="50">
        <v>35.799999999999997</v>
      </c>
      <c r="Z53" s="50">
        <v>25.6</v>
      </c>
      <c r="AA53" s="50">
        <v>13.8</v>
      </c>
      <c r="AB53" s="50">
        <v>0</v>
      </c>
      <c r="AC53" s="50">
        <v>0</v>
      </c>
      <c r="AD53" s="50">
        <v>0</v>
      </c>
      <c r="AE53" s="50"/>
      <c r="AF53" s="50"/>
      <c r="AG53" s="62">
        <v>60</v>
      </c>
      <c r="AH53" s="54">
        <f t="shared" si="2"/>
        <v>40.799999999999997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15</v>
      </c>
      <c r="M54" s="79">
        <v>18.7</v>
      </c>
      <c r="N54" s="79">
        <v>0</v>
      </c>
      <c r="O54" s="79">
        <v>0</v>
      </c>
      <c r="P54" s="79">
        <v>0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6.7</v>
      </c>
      <c r="Y54" s="73">
        <v>15.5</v>
      </c>
      <c r="Z54" s="73">
        <v>11.6</v>
      </c>
      <c r="AA54" s="73">
        <v>4.9000000000000004</v>
      </c>
      <c r="AB54" s="73">
        <v>4.8</v>
      </c>
      <c r="AC54" s="73">
        <v>0</v>
      </c>
      <c r="AD54" s="73">
        <v>0</v>
      </c>
      <c r="AE54" s="73"/>
      <c r="AF54" s="73"/>
      <c r="AG54" s="67">
        <v>32</v>
      </c>
      <c r="AH54" s="54">
        <f t="shared" si="2"/>
        <v>18.7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5.7</v>
      </c>
      <c r="M55" s="81">
        <v>6.8</v>
      </c>
      <c r="N55" s="81">
        <v>0</v>
      </c>
      <c r="O55" s="81">
        <v>0</v>
      </c>
      <c r="P55" s="81">
        <v>0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2.5</v>
      </c>
      <c r="Y55" s="80">
        <v>5.7</v>
      </c>
      <c r="Z55" s="80">
        <v>4.2</v>
      </c>
      <c r="AA55" s="80">
        <v>1.8</v>
      </c>
      <c r="AB55" s="80">
        <v>1.8</v>
      </c>
      <c r="AC55" s="80">
        <v>0</v>
      </c>
      <c r="AD55" s="80">
        <v>0</v>
      </c>
      <c r="AE55" s="80"/>
      <c r="AF55" s="80"/>
      <c r="AG55" s="82">
        <v>14</v>
      </c>
      <c r="AH55" s="54">
        <f t="shared" si="2"/>
        <v>6.8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14</v>
      </c>
      <c r="L56" s="72">
        <f t="shared" si="7"/>
        <v>60.7</v>
      </c>
      <c r="M56" s="72">
        <f t="shared" si="7"/>
        <v>66.3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23.4</v>
      </c>
      <c r="Y56" s="72">
        <f t="shared" si="7"/>
        <v>57</v>
      </c>
      <c r="Z56" s="72">
        <f t="shared" si="7"/>
        <v>41.400000000000006</v>
      </c>
      <c r="AA56" s="72">
        <f t="shared" si="7"/>
        <v>20.500000000000004</v>
      </c>
      <c r="AB56" s="72">
        <f t="shared" si="7"/>
        <v>6.6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66.3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</v>
      </c>
      <c r="C57" s="50">
        <v>68</v>
      </c>
      <c r="D57" s="50">
        <v>65</v>
      </c>
      <c r="E57" s="50">
        <v>64.7</v>
      </c>
      <c r="F57" s="50">
        <v>59.5</v>
      </c>
      <c r="G57" s="50">
        <v>68</v>
      </c>
      <c r="H57" s="50">
        <v>73.3</v>
      </c>
      <c r="I57" s="50">
        <v>63.9</v>
      </c>
      <c r="J57" s="50">
        <v>70.400000000000006</v>
      </c>
      <c r="K57" s="50">
        <v>70.2</v>
      </c>
      <c r="L57" s="50">
        <v>70.2</v>
      </c>
      <c r="M57" s="50">
        <v>62.7</v>
      </c>
      <c r="N57" s="50">
        <v>63.1</v>
      </c>
      <c r="O57" s="50">
        <v>63.1</v>
      </c>
      <c r="P57" s="50">
        <v>57.7</v>
      </c>
      <c r="Q57" s="50">
        <v>68.7</v>
      </c>
      <c r="R57" s="50">
        <v>63.7</v>
      </c>
      <c r="S57" s="50">
        <v>65.099999999999994</v>
      </c>
      <c r="T57" s="50">
        <v>63.4</v>
      </c>
      <c r="U57" s="50">
        <v>54.6</v>
      </c>
      <c r="V57" s="50">
        <v>58.7</v>
      </c>
      <c r="W57" s="50">
        <v>69.400000000000006</v>
      </c>
      <c r="X57" s="50">
        <v>71.5</v>
      </c>
      <c r="Y57" s="50">
        <v>71.3</v>
      </c>
      <c r="Z57" s="50">
        <v>72.8</v>
      </c>
      <c r="AA57" s="50">
        <v>70.599999999999994</v>
      </c>
      <c r="AB57" s="50">
        <v>65</v>
      </c>
      <c r="AC57" s="50">
        <v>61</v>
      </c>
      <c r="AD57" s="50">
        <v>65</v>
      </c>
      <c r="AE57" s="50"/>
      <c r="AF57" s="50"/>
      <c r="AG57" s="62"/>
      <c r="AH57" s="54">
        <f t="shared" si="2"/>
        <v>73.3</v>
      </c>
      <c r="AI57" s="55">
        <f t="shared" si="3"/>
        <v>54.6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/>
      <c r="AF58" s="73"/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155</v>
      </c>
      <c r="C59" s="73">
        <v>230</v>
      </c>
      <c r="D59" s="73">
        <v>221</v>
      </c>
      <c r="E59" s="73">
        <v>219</v>
      </c>
      <c r="F59" s="73">
        <v>207</v>
      </c>
      <c r="G59" s="73">
        <v>221</v>
      </c>
      <c r="H59" s="73">
        <v>233.5</v>
      </c>
      <c r="I59" s="73">
        <v>290</v>
      </c>
      <c r="J59" s="73">
        <v>291</v>
      </c>
      <c r="K59" s="73">
        <v>100</v>
      </c>
      <c r="L59" s="50">
        <v>101.9</v>
      </c>
      <c r="M59" s="50">
        <v>107</v>
      </c>
      <c r="N59" s="50">
        <v>91</v>
      </c>
      <c r="O59" s="73">
        <v>158</v>
      </c>
      <c r="P59" s="73">
        <v>156</v>
      </c>
      <c r="Q59" s="73">
        <v>100</v>
      </c>
      <c r="R59" s="73">
        <v>124.9</v>
      </c>
      <c r="S59" s="73">
        <v>200</v>
      </c>
      <c r="T59" s="73">
        <v>300</v>
      </c>
      <c r="U59" s="73">
        <v>267</v>
      </c>
      <c r="V59" s="73">
        <v>54</v>
      </c>
      <c r="W59" s="73">
        <v>67.8</v>
      </c>
      <c r="X59" s="84">
        <v>41.8</v>
      </c>
      <c r="Y59" s="84">
        <v>23.3</v>
      </c>
      <c r="Z59" s="84">
        <v>14</v>
      </c>
      <c r="AA59" s="84">
        <v>96.3</v>
      </c>
      <c r="AB59" s="73">
        <v>182</v>
      </c>
      <c r="AC59" s="73">
        <v>192</v>
      </c>
      <c r="AD59" s="73">
        <v>215</v>
      </c>
      <c r="AE59" s="73"/>
      <c r="AF59" s="73"/>
      <c r="AG59" s="85"/>
      <c r="AH59" s="54">
        <f t="shared" si="2"/>
        <v>300</v>
      </c>
      <c r="AI59" s="55">
        <f t="shared" si="3"/>
        <v>14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/>
      <c r="AF60" s="58"/>
      <c r="AG60" s="85"/>
      <c r="AH60" s="54">
        <f t="shared" si="2"/>
        <v>0</v>
      </c>
      <c r="AI60" s="55">
        <f t="shared" si="3"/>
        <v>0</v>
      </c>
      <c r="AK60" s="56"/>
    </row>
    <row r="61" spans="1:37" x14ac:dyDescent="0.25">
      <c r="A61" s="66" t="s">
        <v>69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/>
      <c r="AF61" s="50"/>
      <c r="AG61" s="85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6" t="s">
        <v>70</v>
      </c>
      <c r="B62" s="58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/>
      <c r="AF62" s="60"/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/>
      <c r="AF63" s="60"/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/>
      <c r="AF64" s="58"/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/>
      <c r="AF65" s="58"/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/>
      <c r="AF66" s="63"/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/>
      <c r="AF67" s="63"/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224</v>
      </c>
      <c r="C68" s="72">
        <f>SUM(C57:C67)</f>
        <v>298</v>
      </c>
      <c r="D68" s="72">
        <f t="shared" ref="D68:AF68" si="8">SUM(D57:D67)</f>
        <v>286</v>
      </c>
      <c r="E68" s="72">
        <f t="shared" si="8"/>
        <v>283.7</v>
      </c>
      <c r="F68" s="72">
        <f t="shared" si="8"/>
        <v>266.5</v>
      </c>
      <c r="G68" s="72">
        <f t="shared" si="8"/>
        <v>289</v>
      </c>
      <c r="H68" s="72">
        <f t="shared" si="8"/>
        <v>306.8</v>
      </c>
      <c r="I68" s="72">
        <f t="shared" si="8"/>
        <v>353.9</v>
      </c>
      <c r="J68" s="72">
        <f t="shared" si="8"/>
        <v>361.4</v>
      </c>
      <c r="K68" s="72">
        <f t="shared" si="8"/>
        <v>170.2</v>
      </c>
      <c r="L68" s="72">
        <f t="shared" si="8"/>
        <v>172.10000000000002</v>
      </c>
      <c r="M68" s="72">
        <f t="shared" si="8"/>
        <v>169.7</v>
      </c>
      <c r="N68" s="72">
        <f t="shared" si="8"/>
        <v>154.1</v>
      </c>
      <c r="O68" s="72">
        <f t="shared" si="8"/>
        <v>221.1</v>
      </c>
      <c r="P68" s="72">
        <f t="shared" si="8"/>
        <v>213.7</v>
      </c>
      <c r="Q68" s="72">
        <f t="shared" si="8"/>
        <v>168.7</v>
      </c>
      <c r="R68" s="72">
        <f t="shared" si="8"/>
        <v>188.60000000000002</v>
      </c>
      <c r="S68" s="72">
        <f t="shared" si="8"/>
        <v>265.10000000000002</v>
      </c>
      <c r="T68" s="72">
        <f t="shared" si="8"/>
        <v>363.4</v>
      </c>
      <c r="U68" s="72">
        <f t="shared" si="8"/>
        <v>321.60000000000002</v>
      </c>
      <c r="V68" s="72">
        <f t="shared" si="8"/>
        <v>112.7</v>
      </c>
      <c r="W68" s="72">
        <f t="shared" si="8"/>
        <v>137.19999999999999</v>
      </c>
      <c r="X68" s="72">
        <f t="shared" si="8"/>
        <v>113.3</v>
      </c>
      <c r="Y68" s="72">
        <f t="shared" si="8"/>
        <v>94.6</v>
      </c>
      <c r="Z68" s="72">
        <f t="shared" si="8"/>
        <v>86.8</v>
      </c>
      <c r="AA68" s="72">
        <f t="shared" si="8"/>
        <v>166.89999999999998</v>
      </c>
      <c r="AB68" s="72">
        <f t="shared" si="8"/>
        <v>247</v>
      </c>
      <c r="AC68" s="72">
        <f t="shared" si="8"/>
        <v>253</v>
      </c>
      <c r="AD68" s="72">
        <f t="shared" si="8"/>
        <v>280</v>
      </c>
      <c r="AE68" s="72">
        <f t="shared" si="8"/>
        <v>0</v>
      </c>
      <c r="AF68" s="72">
        <f t="shared" si="8"/>
        <v>0</v>
      </c>
      <c r="AG68" s="78">
        <f>SUM(AG57:AG67)</f>
        <v>0</v>
      </c>
      <c r="AH68" s="54">
        <f t="shared" si="2"/>
        <v>363.4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948.64</v>
      </c>
      <c r="C73" s="89">
        <f>C68+C56+C52+C38+C72</f>
        <v>879.63999999999987</v>
      </c>
      <c r="D73" s="89">
        <f t="shared" ref="D73:AG73" si="10">D68+D56+D52+D38+D72</f>
        <v>864.43999999999994</v>
      </c>
      <c r="E73" s="89">
        <f t="shared" si="10"/>
        <v>867.13999999999987</v>
      </c>
      <c r="F73" s="89">
        <f t="shared" si="10"/>
        <v>924.93999999999994</v>
      </c>
      <c r="G73" s="89">
        <f t="shared" si="10"/>
        <v>962.14</v>
      </c>
      <c r="H73" s="89">
        <f t="shared" si="10"/>
        <v>1052.94</v>
      </c>
      <c r="I73" s="89">
        <f t="shared" si="10"/>
        <v>1134.04</v>
      </c>
      <c r="J73" s="89">
        <f t="shared" si="10"/>
        <v>1161.54</v>
      </c>
      <c r="K73" s="89">
        <f t="shared" si="10"/>
        <v>1333.94</v>
      </c>
      <c r="L73" s="89">
        <f t="shared" si="10"/>
        <v>1352.54</v>
      </c>
      <c r="M73" s="89">
        <f t="shared" si="10"/>
        <v>1359.94</v>
      </c>
      <c r="N73" s="89">
        <f t="shared" si="10"/>
        <v>1237.6399999999999</v>
      </c>
      <c r="O73" s="89">
        <f t="shared" si="10"/>
        <v>1118.3400000000001</v>
      </c>
      <c r="P73" s="89">
        <f t="shared" si="10"/>
        <v>971.54</v>
      </c>
      <c r="Q73" s="89">
        <f t="shared" si="10"/>
        <v>915.44</v>
      </c>
      <c r="R73" s="89">
        <f t="shared" si="10"/>
        <v>869.84</v>
      </c>
      <c r="S73" s="89">
        <f t="shared" si="10"/>
        <v>900.44</v>
      </c>
      <c r="T73" s="89">
        <f t="shared" si="10"/>
        <v>909.24</v>
      </c>
      <c r="U73" s="89">
        <f t="shared" si="10"/>
        <v>928.04</v>
      </c>
      <c r="V73" s="89">
        <f t="shared" si="10"/>
        <v>986.24</v>
      </c>
      <c r="W73" s="89">
        <f t="shared" si="10"/>
        <v>1104.44</v>
      </c>
      <c r="X73" s="89">
        <f t="shared" si="10"/>
        <v>1299.8399999999999</v>
      </c>
      <c r="Y73" s="89">
        <f t="shared" si="10"/>
        <v>1375.24</v>
      </c>
      <c r="Z73" s="89">
        <f t="shared" si="10"/>
        <v>1281.8400000000001</v>
      </c>
      <c r="AA73" s="89">
        <f t="shared" si="10"/>
        <v>1320.74</v>
      </c>
      <c r="AB73" s="89">
        <f t="shared" si="10"/>
        <v>1276.8400000000001</v>
      </c>
      <c r="AC73" s="89">
        <f t="shared" si="10"/>
        <v>1231.44</v>
      </c>
      <c r="AD73" s="89">
        <f t="shared" si="10"/>
        <v>1178.44</v>
      </c>
      <c r="AE73" s="89">
        <f t="shared" si="10"/>
        <v>3.54</v>
      </c>
      <c r="AF73" s="89">
        <f t="shared" si="10"/>
        <v>3.54</v>
      </c>
      <c r="AG73" s="89">
        <f t="shared" si="10"/>
        <v>2144.14</v>
      </c>
      <c r="AH73" s="54">
        <f t="shared" si="2"/>
        <v>1375.24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948.64</v>
      </c>
      <c r="C75" s="89">
        <f>C73+C74</f>
        <v>879.63999999999987</v>
      </c>
      <c r="D75" s="89">
        <f t="shared" ref="D75:AF75" si="11">D72+D68+D56+D52+D38+D74</f>
        <v>864.43999999999994</v>
      </c>
      <c r="E75" s="89">
        <f t="shared" si="11"/>
        <v>867.13999999999987</v>
      </c>
      <c r="F75" s="89">
        <f t="shared" si="11"/>
        <v>924.93999999999994</v>
      </c>
      <c r="G75" s="89">
        <f t="shared" si="11"/>
        <v>962.14</v>
      </c>
      <c r="H75" s="89">
        <f t="shared" si="11"/>
        <v>1052.94</v>
      </c>
      <c r="I75" s="89">
        <f t="shared" si="11"/>
        <v>1134.04</v>
      </c>
      <c r="J75" s="89">
        <f t="shared" si="11"/>
        <v>1161.54</v>
      </c>
      <c r="K75" s="89">
        <f t="shared" si="11"/>
        <v>1333.94</v>
      </c>
      <c r="L75" s="89">
        <f t="shared" si="11"/>
        <v>1352.54</v>
      </c>
      <c r="M75" s="89">
        <f t="shared" si="11"/>
        <v>1359.94</v>
      </c>
      <c r="N75" s="89">
        <f t="shared" si="11"/>
        <v>1237.6399999999999</v>
      </c>
      <c r="O75" s="89">
        <f t="shared" si="11"/>
        <v>1118.3400000000001</v>
      </c>
      <c r="P75" s="89">
        <f t="shared" si="11"/>
        <v>971.54</v>
      </c>
      <c r="Q75" s="89">
        <f t="shared" si="11"/>
        <v>915.44</v>
      </c>
      <c r="R75" s="89">
        <f t="shared" si="11"/>
        <v>869.84</v>
      </c>
      <c r="S75" s="89">
        <f t="shared" si="11"/>
        <v>900.44</v>
      </c>
      <c r="T75" s="89">
        <f t="shared" si="11"/>
        <v>909.24</v>
      </c>
      <c r="U75" s="89">
        <f t="shared" si="11"/>
        <v>928.04</v>
      </c>
      <c r="V75" s="89">
        <f t="shared" si="11"/>
        <v>986.24</v>
      </c>
      <c r="W75" s="89">
        <f t="shared" si="11"/>
        <v>1104.44</v>
      </c>
      <c r="X75" s="89">
        <f t="shared" si="11"/>
        <v>1299.8399999999999</v>
      </c>
      <c r="Y75" s="89">
        <f t="shared" si="11"/>
        <v>1375.24</v>
      </c>
      <c r="Z75" s="89">
        <f t="shared" si="11"/>
        <v>1281.8400000000001</v>
      </c>
      <c r="AA75" s="89">
        <f t="shared" si="11"/>
        <v>1320.74</v>
      </c>
      <c r="AB75" s="89">
        <f t="shared" si="11"/>
        <v>1276.8400000000001</v>
      </c>
      <c r="AC75" s="89">
        <f t="shared" si="11"/>
        <v>1231.44</v>
      </c>
      <c r="AD75" s="89">
        <f t="shared" si="11"/>
        <v>1178.44</v>
      </c>
      <c r="AE75" s="89">
        <f t="shared" si="11"/>
        <v>3.54</v>
      </c>
      <c r="AF75" s="89">
        <f t="shared" si="11"/>
        <v>3.54</v>
      </c>
      <c r="AG75" s="78">
        <f>AG72+AG68+AG56+AG52+AG38+AG74</f>
        <v>2144.14</v>
      </c>
      <c r="AH75" s="54">
        <f t="shared" si="2"/>
        <v>1375.24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1897.28</v>
      </c>
      <c r="C83" s="72">
        <f t="shared" ref="C83:AG83" si="20">SUM(C70:C82)</f>
        <v>1759.2799999999997</v>
      </c>
      <c r="D83" s="72">
        <f t="shared" si="20"/>
        <v>1728.8799999999999</v>
      </c>
      <c r="E83" s="72">
        <f t="shared" si="20"/>
        <v>1734.2799999999997</v>
      </c>
      <c r="F83" s="72">
        <f t="shared" si="20"/>
        <v>1849.8799999999999</v>
      </c>
      <c r="G83" s="72">
        <f t="shared" si="20"/>
        <v>1924.28</v>
      </c>
      <c r="H83" s="72">
        <f t="shared" si="20"/>
        <v>2105.88</v>
      </c>
      <c r="I83" s="72">
        <f t="shared" si="20"/>
        <v>2268.08</v>
      </c>
      <c r="J83" s="72">
        <f t="shared" si="20"/>
        <v>2323.08</v>
      </c>
      <c r="K83" s="72">
        <f t="shared" si="20"/>
        <v>2667.88</v>
      </c>
      <c r="L83" s="72">
        <f t="shared" si="20"/>
        <v>2705.08</v>
      </c>
      <c r="M83" s="72">
        <f t="shared" si="20"/>
        <v>2719.88</v>
      </c>
      <c r="N83" s="72">
        <f t="shared" si="20"/>
        <v>2475.2799999999997</v>
      </c>
      <c r="O83" s="72">
        <f t="shared" si="20"/>
        <v>2236.6800000000003</v>
      </c>
      <c r="P83" s="72">
        <f t="shared" si="20"/>
        <v>1943.08</v>
      </c>
      <c r="Q83" s="72">
        <f t="shared" si="20"/>
        <v>1830.88</v>
      </c>
      <c r="R83" s="72">
        <f t="shared" si="20"/>
        <v>1739.68</v>
      </c>
      <c r="S83" s="72">
        <f t="shared" si="20"/>
        <v>1800.88</v>
      </c>
      <c r="T83" s="72">
        <f t="shared" si="20"/>
        <v>1818.48</v>
      </c>
      <c r="U83" s="72">
        <f t="shared" si="20"/>
        <v>1856.08</v>
      </c>
      <c r="V83" s="72">
        <f t="shared" si="20"/>
        <v>1972.48</v>
      </c>
      <c r="W83" s="72">
        <f t="shared" si="20"/>
        <v>2208.88</v>
      </c>
      <c r="X83" s="72">
        <f t="shared" si="20"/>
        <v>2599.6799999999998</v>
      </c>
      <c r="Y83" s="72">
        <f t="shared" si="20"/>
        <v>2750.48</v>
      </c>
      <c r="Z83" s="72">
        <f t="shared" si="20"/>
        <v>2563.6800000000003</v>
      </c>
      <c r="AA83" s="72">
        <f t="shared" si="20"/>
        <v>2641.48</v>
      </c>
      <c r="AB83" s="72">
        <f t="shared" si="20"/>
        <v>2553.6800000000003</v>
      </c>
      <c r="AC83" s="72">
        <f t="shared" si="20"/>
        <v>2462.88</v>
      </c>
      <c r="AD83" s="72">
        <f t="shared" si="20"/>
        <v>2356.88</v>
      </c>
      <c r="AE83" s="72">
        <f t="shared" si="20"/>
        <v>7.08</v>
      </c>
      <c r="AF83" s="72">
        <f t="shared" si="20"/>
        <v>7.08</v>
      </c>
      <c r="AG83" s="78">
        <f t="shared" si="20"/>
        <v>4360.08</v>
      </c>
      <c r="AH83" s="54">
        <f t="shared" si="13"/>
        <v>2750.48</v>
      </c>
      <c r="AI83" s="55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>
        <v>50.06</v>
      </c>
      <c r="C84" s="95">
        <v>50.01</v>
      </c>
      <c r="D84" s="95">
        <v>49.884</v>
      </c>
      <c r="E84" s="95">
        <v>50.023000000000003</v>
      </c>
      <c r="F84" s="95">
        <v>50.076000000000001</v>
      </c>
      <c r="G84" s="95">
        <v>50.048999999999999</v>
      </c>
      <c r="H84" s="95">
        <v>50.048999999999999</v>
      </c>
      <c r="I84" s="95">
        <v>50.003999999999998</v>
      </c>
      <c r="J84" s="95">
        <v>50.045000000000002</v>
      </c>
      <c r="K84" s="95">
        <v>50.08</v>
      </c>
      <c r="L84" s="95">
        <v>49.92</v>
      </c>
      <c r="M84" s="95">
        <v>49.87</v>
      </c>
      <c r="N84" s="95">
        <v>49.87</v>
      </c>
      <c r="O84" s="95">
        <v>50.07</v>
      </c>
      <c r="P84" s="95">
        <v>50.1</v>
      </c>
      <c r="Q84" s="95">
        <v>50.05</v>
      </c>
      <c r="R84" s="95">
        <v>50.02</v>
      </c>
      <c r="S84" s="95">
        <v>50.045000000000002</v>
      </c>
      <c r="T84" s="95">
        <v>50.026000000000003</v>
      </c>
      <c r="U84" s="95">
        <v>49.963000000000001</v>
      </c>
      <c r="V84" s="95">
        <v>50.048000000000002</v>
      </c>
      <c r="W84" s="95">
        <v>50.103000000000002</v>
      </c>
      <c r="X84" s="95">
        <v>50.061999999999998</v>
      </c>
      <c r="Y84" s="95">
        <v>50.036999999999999</v>
      </c>
      <c r="Z84" s="95">
        <v>50.03</v>
      </c>
      <c r="AA84" s="95">
        <v>50.002000000000002</v>
      </c>
      <c r="AB84" s="95">
        <v>50.08</v>
      </c>
      <c r="AC84" s="95">
        <v>50.037999999999997</v>
      </c>
      <c r="AD84" s="95">
        <v>49.969000000000001</v>
      </c>
      <c r="AE84" s="95"/>
      <c r="AF84" s="95"/>
      <c r="AG84" s="96"/>
      <c r="AH84" s="54">
        <f t="shared" si="13"/>
        <v>50.103000000000002</v>
      </c>
      <c r="AI84" s="55">
        <f t="shared" si="14"/>
        <v>49.87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>
        <v>126</v>
      </c>
      <c r="C85" s="73">
        <v>127.5</v>
      </c>
      <c r="D85" s="73">
        <v>127</v>
      </c>
      <c r="E85" s="73">
        <v>127.5</v>
      </c>
      <c r="F85" s="73">
        <v>126.8</v>
      </c>
      <c r="G85" s="73">
        <v>126.1</v>
      </c>
      <c r="H85" s="73">
        <v>126.1</v>
      </c>
      <c r="I85" s="73">
        <v>124.4</v>
      </c>
      <c r="J85" s="73">
        <v>123.7</v>
      </c>
      <c r="K85" s="73">
        <v>122.3</v>
      </c>
      <c r="L85" s="73">
        <v>123.3</v>
      </c>
      <c r="M85" s="73">
        <v>124.4</v>
      </c>
      <c r="N85" s="73">
        <v>123</v>
      </c>
      <c r="O85" s="73">
        <v>125.4</v>
      </c>
      <c r="P85" s="73">
        <v>126.6</v>
      </c>
      <c r="Q85" s="73">
        <v>128.5</v>
      </c>
      <c r="R85" s="73">
        <v>128</v>
      </c>
      <c r="S85" s="73">
        <v>126</v>
      </c>
      <c r="T85" s="73">
        <v>123.4</v>
      </c>
      <c r="U85" s="98">
        <v>124.7</v>
      </c>
      <c r="V85" s="98">
        <v>125</v>
      </c>
      <c r="W85" s="98">
        <v>123.5</v>
      </c>
      <c r="X85" s="98">
        <v>123.3</v>
      </c>
      <c r="Y85" s="98">
        <v>123.6</v>
      </c>
      <c r="Z85" s="98">
        <v>123.6</v>
      </c>
      <c r="AA85" s="98">
        <v>124.6</v>
      </c>
      <c r="AB85" s="73">
        <v>125</v>
      </c>
      <c r="AC85" s="73">
        <v>124.6</v>
      </c>
      <c r="AD85" s="73">
        <v>124.9</v>
      </c>
      <c r="AE85" s="73"/>
      <c r="AF85" s="73"/>
      <c r="AG85" s="99"/>
      <c r="AH85" s="54">
        <f t="shared" si="13"/>
        <v>128.5</v>
      </c>
      <c r="AI85" s="55">
        <f t="shared" si="14"/>
        <v>122.3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>
        <v>130.5</v>
      </c>
      <c r="C86" s="73">
        <v>131.6</v>
      </c>
      <c r="D86" s="73">
        <v>131.4</v>
      </c>
      <c r="E86" s="73">
        <v>131.6</v>
      </c>
      <c r="F86" s="73">
        <v>131.19999999999999</v>
      </c>
      <c r="G86" s="73">
        <v>130.19999999999999</v>
      </c>
      <c r="H86" s="73">
        <v>130.19999999999999</v>
      </c>
      <c r="I86" s="73">
        <v>128.30000000000001</v>
      </c>
      <c r="J86" s="73">
        <v>127.3</v>
      </c>
      <c r="K86" s="73">
        <v>125.9</v>
      </c>
      <c r="L86" s="73">
        <v>126.5</v>
      </c>
      <c r="M86" s="73">
        <v>127</v>
      </c>
      <c r="N86" s="73">
        <v>125.5</v>
      </c>
      <c r="O86" s="73">
        <v>128</v>
      </c>
      <c r="P86" s="73">
        <v>130</v>
      </c>
      <c r="Q86" s="73">
        <v>131.5</v>
      </c>
      <c r="R86" s="73">
        <v>131.1</v>
      </c>
      <c r="S86" s="73">
        <v>130</v>
      </c>
      <c r="T86" s="73">
        <v>127.9</v>
      </c>
      <c r="U86" s="98">
        <v>128.9</v>
      </c>
      <c r="V86" s="98">
        <v>128.69999999999999</v>
      </c>
      <c r="W86" s="98">
        <v>127.3</v>
      </c>
      <c r="X86" s="98">
        <v>126.1</v>
      </c>
      <c r="Y86" s="98">
        <v>126.4</v>
      </c>
      <c r="Z86" s="98">
        <v>126.3</v>
      </c>
      <c r="AA86" s="98">
        <v>127.6</v>
      </c>
      <c r="AB86" s="73">
        <v>127.7</v>
      </c>
      <c r="AC86" s="73">
        <v>127.7</v>
      </c>
      <c r="AD86" s="73">
        <v>127.6</v>
      </c>
      <c r="AE86" s="73"/>
      <c r="AF86" s="73"/>
      <c r="AG86" s="99"/>
      <c r="AH86" s="54">
        <f t="shared" si="13"/>
        <v>131.6</v>
      </c>
      <c r="AI86" s="55">
        <f t="shared" si="14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>
        <v>129.4</v>
      </c>
      <c r="C87" s="73">
        <v>130</v>
      </c>
      <c r="D87" s="73">
        <v>130</v>
      </c>
      <c r="E87" s="73">
        <v>128.19999999999999</v>
      </c>
      <c r="F87" s="73">
        <v>127.1</v>
      </c>
      <c r="G87" s="73">
        <v>128.4</v>
      </c>
      <c r="H87" s="73">
        <v>128.4</v>
      </c>
      <c r="I87" s="73">
        <v>128.1</v>
      </c>
      <c r="J87" s="73">
        <v>129.5</v>
      </c>
      <c r="K87" s="73">
        <v>128.1</v>
      </c>
      <c r="L87" s="73">
        <v>127.8</v>
      </c>
      <c r="M87" s="73">
        <v>130.4</v>
      </c>
      <c r="N87" s="73">
        <v>131.30000000000001</v>
      </c>
      <c r="O87" s="73">
        <v>131</v>
      </c>
      <c r="P87" s="73">
        <v>131.69999999999999</v>
      </c>
      <c r="Q87" s="73">
        <v>130.4</v>
      </c>
      <c r="R87" s="73">
        <v>131</v>
      </c>
      <c r="S87" s="73">
        <v>130.80000000000001</v>
      </c>
      <c r="T87" s="73">
        <v>129.69999999999999</v>
      </c>
      <c r="U87" s="73">
        <v>128.9</v>
      </c>
      <c r="V87" s="73">
        <v>129</v>
      </c>
      <c r="W87" s="73">
        <v>128.6</v>
      </c>
      <c r="X87" s="98">
        <v>128.69999999999999</v>
      </c>
      <c r="Y87" s="98">
        <v>128.30000000000001</v>
      </c>
      <c r="Z87" s="98">
        <v>130.6</v>
      </c>
      <c r="AA87" s="98">
        <v>131.80000000000001</v>
      </c>
      <c r="AB87" s="73">
        <v>133.80000000000001</v>
      </c>
      <c r="AC87" s="73">
        <v>132.19999999999999</v>
      </c>
      <c r="AD87" s="73">
        <v>129.80000000000001</v>
      </c>
      <c r="AE87" s="73"/>
      <c r="AF87" s="73"/>
      <c r="AG87" s="99"/>
      <c r="AH87" s="54">
        <f t="shared" si="13"/>
        <v>133.80000000000001</v>
      </c>
      <c r="AI87" s="55">
        <f t="shared" si="14"/>
        <v>127.1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>
        <v>132</v>
      </c>
      <c r="C88" s="73">
        <v>132.69999999999999</v>
      </c>
      <c r="D88" s="73">
        <v>133.5</v>
      </c>
      <c r="E88" s="73">
        <v>130.6</v>
      </c>
      <c r="F88" s="73">
        <v>130</v>
      </c>
      <c r="G88" s="73">
        <v>129.9</v>
      </c>
      <c r="H88" s="73">
        <v>129.9</v>
      </c>
      <c r="I88" s="73">
        <v>130.6</v>
      </c>
      <c r="J88" s="73">
        <v>131.80000000000001</v>
      </c>
      <c r="K88" s="73">
        <v>130.4</v>
      </c>
      <c r="L88" s="73">
        <v>129.9</v>
      </c>
      <c r="M88" s="73">
        <v>131.69999999999999</v>
      </c>
      <c r="N88" s="73">
        <v>132.6</v>
      </c>
      <c r="O88" s="73">
        <v>133.1</v>
      </c>
      <c r="P88" s="73">
        <v>133.80000000000001</v>
      </c>
      <c r="Q88" s="73">
        <v>132.9</v>
      </c>
      <c r="R88" s="73">
        <v>133.69999999999999</v>
      </c>
      <c r="S88" s="73">
        <v>134.5</v>
      </c>
      <c r="T88" s="73">
        <v>133.30000000000001</v>
      </c>
      <c r="U88" s="73">
        <v>132.6</v>
      </c>
      <c r="V88" s="73">
        <v>132.1</v>
      </c>
      <c r="W88" s="73">
        <v>131.19999999999999</v>
      </c>
      <c r="X88" s="98">
        <v>132.80000000000001</v>
      </c>
      <c r="Y88" s="98">
        <v>132.9</v>
      </c>
      <c r="Z88" s="98">
        <v>135.1</v>
      </c>
      <c r="AA88" s="98">
        <v>136.30000000000001</v>
      </c>
      <c r="AB88" s="73">
        <v>135.69999999999999</v>
      </c>
      <c r="AC88" s="73">
        <v>135.30000000000001</v>
      </c>
      <c r="AD88" s="73">
        <v>132.30000000000001</v>
      </c>
      <c r="AE88" s="73"/>
      <c r="AF88" s="73"/>
      <c r="AG88" s="99"/>
      <c r="AH88" s="54">
        <f t="shared" si="13"/>
        <v>136.30000000000001</v>
      </c>
      <c r="AI88" s="55">
        <f t="shared" si="14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>
        <v>130</v>
      </c>
      <c r="C89" s="101">
        <v>130</v>
      </c>
      <c r="D89" s="101">
        <v>129</v>
      </c>
      <c r="E89" s="101">
        <v>129.5</v>
      </c>
      <c r="F89" s="101">
        <v>130.30000000000001</v>
      </c>
      <c r="G89" s="101">
        <v>136.19999999999999</v>
      </c>
      <c r="H89" s="101">
        <v>136.19999999999999</v>
      </c>
      <c r="I89" s="101">
        <v>134.9</v>
      </c>
      <c r="J89" s="101">
        <v>133.1</v>
      </c>
      <c r="K89" s="101">
        <v>132.9</v>
      </c>
      <c r="L89" s="101">
        <v>133.69999999999999</v>
      </c>
      <c r="M89" s="101">
        <v>134.1</v>
      </c>
      <c r="N89" s="101">
        <v>133.6</v>
      </c>
      <c r="O89" s="101">
        <v>134</v>
      </c>
      <c r="P89" s="101">
        <v>131.30000000000001</v>
      </c>
      <c r="Q89" s="101">
        <v>133.1</v>
      </c>
      <c r="R89" s="101">
        <v>131.69999999999999</v>
      </c>
      <c r="S89" s="101">
        <v>134.4</v>
      </c>
      <c r="T89" s="101">
        <v>128.80000000000001</v>
      </c>
      <c r="U89" s="101">
        <v>131.30000000000001</v>
      </c>
      <c r="V89" s="101">
        <v>132.9</v>
      </c>
      <c r="W89" s="101">
        <v>134.80000000000001</v>
      </c>
      <c r="X89" s="98">
        <v>134.1</v>
      </c>
      <c r="Y89" s="98">
        <v>132.69999999999999</v>
      </c>
      <c r="Z89" s="98">
        <v>132.5</v>
      </c>
      <c r="AA89" s="98">
        <v>134.80000000000001</v>
      </c>
      <c r="AB89" s="101">
        <v>135</v>
      </c>
      <c r="AC89" s="101">
        <v>135.30000000000001</v>
      </c>
      <c r="AD89" s="101">
        <v>135.19999999999999</v>
      </c>
      <c r="AE89" s="101"/>
      <c r="AF89" s="101"/>
      <c r="AG89" s="102"/>
      <c r="AH89" s="54">
        <f t="shared" si="13"/>
        <v>136.19999999999999</v>
      </c>
      <c r="AI89" s="55">
        <f t="shared" si="14"/>
        <v>128.80000000000001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>
        <v>132.5</v>
      </c>
      <c r="C90" s="73">
        <v>134</v>
      </c>
      <c r="D90" s="73">
        <v>134.9</v>
      </c>
      <c r="E90" s="73">
        <v>135.80000000000001</v>
      </c>
      <c r="F90" s="73">
        <v>135.80000000000001</v>
      </c>
      <c r="G90" s="73">
        <v>127.8</v>
      </c>
      <c r="H90" s="73">
        <v>127.8</v>
      </c>
      <c r="I90" s="73">
        <v>128.30000000000001</v>
      </c>
      <c r="J90" s="73">
        <v>126.9</v>
      </c>
      <c r="K90" s="73">
        <v>132.30000000000001</v>
      </c>
      <c r="L90" s="73">
        <v>131.30000000000001</v>
      </c>
      <c r="M90" s="73">
        <v>131.30000000000001</v>
      </c>
      <c r="N90" s="73">
        <v>130.6</v>
      </c>
      <c r="O90" s="73">
        <v>135.6</v>
      </c>
      <c r="P90" s="73">
        <v>137.5</v>
      </c>
      <c r="Q90" s="73">
        <v>137.69999999999999</v>
      </c>
      <c r="R90" s="73">
        <v>139.9</v>
      </c>
      <c r="S90" s="73">
        <v>134.1</v>
      </c>
      <c r="T90" s="73">
        <v>134.80000000000001</v>
      </c>
      <c r="U90" s="73">
        <v>134.5</v>
      </c>
      <c r="V90" s="73">
        <v>134.30000000000001</v>
      </c>
      <c r="W90" s="73">
        <v>134</v>
      </c>
      <c r="X90" s="98">
        <v>128.80000000000001</v>
      </c>
      <c r="Y90" s="98">
        <v>127.9</v>
      </c>
      <c r="Z90" s="98">
        <v>127.5</v>
      </c>
      <c r="AA90" s="98">
        <v>128.69999999999999</v>
      </c>
      <c r="AB90" s="73">
        <v>130.9</v>
      </c>
      <c r="AC90" s="73">
        <v>132.1</v>
      </c>
      <c r="AD90" s="73">
        <v>133.4</v>
      </c>
      <c r="AE90" s="73"/>
      <c r="AF90" s="73"/>
      <c r="AG90" s="99"/>
      <c r="AH90" s="54">
        <f t="shared" si="13"/>
        <v>139.9</v>
      </c>
      <c r="AI90" s="55">
        <f t="shared" si="14"/>
        <v>126.9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4"/>
      <c r="AH91" s="54">
        <f t="shared" si="13"/>
        <v>0</v>
      </c>
      <c r="AI91" s="55">
        <f t="shared" si="14"/>
        <v>0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174.93999999999997</v>
      </c>
      <c r="C93" s="110">
        <f>SUM(C15,C18,C21:C22,C42,C44:C45,C47,C49,C94:C97,C102,C108,C114,C123,C125,C137,C144,C147:C148,C155,C157,C159,C163:C165,C167:C169,C174,C180:C181,C183:C185,C193,C198)</f>
        <v>194.93999999999997</v>
      </c>
      <c r="D93" s="110">
        <f t="shared" ref="D93:AF93" si="21">SUM(D15,D18,D21:D22,D42,D44:D45,D47,D49,D94:D97,D102,D108,D114,D123,D125,D137,D144,D147:D148,D155,D157,D159,D163:D165,D167:D169,D174,D180:D181,D183:D185,D193,D198)</f>
        <v>183.73999999999998</v>
      </c>
      <c r="E93" s="110">
        <f t="shared" si="21"/>
        <v>186.04</v>
      </c>
      <c r="F93" s="110">
        <f t="shared" si="21"/>
        <v>196.43999999999997</v>
      </c>
      <c r="G93" s="109">
        <f t="shared" si="21"/>
        <v>260.24000000000007</v>
      </c>
      <c r="H93" s="109">
        <f t="shared" ref="H93" si="22">SUM(H15,H18,H21:H22,H42,H44:H45,H47,H49,H94:H97,H102,H108,H114,H123,H125,H137,H144,H147:H148,H155,H157,H159,H163:H165,H167:H169,H174,H180:H181,H183:H185,H193,H198)</f>
        <v>260.24000000000007</v>
      </c>
      <c r="I93" s="109"/>
      <c r="J93" s="109">
        <f t="shared" si="21"/>
        <v>307.44000000000005</v>
      </c>
      <c r="K93" s="109">
        <f t="shared" si="21"/>
        <v>366.94000000000005</v>
      </c>
      <c r="L93" s="109">
        <f t="shared" si="21"/>
        <v>394.54000000000008</v>
      </c>
      <c r="M93" s="109">
        <f t="shared" si="21"/>
        <v>428.84000000000003</v>
      </c>
      <c r="N93" s="109">
        <f t="shared" si="21"/>
        <v>432.84000000000003</v>
      </c>
      <c r="O93" s="109">
        <f t="shared" si="21"/>
        <v>389.54</v>
      </c>
      <c r="P93" s="109">
        <f t="shared" si="21"/>
        <v>337.34000000000003</v>
      </c>
      <c r="Q93" s="109">
        <f t="shared" si="21"/>
        <v>336.54</v>
      </c>
      <c r="R93" s="109">
        <f t="shared" si="21"/>
        <v>311.64</v>
      </c>
      <c r="S93" s="109">
        <f t="shared" si="21"/>
        <v>262.04000000000008</v>
      </c>
      <c r="T93" s="109">
        <f t="shared" si="21"/>
        <v>260.44000000000005</v>
      </c>
      <c r="U93" s="109">
        <f t="shared" si="21"/>
        <v>282.44</v>
      </c>
      <c r="V93" s="109">
        <f t="shared" si="21"/>
        <v>310.74</v>
      </c>
      <c r="W93" s="109">
        <f t="shared" si="21"/>
        <v>350.44</v>
      </c>
      <c r="X93" s="109">
        <f t="shared" si="21"/>
        <v>421.94000000000005</v>
      </c>
      <c r="Y93" s="109">
        <f t="shared" si="21"/>
        <v>454.04</v>
      </c>
      <c r="Z93" s="109">
        <f t="shared" si="21"/>
        <v>453.34000000000003</v>
      </c>
      <c r="AA93" s="109">
        <f t="shared" si="21"/>
        <v>468.04</v>
      </c>
      <c r="AB93" s="109">
        <f t="shared" si="21"/>
        <v>433.44</v>
      </c>
      <c r="AC93" s="109">
        <f t="shared" si="21"/>
        <v>407.34000000000003</v>
      </c>
      <c r="AD93" s="109">
        <f t="shared" si="21"/>
        <v>380.34000000000003</v>
      </c>
      <c r="AE93" s="109">
        <f t="shared" si="21"/>
        <v>34.840000000000003</v>
      </c>
      <c r="AF93" s="109">
        <f t="shared" si="21"/>
        <v>34.840000000000003</v>
      </c>
      <c r="AG93" s="111"/>
      <c r="AH93" s="54">
        <f>MAX(C93:AF93)</f>
        <v>468.04</v>
      </c>
      <c r="AI93" s="55">
        <f>MIN(C93:AF93)</f>
        <v>34.840000000000003</v>
      </c>
    </row>
    <row r="94" spans="1:88" x14ac:dyDescent="0.25">
      <c r="A94" s="112" t="s">
        <v>98</v>
      </c>
      <c r="B94" s="175">
        <v>-4</v>
      </c>
      <c r="C94" s="58">
        <v>-3</v>
      </c>
      <c r="D94" s="58">
        <v>-5</v>
      </c>
      <c r="E94" s="58">
        <v>0.8</v>
      </c>
      <c r="F94" s="58">
        <v>9.1</v>
      </c>
      <c r="G94" s="114">
        <v>22.8</v>
      </c>
      <c r="H94" s="114">
        <v>22.8</v>
      </c>
      <c r="I94" s="114">
        <v>35.299999999999997</v>
      </c>
      <c r="J94" s="114">
        <v>25</v>
      </c>
      <c r="K94" s="114">
        <v>57.7</v>
      </c>
      <c r="L94" s="114">
        <v>59.7</v>
      </c>
      <c r="M94" s="113">
        <v>65.099999999999994</v>
      </c>
      <c r="N94" s="114">
        <v>63.5</v>
      </c>
      <c r="O94" s="114">
        <v>60.6</v>
      </c>
      <c r="P94" s="114">
        <v>23.4</v>
      </c>
      <c r="Q94" s="114">
        <v>24.4</v>
      </c>
      <c r="R94" s="114">
        <v>25.4</v>
      </c>
      <c r="S94" s="114">
        <v>18.8</v>
      </c>
      <c r="T94" s="114">
        <v>-17.7</v>
      </c>
      <c r="U94" s="113">
        <v>7.1</v>
      </c>
      <c r="V94" s="113">
        <v>68.599999999999994</v>
      </c>
      <c r="W94" s="113">
        <v>82.9</v>
      </c>
      <c r="X94" s="114">
        <v>88.8</v>
      </c>
      <c r="Y94" s="114">
        <v>74.099999999999994</v>
      </c>
      <c r="Z94" s="114">
        <v>78.599999999999994</v>
      </c>
      <c r="AA94" s="114">
        <v>83.5</v>
      </c>
      <c r="AB94" s="113">
        <v>86</v>
      </c>
      <c r="AC94" s="113">
        <v>89</v>
      </c>
      <c r="AD94" s="113">
        <v>93</v>
      </c>
      <c r="AE94" s="113"/>
      <c r="AF94" s="113"/>
      <c r="AG94" s="115">
        <v>75</v>
      </c>
      <c r="AH94" s="54">
        <f t="shared" ref="AH94:AH99" si="23">IF(ABS(MAX(C94:AF94))&gt;ABS(MIN(C94:AF94)),MAX(C94:AF94),MIN(C94:AF94))</f>
        <v>93</v>
      </c>
      <c r="AI94" s="116">
        <f t="shared" ref="AI94:AI99" si="24">INDEX($C$9:$AF$9,1,MATCH(AH94,C94:AF94,0))</f>
        <v>0.875</v>
      </c>
    </row>
    <row r="95" spans="1:88" x14ac:dyDescent="0.25">
      <c r="A95" s="117" t="s">
        <v>99</v>
      </c>
      <c r="B95" s="176">
        <v>-50</v>
      </c>
      <c r="C95" s="60">
        <v>-46</v>
      </c>
      <c r="D95" s="60">
        <v>-49</v>
      </c>
      <c r="E95" s="60">
        <v>-48</v>
      </c>
      <c r="F95" s="60">
        <v>-49</v>
      </c>
      <c r="G95" s="60">
        <v>-26</v>
      </c>
      <c r="H95" s="60">
        <v>-26</v>
      </c>
      <c r="I95" s="60">
        <v>-18</v>
      </c>
      <c r="J95" s="60">
        <v>-6</v>
      </c>
      <c r="K95" s="60">
        <v>-2</v>
      </c>
      <c r="L95" s="60">
        <v>11</v>
      </c>
      <c r="M95" s="60">
        <f>15.7+11.9</f>
        <v>27.6</v>
      </c>
      <c r="N95" s="60">
        <f>20.7+22.4</f>
        <v>43.099999999999994</v>
      </c>
      <c r="O95" s="60">
        <f>4.8+5.8</f>
        <v>10.6</v>
      </c>
      <c r="P95" s="60">
        <f>4.5+5.2</f>
        <v>9.6999999999999993</v>
      </c>
      <c r="Q95" s="60">
        <f>4.5+5.2</f>
        <v>9.6999999999999993</v>
      </c>
      <c r="R95" s="60">
        <v>-5.9</v>
      </c>
      <c r="S95" s="60">
        <v>-33.200000000000003</v>
      </c>
      <c r="T95" s="60">
        <v>1.8</v>
      </c>
      <c r="U95" s="60">
        <v>-0.5</v>
      </c>
      <c r="V95" s="60">
        <v>-8.4</v>
      </c>
      <c r="W95" s="60">
        <v>0.7</v>
      </c>
      <c r="X95" s="60">
        <v>40.4</v>
      </c>
      <c r="Y95" s="60">
        <v>57.3</v>
      </c>
      <c r="Z95" s="60">
        <v>59.9</v>
      </c>
      <c r="AA95" s="60">
        <v>55.2</v>
      </c>
      <c r="AB95" s="73">
        <f>17.1+17.8</f>
        <v>34.900000000000006</v>
      </c>
      <c r="AC95" s="73">
        <v>22</v>
      </c>
      <c r="AD95" s="73">
        <v>10</v>
      </c>
      <c r="AE95" s="73"/>
      <c r="AF95" s="73"/>
      <c r="AG95" s="115">
        <v>240</v>
      </c>
      <c r="AH95" s="54">
        <f t="shared" si="23"/>
        <v>59.9</v>
      </c>
      <c r="AI95" s="116">
        <f t="shared" si="24"/>
        <v>0.79166666666666663</v>
      </c>
    </row>
    <row r="96" spans="1:88" x14ac:dyDescent="0.25">
      <c r="A96" s="117" t="s">
        <v>100</v>
      </c>
      <c r="B96" s="176">
        <v>-6</v>
      </c>
      <c r="C96" s="60">
        <v>0</v>
      </c>
      <c r="D96" s="60">
        <v>-4</v>
      </c>
      <c r="E96" s="60">
        <v>-6.4</v>
      </c>
      <c r="F96" s="60">
        <v>-4</v>
      </c>
      <c r="G96" s="60">
        <v>1.4</v>
      </c>
      <c r="H96" s="60">
        <v>1.4</v>
      </c>
      <c r="I96" s="60">
        <v>3.1</v>
      </c>
      <c r="J96" s="60">
        <v>5.9</v>
      </c>
      <c r="K96" s="60">
        <v>18.2</v>
      </c>
      <c r="L96" s="60">
        <v>33.799999999999997</v>
      </c>
      <c r="M96" s="60">
        <v>42.1</v>
      </c>
      <c r="N96" s="60">
        <v>25.7</v>
      </c>
      <c r="O96" s="60">
        <v>19.3</v>
      </c>
      <c r="P96" s="60">
        <v>10.7</v>
      </c>
      <c r="Q96" s="60">
        <v>10.7</v>
      </c>
      <c r="R96" s="60">
        <v>3.1</v>
      </c>
      <c r="S96" s="60">
        <v>0</v>
      </c>
      <c r="T96" s="60">
        <v>3.5</v>
      </c>
      <c r="U96" s="60">
        <v>-1.6</v>
      </c>
      <c r="V96" s="60">
        <v>8.6</v>
      </c>
      <c r="W96" s="60">
        <v>13.2</v>
      </c>
      <c r="X96" s="60">
        <v>31.8</v>
      </c>
      <c r="Y96" s="60">
        <v>46.6</v>
      </c>
      <c r="Z96" s="60">
        <v>39.1</v>
      </c>
      <c r="AA96" s="60">
        <v>27.8</v>
      </c>
      <c r="AB96" s="73">
        <v>22.4</v>
      </c>
      <c r="AC96" s="73">
        <v>17</v>
      </c>
      <c r="AD96" s="73">
        <v>18</v>
      </c>
      <c r="AE96" s="73"/>
      <c r="AF96" s="73"/>
      <c r="AG96" s="115">
        <v>60</v>
      </c>
      <c r="AH96" s="54">
        <f t="shared" si="23"/>
        <v>46.6</v>
      </c>
      <c r="AI96" s="116">
        <f t="shared" si="24"/>
        <v>0.77083333333333337</v>
      </c>
    </row>
    <row r="97" spans="1:37" x14ac:dyDescent="0.25">
      <c r="A97" s="118" t="s">
        <v>101</v>
      </c>
      <c r="B97" s="177">
        <v>46</v>
      </c>
      <c r="C97" s="63">
        <v>55</v>
      </c>
      <c r="D97" s="63">
        <v>56</v>
      </c>
      <c r="E97" s="63">
        <v>53.9</v>
      </c>
      <c r="F97" s="63">
        <v>54.6</v>
      </c>
      <c r="G97" s="63">
        <v>77.599999999999994</v>
      </c>
      <c r="H97" s="63">
        <v>77.599999999999994</v>
      </c>
      <c r="I97" s="63">
        <v>83.2</v>
      </c>
      <c r="J97" s="63">
        <v>98.1</v>
      </c>
      <c r="K97" s="63">
        <v>108.6</v>
      </c>
      <c r="L97" s="63">
        <v>105.6</v>
      </c>
      <c r="M97" s="63">
        <v>108.5</v>
      </c>
      <c r="N97" s="63">
        <v>113.7</v>
      </c>
      <c r="O97" s="63">
        <v>112.2</v>
      </c>
      <c r="P97" s="63">
        <v>106.7</v>
      </c>
      <c r="Q97" s="63">
        <v>106.7</v>
      </c>
      <c r="R97" s="63">
        <v>109</v>
      </c>
      <c r="S97" s="63">
        <v>96.4</v>
      </c>
      <c r="T97" s="63">
        <v>92.8</v>
      </c>
      <c r="U97" s="63">
        <v>97.4</v>
      </c>
      <c r="V97" s="63">
        <v>61.9</v>
      </c>
      <c r="W97" s="63">
        <v>73.599999999999994</v>
      </c>
      <c r="X97" s="63">
        <v>80.900000000000006</v>
      </c>
      <c r="Y97" s="63">
        <v>87</v>
      </c>
      <c r="Z97" s="63">
        <v>86.7</v>
      </c>
      <c r="AA97" s="63">
        <v>112.2</v>
      </c>
      <c r="AB97" s="119">
        <v>101.8</v>
      </c>
      <c r="AC97" s="119">
        <v>91</v>
      </c>
      <c r="AD97" s="119">
        <v>71</v>
      </c>
      <c r="AE97" s="119"/>
      <c r="AF97" s="119"/>
      <c r="AG97" s="120">
        <v>120</v>
      </c>
      <c r="AH97" s="54">
        <f t="shared" si="23"/>
        <v>113.7</v>
      </c>
      <c r="AI97" s="116">
        <f t="shared" si="24"/>
        <v>0.375</v>
      </c>
    </row>
    <row r="98" spans="1:37" x14ac:dyDescent="0.25">
      <c r="A98" s="118" t="s">
        <v>102</v>
      </c>
      <c r="B98" s="177">
        <v>54</v>
      </c>
      <c r="C98" s="63">
        <v>66</v>
      </c>
      <c r="D98" s="63">
        <v>66</v>
      </c>
      <c r="E98" s="63">
        <v>63.4</v>
      </c>
      <c r="F98" s="63">
        <v>64.7</v>
      </c>
      <c r="G98" s="63">
        <v>76.5</v>
      </c>
      <c r="H98" s="63">
        <v>76.5</v>
      </c>
      <c r="I98" s="63">
        <v>82.1</v>
      </c>
      <c r="J98" s="63">
        <v>95.2</v>
      </c>
      <c r="K98" s="63">
        <v>87.3</v>
      </c>
      <c r="L98" s="63">
        <v>84.6</v>
      </c>
      <c r="M98" s="63">
        <v>58.3</v>
      </c>
      <c r="N98" s="63">
        <v>76.8</v>
      </c>
      <c r="O98" s="63">
        <v>46</v>
      </c>
      <c r="P98" s="63">
        <v>61.7</v>
      </c>
      <c r="Q98" s="63">
        <v>61.7</v>
      </c>
      <c r="R98" s="63">
        <v>55.1</v>
      </c>
      <c r="S98" s="63">
        <v>58.6</v>
      </c>
      <c r="T98" s="63">
        <v>101.5</v>
      </c>
      <c r="U98" s="63">
        <v>90.3</v>
      </c>
      <c r="V98" s="63">
        <v>52.4</v>
      </c>
      <c r="W98" s="63">
        <v>53.6</v>
      </c>
      <c r="X98" s="63">
        <v>83.7</v>
      </c>
      <c r="Y98" s="63">
        <v>94.2</v>
      </c>
      <c r="Z98" s="63">
        <v>94.1</v>
      </c>
      <c r="AA98" s="63">
        <v>80.900000000000006</v>
      </c>
      <c r="AB98" s="119">
        <v>78.099999999999994</v>
      </c>
      <c r="AC98" s="119">
        <v>72</v>
      </c>
      <c r="AD98" s="119">
        <v>63</v>
      </c>
      <c r="AE98" s="119"/>
      <c r="AF98" s="119"/>
      <c r="AG98" s="120"/>
      <c r="AH98" s="54">
        <f t="shared" si="23"/>
        <v>101.5</v>
      </c>
      <c r="AI98" s="116">
        <f t="shared" si="24"/>
        <v>0.625</v>
      </c>
    </row>
    <row r="99" spans="1:37" ht="15.75" thickBot="1" x14ac:dyDescent="0.3">
      <c r="A99" s="118" t="s">
        <v>217</v>
      </c>
      <c r="B99" s="177">
        <v>30</v>
      </c>
      <c r="C99" s="63">
        <v>48</v>
      </c>
      <c r="D99" s="63">
        <v>53</v>
      </c>
      <c r="E99" s="63">
        <v>51.3</v>
      </c>
      <c r="F99" s="63">
        <v>51.3</v>
      </c>
      <c r="G99" s="63">
        <v>32.1</v>
      </c>
      <c r="H99" s="63">
        <v>32.1</v>
      </c>
      <c r="I99" s="63">
        <v>28.1</v>
      </c>
      <c r="J99" s="63">
        <v>37.200000000000003</v>
      </c>
      <c r="K99" s="63">
        <v>29.7</v>
      </c>
      <c r="L99" s="63">
        <v>29.6</v>
      </c>
      <c r="M99" s="63">
        <v>26.3</v>
      </c>
      <c r="N99" s="63">
        <v>16.899999999999999</v>
      </c>
      <c r="O99" s="63">
        <v>3.2</v>
      </c>
      <c r="P99" s="63">
        <v>29.7</v>
      </c>
      <c r="Q99" s="63">
        <v>29.7</v>
      </c>
      <c r="R99" s="63">
        <v>50.7</v>
      </c>
      <c r="S99" s="63">
        <v>33.5</v>
      </c>
      <c r="T99" s="63">
        <v>50.7</v>
      </c>
      <c r="U99" s="63">
        <v>34.5</v>
      </c>
      <c r="V99" s="63">
        <v>5.0999999999999996</v>
      </c>
      <c r="W99" s="63">
        <v>-5.9</v>
      </c>
      <c r="X99" s="63">
        <v>-8.8000000000000007</v>
      </c>
      <c r="Y99" s="63">
        <v>11.5</v>
      </c>
      <c r="Z99" s="63">
        <v>9.3000000000000007</v>
      </c>
      <c r="AA99" s="63">
        <v>1.3</v>
      </c>
      <c r="AB99" s="119">
        <v>1</v>
      </c>
      <c r="AC99" s="119">
        <v>5</v>
      </c>
      <c r="AD99" s="119">
        <v>-7</v>
      </c>
      <c r="AE99" s="119"/>
      <c r="AF99" s="119"/>
      <c r="AG99" s="121"/>
      <c r="AH99" s="54">
        <f t="shared" si="23"/>
        <v>53</v>
      </c>
      <c r="AI99" s="116">
        <f t="shared" si="24"/>
        <v>8.3333333333333301E-2</v>
      </c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5">AF101</f>
        <v>9.9</v>
      </c>
      <c r="C101" s="53">
        <v>9.9</v>
      </c>
      <c r="D101" s="127">
        <f t="shared" ref="D101:S106" si="26">C101</f>
        <v>9.9</v>
      </c>
      <c r="E101" s="127">
        <f t="shared" si="26"/>
        <v>9.9</v>
      </c>
      <c r="F101" s="127">
        <f t="shared" si="26"/>
        <v>9.9</v>
      </c>
      <c r="G101" s="127">
        <f t="shared" si="26"/>
        <v>9.9</v>
      </c>
      <c r="H101" s="127">
        <f t="shared" si="26"/>
        <v>9.9</v>
      </c>
      <c r="I101" s="127">
        <f t="shared" si="26"/>
        <v>9.9</v>
      </c>
      <c r="J101" s="127">
        <f t="shared" si="26"/>
        <v>9.9</v>
      </c>
      <c r="K101" s="127">
        <f t="shared" si="26"/>
        <v>9.9</v>
      </c>
      <c r="L101" s="127">
        <f t="shared" si="26"/>
        <v>9.9</v>
      </c>
      <c r="M101" s="127">
        <f t="shared" si="26"/>
        <v>9.9</v>
      </c>
      <c r="N101" s="127">
        <f t="shared" si="26"/>
        <v>9.9</v>
      </c>
      <c r="O101" s="127">
        <f t="shared" si="26"/>
        <v>9.9</v>
      </c>
      <c r="P101" s="127">
        <f t="shared" si="26"/>
        <v>9.9</v>
      </c>
      <c r="Q101" s="127">
        <f t="shared" si="26"/>
        <v>9.9</v>
      </c>
      <c r="R101" s="127">
        <f t="shared" si="26"/>
        <v>9.9</v>
      </c>
      <c r="S101" s="127">
        <f t="shared" si="26"/>
        <v>9.9</v>
      </c>
      <c r="T101" s="127">
        <f t="shared" ref="T101:AF106" si="27">S101</f>
        <v>9.9</v>
      </c>
      <c r="U101" s="127">
        <f t="shared" si="27"/>
        <v>9.9</v>
      </c>
      <c r="V101" s="127">
        <f t="shared" si="27"/>
        <v>9.9</v>
      </c>
      <c r="W101" s="127">
        <f t="shared" si="27"/>
        <v>9.9</v>
      </c>
      <c r="X101" s="127">
        <f t="shared" si="27"/>
        <v>9.9</v>
      </c>
      <c r="Y101" s="127">
        <f t="shared" si="27"/>
        <v>9.9</v>
      </c>
      <c r="Z101" s="127">
        <f t="shared" si="27"/>
        <v>9.9</v>
      </c>
      <c r="AA101" s="127">
        <f t="shared" si="27"/>
        <v>9.9</v>
      </c>
      <c r="AB101" s="127">
        <f t="shared" si="27"/>
        <v>9.9</v>
      </c>
      <c r="AC101" s="127">
        <f t="shared" si="27"/>
        <v>9.9</v>
      </c>
      <c r="AD101" s="127">
        <f t="shared" si="27"/>
        <v>9.9</v>
      </c>
      <c r="AE101" s="127">
        <f t="shared" si="27"/>
        <v>9.9</v>
      </c>
      <c r="AF101" s="127">
        <f t="shared" si="27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5"/>
        <v>9.6</v>
      </c>
      <c r="C102" s="130">
        <v>9.6</v>
      </c>
      <c r="D102" s="129">
        <f t="shared" si="26"/>
        <v>9.6</v>
      </c>
      <c r="E102" s="129">
        <f t="shared" si="26"/>
        <v>9.6</v>
      </c>
      <c r="F102" s="129">
        <f t="shared" si="26"/>
        <v>9.6</v>
      </c>
      <c r="G102" s="129">
        <f t="shared" si="26"/>
        <v>9.6</v>
      </c>
      <c r="H102" s="129">
        <f t="shared" si="26"/>
        <v>9.6</v>
      </c>
      <c r="I102" s="129">
        <f t="shared" si="26"/>
        <v>9.6</v>
      </c>
      <c r="J102" s="129">
        <f t="shared" si="26"/>
        <v>9.6</v>
      </c>
      <c r="K102" s="129">
        <f t="shared" si="26"/>
        <v>9.6</v>
      </c>
      <c r="L102" s="129">
        <f t="shared" si="26"/>
        <v>9.6</v>
      </c>
      <c r="M102" s="129">
        <f t="shared" si="26"/>
        <v>9.6</v>
      </c>
      <c r="N102" s="129">
        <f t="shared" si="26"/>
        <v>9.6</v>
      </c>
      <c r="O102" s="129">
        <f t="shared" si="26"/>
        <v>9.6</v>
      </c>
      <c r="P102" s="129">
        <f t="shared" si="26"/>
        <v>9.6</v>
      </c>
      <c r="Q102" s="129">
        <f t="shared" si="26"/>
        <v>9.6</v>
      </c>
      <c r="R102" s="129">
        <f t="shared" si="26"/>
        <v>9.6</v>
      </c>
      <c r="S102" s="129">
        <f t="shared" si="26"/>
        <v>9.6</v>
      </c>
      <c r="T102" s="129">
        <f t="shared" si="27"/>
        <v>9.6</v>
      </c>
      <c r="U102" s="129">
        <f t="shared" si="27"/>
        <v>9.6</v>
      </c>
      <c r="V102" s="129">
        <f t="shared" si="27"/>
        <v>9.6</v>
      </c>
      <c r="W102" s="129">
        <f t="shared" si="27"/>
        <v>9.6</v>
      </c>
      <c r="X102" s="129">
        <f t="shared" si="27"/>
        <v>9.6</v>
      </c>
      <c r="Y102" s="129">
        <f t="shared" si="27"/>
        <v>9.6</v>
      </c>
      <c r="Z102" s="129">
        <f t="shared" si="27"/>
        <v>9.6</v>
      </c>
      <c r="AA102" s="129">
        <f t="shared" si="27"/>
        <v>9.6</v>
      </c>
      <c r="AB102" s="129">
        <f t="shared" si="27"/>
        <v>9.6</v>
      </c>
      <c r="AC102" s="129">
        <f t="shared" si="27"/>
        <v>9.6</v>
      </c>
      <c r="AD102" s="129">
        <f t="shared" si="27"/>
        <v>9.6</v>
      </c>
      <c r="AE102" s="129">
        <f t="shared" si="27"/>
        <v>9.6</v>
      </c>
      <c r="AF102" s="129">
        <f t="shared" si="27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5"/>
        <v>9.98</v>
      </c>
      <c r="C103" s="130">
        <v>9.98</v>
      </c>
      <c r="D103" s="129">
        <f t="shared" si="26"/>
        <v>9.98</v>
      </c>
      <c r="E103" s="129">
        <f t="shared" si="26"/>
        <v>9.98</v>
      </c>
      <c r="F103" s="129">
        <f t="shared" si="26"/>
        <v>9.98</v>
      </c>
      <c r="G103" s="129">
        <f t="shared" si="26"/>
        <v>9.98</v>
      </c>
      <c r="H103" s="129">
        <f t="shared" si="26"/>
        <v>9.98</v>
      </c>
      <c r="I103" s="129">
        <f t="shared" si="26"/>
        <v>9.98</v>
      </c>
      <c r="J103" s="129">
        <f t="shared" si="26"/>
        <v>9.98</v>
      </c>
      <c r="K103" s="129">
        <f t="shared" si="26"/>
        <v>9.98</v>
      </c>
      <c r="L103" s="129">
        <f t="shared" si="26"/>
        <v>9.98</v>
      </c>
      <c r="M103" s="129">
        <f t="shared" si="26"/>
        <v>9.98</v>
      </c>
      <c r="N103" s="129">
        <f t="shared" si="26"/>
        <v>9.98</v>
      </c>
      <c r="O103" s="129">
        <f t="shared" si="26"/>
        <v>9.98</v>
      </c>
      <c r="P103" s="129">
        <f t="shared" si="26"/>
        <v>9.98</v>
      </c>
      <c r="Q103" s="129">
        <f t="shared" si="26"/>
        <v>9.98</v>
      </c>
      <c r="R103" s="129">
        <f t="shared" si="26"/>
        <v>9.98</v>
      </c>
      <c r="S103" s="129">
        <f t="shared" si="26"/>
        <v>9.98</v>
      </c>
      <c r="T103" s="129">
        <f t="shared" si="27"/>
        <v>9.98</v>
      </c>
      <c r="U103" s="129">
        <f t="shared" si="27"/>
        <v>9.98</v>
      </c>
      <c r="V103" s="129">
        <f t="shared" si="27"/>
        <v>9.98</v>
      </c>
      <c r="W103" s="129">
        <f t="shared" si="27"/>
        <v>9.98</v>
      </c>
      <c r="X103" s="129">
        <f t="shared" si="27"/>
        <v>9.98</v>
      </c>
      <c r="Y103" s="129">
        <f t="shared" si="27"/>
        <v>9.98</v>
      </c>
      <c r="Z103" s="129">
        <f t="shared" si="27"/>
        <v>9.98</v>
      </c>
      <c r="AA103" s="129">
        <f t="shared" si="27"/>
        <v>9.98</v>
      </c>
      <c r="AB103" s="129">
        <f t="shared" si="27"/>
        <v>9.98</v>
      </c>
      <c r="AC103" s="129">
        <f t="shared" si="27"/>
        <v>9.98</v>
      </c>
      <c r="AD103" s="129">
        <f t="shared" si="27"/>
        <v>9.98</v>
      </c>
      <c r="AE103" s="129">
        <f t="shared" si="27"/>
        <v>9.98</v>
      </c>
      <c r="AF103" s="129">
        <f t="shared" si="27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5"/>
        <v>9.1</v>
      </c>
      <c r="C104" s="130">
        <v>9.1</v>
      </c>
      <c r="D104" s="129">
        <f t="shared" si="26"/>
        <v>9.1</v>
      </c>
      <c r="E104" s="129">
        <f t="shared" si="26"/>
        <v>9.1</v>
      </c>
      <c r="F104" s="129">
        <f t="shared" si="26"/>
        <v>9.1</v>
      </c>
      <c r="G104" s="129">
        <f t="shared" si="26"/>
        <v>9.1</v>
      </c>
      <c r="H104" s="129">
        <f t="shared" si="26"/>
        <v>9.1</v>
      </c>
      <c r="I104" s="129">
        <f t="shared" si="26"/>
        <v>9.1</v>
      </c>
      <c r="J104" s="129">
        <f t="shared" si="26"/>
        <v>9.1</v>
      </c>
      <c r="K104" s="129">
        <f t="shared" si="26"/>
        <v>9.1</v>
      </c>
      <c r="L104" s="129">
        <f t="shared" si="26"/>
        <v>9.1</v>
      </c>
      <c r="M104" s="129">
        <f t="shared" si="26"/>
        <v>9.1</v>
      </c>
      <c r="N104" s="129">
        <f t="shared" si="26"/>
        <v>9.1</v>
      </c>
      <c r="O104" s="129">
        <f t="shared" si="26"/>
        <v>9.1</v>
      </c>
      <c r="P104" s="129">
        <f t="shared" si="26"/>
        <v>9.1</v>
      </c>
      <c r="Q104" s="129">
        <f t="shared" si="26"/>
        <v>9.1</v>
      </c>
      <c r="R104" s="129">
        <f t="shared" si="26"/>
        <v>9.1</v>
      </c>
      <c r="S104" s="129">
        <f t="shared" si="26"/>
        <v>9.1</v>
      </c>
      <c r="T104" s="129">
        <f t="shared" si="27"/>
        <v>9.1</v>
      </c>
      <c r="U104" s="129">
        <f t="shared" si="27"/>
        <v>9.1</v>
      </c>
      <c r="V104" s="129">
        <f t="shared" si="27"/>
        <v>9.1</v>
      </c>
      <c r="W104" s="129">
        <f t="shared" si="27"/>
        <v>9.1</v>
      </c>
      <c r="X104" s="129">
        <f t="shared" si="27"/>
        <v>9.1</v>
      </c>
      <c r="Y104" s="129">
        <f t="shared" si="27"/>
        <v>9.1</v>
      </c>
      <c r="Z104" s="129">
        <f t="shared" si="27"/>
        <v>9.1</v>
      </c>
      <c r="AA104" s="129">
        <f t="shared" si="27"/>
        <v>9.1</v>
      </c>
      <c r="AB104" s="129">
        <f t="shared" si="27"/>
        <v>9.1</v>
      </c>
      <c r="AC104" s="129">
        <f t="shared" si="27"/>
        <v>9.1</v>
      </c>
      <c r="AD104" s="129">
        <f t="shared" si="27"/>
        <v>9.1</v>
      </c>
      <c r="AE104" s="129">
        <f t="shared" si="27"/>
        <v>9.1</v>
      </c>
      <c r="AF104" s="129">
        <f t="shared" si="27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5"/>
        <v>9.18</v>
      </c>
      <c r="C105" s="130">
        <v>9.18</v>
      </c>
      <c r="D105" s="129">
        <f t="shared" si="26"/>
        <v>9.18</v>
      </c>
      <c r="E105" s="129">
        <f t="shared" si="26"/>
        <v>9.18</v>
      </c>
      <c r="F105" s="129">
        <f t="shared" si="26"/>
        <v>9.18</v>
      </c>
      <c r="G105" s="129">
        <f t="shared" si="26"/>
        <v>9.18</v>
      </c>
      <c r="H105" s="129">
        <f t="shared" si="26"/>
        <v>9.18</v>
      </c>
      <c r="I105" s="129">
        <f t="shared" si="26"/>
        <v>9.18</v>
      </c>
      <c r="J105" s="129">
        <f t="shared" si="26"/>
        <v>9.18</v>
      </c>
      <c r="K105" s="129">
        <f t="shared" si="26"/>
        <v>9.18</v>
      </c>
      <c r="L105" s="129">
        <f t="shared" si="26"/>
        <v>9.18</v>
      </c>
      <c r="M105" s="129">
        <f t="shared" si="26"/>
        <v>9.18</v>
      </c>
      <c r="N105" s="129">
        <f t="shared" si="26"/>
        <v>9.18</v>
      </c>
      <c r="O105" s="129">
        <f t="shared" si="26"/>
        <v>9.18</v>
      </c>
      <c r="P105" s="129">
        <f t="shared" si="26"/>
        <v>9.18</v>
      </c>
      <c r="Q105" s="129">
        <f t="shared" si="26"/>
        <v>9.18</v>
      </c>
      <c r="R105" s="129">
        <f t="shared" si="26"/>
        <v>9.18</v>
      </c>
      <c r="S105" s="129">
        <f t="shared" si="26"/>
        <v>9.18</v>
      </c>
      <c r="T105" s="129">
        <f t="shared" si="27"/>
        <v>9.18</v>
      </c>
      <c r="U105" s="129">
        <f t="shared" si="27"/>
        <v>9.18</v>
      </c>
      <c r="V105" s="129">
        <f t="shared" si="27"/>
        <v>9.18</v>
      </c>
      <c r="W105" s="129">
        <f t="shared" si="27"/>
        <v>9.18</v>
      </c>
      <c r="X105" s="129">
        <f t="shared" si="27"/>
        <v>9.18</v>
      </c>
      <c r="Y105" s="129">
        <f t="shared" si="27"/>
        <v>9.18</v>
      </c>
      <c r="Z105" s="129">
        <f t="shared" si="27"/>
        <v>9.18</v>
      </c>
      <c r="AA105" s="129">
        <f t="shared" si="27"/>
        <v>9.18</v>
      </c>
      <c r="AB105" s="129">
        <f t="shared" si="27"/>
        <v>9.18</v>
      </c>
      <c r="AC105" s="129">
        <f t="shared" si="27"/>
        <v>9.18</v>
      </c>
      <c r="AD105" s="129">
        <f t="shared" si="27"/>
        <v>9.18</v>
      </c>
      <c r="AE105" s="129">
        <f t="shared" si="27"/>
        <v>9.18</v>
      </c>
      <c r="AF105" s="129">
        <f t="shared" si="27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5"/>
        <v>7</v>
      </c>
      <c r="C106" s="130">
        <v>7</v>
      </c>
      <c r="D106" s="129">
        <f t="shared" si="26"/>
        <v>7</v>
      </c>
      <c r="E106" s="129">
        <f t="shared" si="26"/>
        <v>7</v>
      </c>
      <c r="F106" s="129">
        <f t="shared" si="26"/>
        <v>7</v>
      </c>
      <c r="G106" s="129">
        <f t="shared" si="26"/>
        <v>7</v>
      </c>
      <c r="H106" s="129">
        <f t="shared" si="26"/>
        <v>7</v>
      </c>
      <c r="I106" s="129">
        <f t="shared" si="26"/>
        <v>7</v>
      </c>
      <c r="J106" s="129">
        <f t="shared" si="26"/>
        <v>7</v>
      </c>
      <c r="K106" s="129">
        <f t="shared" si="26"/>
        <v>7</v>
      </c>
      <c r="L106" s="129">
        <f t="shared" si="26"/>
        <v>7</v>
      </c>
      <c r="M106" s="129">
        <f t="shared" si="26"/>
        <v>7</v>
      </c>
      <c r="N106" s="129">
        <f t="shared" si="26"/>
        <v>7</v>
      </c>
      <c r="O106" s="129">
        <f t="shared" si="26"/>
        <v>7</v>
      </c>
      <c r="P106" s="129">
        <f t="shared" si="26"/>
        <v>7</v>
      </c>
      <c r="Q106" s="129">
        <f t="shared" si="26"/>
        <v>7</v>
      </c>
      <c r="R106" s="129">
        <f t="shared" si="26"/>
        <v>7</v>
      </c>
      <c r="S106" s="129">
        <f t="shared" si="26"/>
        <v>7</v>
      </c>
      <c r="T106" s="129">
        <f t="shared" si="27"/>
        <v>7</v>
      </c>
      <c r="U106" s="129">
        <f t="shared" si="27"/>
        <v>7</v>
      </c>
      <c r="V106" s="129">
        <f t="shared" si="27"/>
        <v>7</v>
      </c>
      <c r="W106" s="129">
        <f t="shared" si="27"/>
        <v>7</v>
      </c>
      <c r="X106" s="129">
        <f t="shared" si="27"/>
        <v>7</v>
      </c>
      <c r="Y106" s="129">
        <f t="shared" si="27"/>
        <v>7</v>
      </c>
      <c r="Z106" s="129">
        <f t="shared" si="27"/>
        <v>7</v>
      </c>
      <c r="AA106" s="129">
        <f t="shared" si="27"/>
        <v>7</v>
      </c>
      <c r="AB106" s="129">
        <f t="shared" si="27"/>
        <v>7</v>
      </c>
      <c r="AC106" s="129">
        <f t="shared" si="27"/>
        <v>7</v>
      </c>
      <c r="AD106" s="129">
        <f t="shared" si="27"/>
        <v>7</v>
      </c>
      <c r="AE106" s="129">
        <f t="shared" si="27"/>
        <v>7</v>
      </c>
      <c r="AF106" s="129">
        <f t="shared" si="27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8">C108</f>
        <v>2.25</v>
      </c>
      <c r="E108" s="129">
        <f t="shared" si="28"/>
        <v>2.25</v>
      </c>
      <c r="F108" s="129">
        <f t="shared" si="28"/>
        <v>2.25</v>
      </c>
      <c r="G108" s="129">
        <f t="shared" si="28"/>
        <v>2.25</v>
      </c>
      <c r="H108" s="129">
        <f t="shared" si="28"/>
        <v>2.25</v>
      </c>
      <c r="I108" s="129">
        <f t="shared" si="28"/>
        <v>2.25</v>
      </c>
      <c r="J108" s="129">
        <f t="shared" si="28"/>
        <v>2.25</v>
      </c>
      <c r="K108" s="129">
        <f t="shared" si="28"/>
        <v>2.25</v>
      </c>
      <c r="L108" s="129">
        <f t="shared" si="28"/>
        <v>2.25</v>
      </c>
      <c r="M108" s="129">
        <f t="shared" si="28"/>
        <v>2.25</v>
      </c>
      <c r="N108" s="129">
        <f t="shared" si="28"/>
        <v>2.25</v>
      </c>
      <c r="O108" s="129">
        <f t="shared" si="28"/>
        <v>2.25</v>
      </c>
      <c r="P108" s="129">
        <f t="shared" si="28"/>
        <v>2.25</v>
      </c>
      <c r="Q108" s="129">
        <f t="shared" si="28"/>
        <v>2.25</v>
      </c>
      <c r="R108" s="129">
        <f t="shared" si="28"/>
        <v>2.25</v>
      </c>
      <c r="S108" s="129">
        <f t="shared" si="28"/>
        <v>2.25</v>
      </c>
      <c r="T108" s="129">
        <f t="shared" ref="T108:AF109" si="29">S108</f>
        <v>2.25</v>
      </c>
      <c r="U108" s="129">
        <f t="shared" si="29"/>
        <v>2.25</v>
      </c>
      <c r="V108" s="129">
        <f t="shared" si="29"/>
        <v>2.25</v>
      </c>
      <c r="W108" s="129">
        <f t="shared" si="29"/>
        <v>2.25</v>
      </c>
      <c r="X108" s="129">
        <f t="shared" si="29"/>
        <v>2.25</v>
      </c>
      <c r="Y108" s="129">
        <f t="shared" si="29"/>
        <v>2.25</v>
      </c>
      <c r="Z108" s="129">
        <f t="shared" si="29"/>
        <v>2.25</v>
      </c>
      <c r="AA108" s="129">
        <f t="shared" si="29"/>
        <v>2.25</v>
      </c>
      <c r="AB108" s="129">
        <f t="shared" si="29"/>
        <v>2.25</v>
      </c>
      <c r="AC108" s="129">
        <f t="shared" si="29"/>
        <v>2.25</v>
      </c>
      <c r="AD108" s="129">
        <f t="shared" si="29"/>
        <v>2.25</v>
      </c>
      <c r="AE108" s="129">
        <f t="shared" si="29"/>
        <v>2.25</v>
      </c>
      <c r="AF108" s="129">
        <f t="shared" si="29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8"/>
        <v>1.64</v>
      </c>
      <c r="E109" s="129">
        <f t="shared" si="28"/>
        <v>1.64</v>
      </c>
      <c r="F109" s="129">
        <f t="shared" si="28"/>
        <v>1.64</v>
      </c>
      <c r="G109" s="129">
        <f t="shared" si="28"/>
        <v>1.64</v>
      </c>
      <c r="H109" s="129">
        <f t="shared" si="28"/>
        <v>1.64</v>
      </c>
      <c r="I109" s="129">
        <f t="shared" si="28"/>
        <v>1.64</v>
      </c>
      <c r="J109" s="129">
        <f t="shared" si="28"/>
        <v>1.64</v>
      </c>
      <c r="K109" s="129">
        <f t="shared" si="28"/>
        <v>1.64</v>
      </c>
      <c r="L109" s="129">
        <f t="shared" si="28"/>
        <v>1.64</v>
      </c>
      <c r="M109" s="129">
        <f t="shared" si="28"/>
        <v>1.64</v>
      </c>
      <c r="N109" s="129">
        <f t="shared" si="28"/>
        <v>1.64</v>
      </c>
      <c r="O109" s="129">
        <f t="shared" si="28"/>
        <v>1.64</v>
      </c>
      <c r="P109" s="129">
        <f t="shared" si="28"/>
        <v>1.64</v>
      </c>
      <c r="Q109" s="129">
        <f t="shared" si="28"/>
        <v>1.64</v>
      </c>
      <c r="R109" s="129">
        <f t="shared" si="28"/>
        <v>1.64</v>
      </c>
      <c r="S109" s="129">
        <f t="shared" si="28"/>
        <v>1.64</v>
      </c>
      <c r="T109" s="129">
        <f t="shared" si="29"/>
        <v>1.64</v>
      </c>
      <c r="U109" s="129">
        <f t="shared" si="29"/>
        <v>1.64</v>
      </c>
      <c r="V109" s="129">
        <f t="shared" si="29"/>
        <v>1.64</v>
      </c>
      <c r="W109" s="129">
        <f t="shared" si="29"/>
        <v>1.64</v>
      </c>
      <c r="X109" s="129">
        <f t="shared" si="29"/>
        <v>1.64</v>
      </c>
      <c r="Y109" s="129">
        <f t="shared" si="29"/>
        <v>1.64</v>
      </c>
      <c r="Z109" s="129">
        <f t="shared" si="29"/>
        <v>1.64</v>
      </c>
      <c r="AA109" s="129">
        <f t="shared" si="29"/>
        <v>1.64</v>
      </c>
      <c r="AB109" s="129">
        <f t="shared" si="29"/>
        <v>1.64</v>
      </c>
      <c r="AC109" s="129">
        <f t="shared" si="29"/>
        <v>1.64</v>
      </c>
      <c r="AD109" s="129">
        <f t="shared" si="29"/>
        <v>1.64</v>
      </c>
      <c r="AE109" s="129">
        <f t="shared" si="29"/>
        <v>1.64</v>
      </c>
      <c r="AF109" s="129">
        <f t="shared" si="29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30">AF111</f>
        <v>1.62</v>
      </c>
      <c r="C111" s="130">
        <v>1.62</v>
      </c>
      <c r="D111" s="129">
        <f t="shared" ref="D111:S118" si="31">C111</f>
        <v>1.62</v>
      </c>
      <c r="E111" s="129">
        <f t="shared" si="31"/>
        <v>1.62</v>
      </c>
      <c r="F111" s="129">
        <f t="shared" si="31"/>
        <v>1.62</v>
      </c>
      <c r="G111" s="129">
        <f t="shared" si="31"/>
        <v>1.62</v>
      </c>
      <c r="H111" s="129">
        <f t="shared" si="31"/>
        <v>1.62</v>
      </c>
      <c r="I111" s="129">
        <f t="shared" si="31"/>
        <v>1.62</v>
      </c>
      <c r="J111" s="129">
        <f t="shared" si="31"/>
        <v>1.62</v>
      </c>
      <c r="K111" s="129">
        <f t="shared" si="31"/>
        <v>1.62</v>
      </c>
      <c r="L111" s="129">
        <f t="shared" si="31"/>
        <v>1.62</v>
      </c>
      <c r="M111" s="129">
        <f t="shared" si="31"/>
        <v>1.62</v>
      </c>
      <c r="N111" s="129">
        <f t="shared" si="31"/>
        <v>1.62</v>
      </c>
      <c r="O111" s="129">
        <f t="shared" si="31"/>
        <v>1.62</v>
      </c>
      <c r="P111" s="129">
        <f t="shared" si="31"/>
        <v>1.62</v>
      </c>
      <c r="Q111" s="129">
        <f t="shared" si="31"/>
        <v>1.62</v>
      </c>
      <c r="R111" s="129">
        <f t="shared" si="31"/>
        <v>1.62</v>
      </c>
      <c r="S111" s="129">
        <f t="shared" si="31"/>
        <v>1.62</v>
      </c>
      <c r="T111" s="129">
        <f t="shared" ref="T111:AF126" si="32">S111</f>
        <v>1.62</v>
      </c>
      <c r="U111" s="129">
        <f t="shared" si="32"/>
        <v>1.62</v>
      </c>
      <c r="V111" s="129">
        <f t="shared" si="32"/>
        <v>1.62</v>
      </c>
      <c r="W111" s="129">
        <f t="shared" si="32"/>
        <v>1.62</v>
      </c>
      <c r="X111" s="129">
        <f t="shared" si="32"/>
        <v>1.62</v>
      </c>
      <c r="Y111" s="129">
        <f t="shared" si="32"/>
        <v>1.62</v>
      </c>
      <c r="Z111" s="129">
        <f t="shared" si="32"/>
        <v>1.62</v>
      </c>
      <c r="AA111" s="129">
        <f t="shared" si="32"/>
        <v>1.62</v>
      </c>
      <c r="AB111" s="129">
        <f t="shared" si="32"/>
        <v>1.62</v>
      </c>
      <c r="AC111" s="129">
        <f t="shared" si="32"/>
        <v>1.62</v>
      </c>
      <c r="AD111" s="129">
        <f t="shared" si="32"/>
        <v>1.62</v>
      </c>
      <c r="AE111" s="129">
        <f t="shared" si="32"/>
        <v>1.62</v>
      </c>
      <c r="AF111" s="129">
        <f t="shared" si="32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30"/>
        <v>8.36</v>
      </c>
      <c r="C112" s="130">
        <v>8.36</v>
      </c>
      <c r="D112" s="129">
        <f t="shared" si="31"/>
        <v>8.36</v>
      </c>
      <c r="E112" s="129">
        <f t="shared" si="31"/>
        <v>8.36</v>
      </c>
      <c r="F112" s="129">
        <f t="shared" si="31"/>
        <v>8.36</v>
      </c>
      <c r="G112" s="129">
        <f t="shared" si="31"/>
        <v>8.36</v>
      </c>
      <c r="H112" s="129">
        <f t="shared" si="31"/>
        <v>8.36</v>
      </c>
      <c r="I112" s="129">
        <f t="shared" si="31"/>
        <v>8.36</v>
      </c>
      <c r="J112" s="129">
        <f t="shared" si="31"/>
        <v>8.36</v>
      </c>
      <c r="K112" s="129">
        <f t="shared" si="31"/>
        <v>8.36</v>
      </c>
      <c r="L112" s="129">
        <f t="shared" si="31"/>
        <v>8.36</v>
      </c>
      <c r="M112" s="129">
        <f t="shared" si="31"/>
        <v>8.36</v>
      </c>
      <c r="N112" s="129">
        <f t="shared" si="31"/>
        <v>8.36</v>
      </c>
      <c r="O112" s="129">
        <f t="shared" si="31"/>
        <v>8.36</v>
      </c>
      <c r="P112" s="129">
        <f t="shared" si="31"/>
        <v>8.36</v>
      </c>
      <c r="Q112" s="129">
        <f t="shared" si="31"/>
        <v>8.36</v>
      </c>
      <c r="R112" s="129">
        <f t="shared" si="31"/>
        <v>8.36</v>
      </c>
      <c r="S112" s="129">
        <f t="shared" si="31"/>
        <v>8.36</v>
      </c>
      <c r="T112" s="129">
        <f t="shared" si="32"/>
        <v>8.36</v>
      </c>
      <c r="U112" s="129">
        <f t="shared" si="32"/>
        <v>8.36</v>
      </c>
      <c r="V112" s="129">
        <f t="shared" si="32"/>
        <v>8.36</v>
      </c>
      <c r="W112" s="129">
        <f t="shared" si="32"/>
        <v>8.36</v>
      </c>
      <c r="X112" s="129">
        <f t="shared" si="32"/>
        <v>8.36</v>
      </c>
      <c r="Y112" s="129">
        <f t="shared" si="32"/>
        <v>8.36</v>
      </c>
      <c r="Z112" s="129">
        <f t="shared" si="32"/>
        <v>8.36</v>
      </c>
      <c r="AA112" s="129">
        <f t="shared" si="32"/>
        <v>8.36</v>
      </c>
      <c r="AB112" s="129">
        <f t="shared" si="32"/>
        <v>8.36</v>
      </c>
      <c r="AC112" s="129">
        <f t="shared" si="32"/>
        <v>8.36</v>
      </c>
      <c r="AD112" s="129">
        <f t="shared" si="32"/>
        <v>8.36</v>
      </c>
      <c r="AE112" s="129">
        <f t="shared" si="32"/>
        <v>8.36</v>
      </c>
      <c r="AF112" s="129">
        <f t="shared" si="32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30"/>
        <v>5.4</v>
      </c>
      <c r="C113" s="130"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v>5.4</v>
      </c>
      <c r="K113" s="129">
        <f t="shared" si="31"/>
        <v>5.4</v>
      </c>
      <c r="L113" s="129">
        <f t="shared" si="31"/>
        <v>5.4</v>
      </c>
      <c r="M113" s="129">
        <f t="shared" si="31"/>
        <v>5.4</v>
      </c>
      <c r="N113" s="129">
        <f t="shared" si="31"/>
        <v>5.4</v>
      </c>
      <c r="O113" s="129">
        <f t="shared" si="31"/>
        <v>5.4</v>
      </c>
      <c r="P113" s="129">
        <f t="shared" si="31"/>
        <v>5.4</v>
      </c>
      <c r="Q113" s="129">
        <f t="shared" si="31"/>
        <v>5.4</v>
      </c>
      <c r="R113" s="129">
        <f t="shared" si="31"/>
        <v>5.4</v>
      </c>
      <c r="S113" s="129">
        <f t="shared" si="31"/>
        <v>5.4</v>
      </c>
      <c r="T113" s="129">
        <f t="shared" si="32"/>
        <v>5.4</v>
      </c>
      <c r="U113" s="129">
        <f t="shared" si="32"/>
        <v>5.4</v>
      </c>
      <c r="V113" s="129">
        <f t="shared" si="32"/>
        <v>5.4</v>
      </c>
      <c r="W113" s="129">
        <f t="shared" si="32"/>
        <v>5.4</v>
      </c>
      <c r="X113" s="129">
        <f t="shared" si="32"/>
        <v>5.4</v>
      </c>
      <c r="Y113" s="129">
        <f t="shared" si="32"/>
        <v>5.4</v>
      </c>
      <c r="Z113" s="129">
        <f t="shared" si="32"/>
        <v>5.4</v>
      </c>
      <c r="AA113" s="129">
        <f t="shared" si="32"/>
        <v>5.4</v>
      </c>
      <c r="AB113" s="129">
        <f t="shared" si="32"/>
        <v>5.4</v>
      </c>
      <c r="AC113" s="129">
        <f t="shared" si="32"/>
        <v>5.4</v>
      </c>
      <c r="AD113" s="129">
        <f t="shared" si="32"/>
        <v>5.4</v>
      </c>
      <c r="AE113" s="129">
        <f t="shared" si="32"/>
        <v>5.4</v>
      </c>
      <c r="AF113" s="129">
        <f t="shared" si="32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30"/>
        <v>6.57</v>
      </c>
      <c r="C114" s="130">
        <v>6.57</v>
      </c>
      <c r="D114" s="129">
        <f t="shared" si="31"/>
        <v>6.57</v>
      </c>
      <c r="E114" s="129">
        <f t="shared" si="31"/>
        <v>6.57</v>
      </c>
      <c r="F114" s="129">
        <f t="shared" si="31"/>
        <v>6.57</v>
      </c>
      <c r="G114" s="129">
        <f t="shared" si="31"/>
        <v>6.57</v>
      </c>
      <c r="H114" s="129">
        <f t="shared" si="31"/>
        <v>6.57</v>
      </c>
      <c r="I114" s="129">
        <f t="shared" si="31"/>
        <v>6.57</v>
      </c>
      <c r="J114" s="129">
        <f t="shared" si="31"/>
        <v>6.57</v>
      </c>
      <c r="K114" s="129">
        <f t="shared" si="31"/>
        <v>6.57</v>
      </c>
      <c r="L114" s="129">
        <f t="shared" si="31"/>
        <v>6.57</v>
      </c>
      <c r="M114" s="129">
        <f t="shared" si="31"/>
        <v>6.57</v>
      </c>
      <c r="N114" s="129">
        <f t="shared" si="31"/>
        <v>6.57</v>
      </c>
      <c r="O114" s="129">
        <f t="shared" si="31"/>
        <v>6.57</v>
      </c>
      <c r="P114" s="129">
        <f t="shared" si="31"/>
        <v>6.57</v>
      </c>
      <c r="Q114" s="129">
        <f t="shared" si="31"/>
        <v>6.57</v>
      </c>
      <c r="R114" s="129">
        <f t="shared" si="31"/>
        <v>6.57</v>
      </c>
      <c r="S114" s="129">
        <f t="shared" si="31"/>
        <v>6.57</v>
      </c>
      <c r="T114" s="129">
        <f t="shared" si="32"/>
        <v>6.57</v>
      </c>
      <c r="U114" s="129">
        <f t="shared" si="32"/>
        <v>6.57</v>
      </c>
      <c r="V114" s="129">
        <f t="shared" si="32"/>
        <v>6.57</v>
      </c>
      <c r="W114" s="129">
        <f t="shared" si="32"/>
        <v>6.57</v>
      </c>
      <c r="X114" s="129">
        <f t="shared" si="32"/>
        <v>6.57</v>
      </c>
      <c r="Y114" s="129">
        <f t="shared" si="32"/>
        <v>6.57</v>
      </c>
      <c r="Z114" s="129">
        <f t="shared" si="32"/>
        <v>6.57</v>
      </c>
      <c r="AA114" s="129">
        <f t="shared" si="32"/>
        <v>6.57</v>
      </c>
      <c r="AB114" s="129">
        <f t="shared" si="32"/>
        <v>6.57</v>
      </c>
      <c r="AC114" s="129">
        <f t="shared" si="32"/>
        <v>6.57</v>
      </c>
      <c r="AD114" s="129">
        <f t="shared" si="32"/>
        <v>6.57</v>
      </c>
      <c r="AE114" s="129">
        <f t="shared" si="32"/>
        <v>6.57</v>
      </c>
      <c r="AF114" s="129">
        <f t="shared" si="32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30"/>
        <v>3.43</v>
      </c>
      <c r="C115" s="130">
        <v>3.43</v>
      </c>
      <c r="D115" s="129">
        <f t="shared" si="31"/>
        <v>3.43</v>
      </c>
      <c r="E115" s="129">
        <f t="shared" si="31"/>
        <v>3.43</v>
      </c>
      <c r="F115" s="129">
        <f t="shared" si="31"/>
        <v>3.43</v>
      </c>
      <c r="G115" s="129">
        <f t="shared" si="31"/>
        <v>3.43</v>
      </c>
      <c r="H115" s="129">
        <f t="shared" si="31"/>
        <v>3.43</v>
      </c>
      <c r="I115" s="129">
        <f t="shared" si="31"/>
        <v>3.43</v>
      </c>
      <c r="J115" s="129">
        <f t="shared" si="31"/>
        <v>3.43</v>
      </c>
      <c r="K115" s="129">
        <f t="shared" si="31"/>
        <v>3.43</v>
      </c>
      <c r="L115" s="129">
        <f t="shared" si="31"/>
        <v>3.43</v>
      </c>
      <c r="M115" s="129">
        <f t="shared" si="31"/>
        <v>3.43</v>
      </c>
      <c r="N115" s="129">
        <f t="shared" si="31"/>
        <v>3.43</v>
      </c>
      <c r="O115" s="129">
        <f t="shared" si="31"/>
        <v>3.43</v>
      </c>
      <c r="P115" s="129">
        <f t="shared" si="31"/>
        <v>3.43</v>
      </c>
      <c r="Q115" s="129">
        <f t="shared" si="31"/>
        <v>3.43</v>
      </c>
      <c r="R115" s="129">
        <f t="shared" si="31"/>
        <v>3.43</v>
      </c>
      <c r="S115" s="129">
        <f t="shared" si="31"/>
        <v>3.43</v>
      </c>
      <c r="T115" s="129">
        <f t="shared" si="32"/>
        <v>3.43</v>
      </c>
      <c r="U115" s="129">
        <f t="shared" si="32"/>
        <v>3.43</v>
      </c>
      <c r="V115" s="129">
        <f t="shared" si="32"/>
        <v>3.43</v>
      </c>
      <c r="W115" s="129">
        <f t="shared" si="32"/>
        <v>3.43</v>
      </c>
      <c r="X115" s="129">
        <f t="shared" si="32"/>
        <v>3.43</v>
      </c>
      <c r="Y115" s="129">
        <f t="shared" si="32"/>
        <v>3.43</v>
      </c>
      <c r="Z115" s="129">
        <f t="shared" si="32"/>
        <v>3.43</v>
      </c>
      <c r="AA115" s="129">
        <f t="shared" si="32"/>
        <v>3.43</v>
      </c>
      <c r="AB115" s="129">
        <f t="shared" si="32"/>
        <v>3.43</v>
      </c>
      <c r="AC115" s="129">
        <f t="shared" si="32"/>
        <v>3.43</v>
      </c>
      <c r="AD115" s="129">
        <f t="shared" si="32"/>
        <v>3.43</v>
      </c>
      <c r="AE115" s="129">
        <f t="shared" si="32"/>
        <v>3.43</v>
      </c>
      <c r="AF115" s="129">
        <f t="shared" si="32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30"/>
        <v>2.96</v>
      </c>
      <c r="C116" s="130">
        <v>2.96</v>
      </c>
      <c r="D116" s="129">
        <f t="shared" si="31"/>
        <v>2.96</v>
      </c>
      <c r="E116" s="129">
        <f t="shared" si="31"/>
        <v>2.96</v>
      </c>
      <c r="F116" s="129">
        <f t="shared" si="31"/>
        <v>2.96</v>
      </c>
      <c r="G116" s="129">
        <f t="shared" si="31"/>
        <v>2.96</v>
      </c>
      <c r="H116" s="129">
        <f t="shared" si="31"/>
        <v>2.96</v>
      </c>
      <c r="I116" s="129">
        <f t="shared" si="31"/>
        <v>2.96</v>
      </c>
      <c r="J116" s="129">
        <f t="shared" si="31"/>
        <v>2.96</v>
      </c>
      <c r="K116" s="129">
        <f t="shared" si="31"/>
        <v>2.96</v>
      </c>
      <c r="L116" s="129">
        <f t="shared" si="31"/>
        <v>2.96</v>
      </c>
      <c r="M116" s="129">
        <f t="shared" si="31"/>
        <v>2.96</v>
      </c>
      <c r="N116" s="129">
        <f t="shared" si="31"/>
        <v>2.96</v>
      </c>
      <c r="O116" s="129">
        <f t="shared" si="31"/>
        <v>2.96</v>
      </c>
      <c r="P116" s="129">
        <f t="shared" si="31"/>
        <v>2.96</v>
      </c>
      <c r="Q116" s="129">
        <f t="shared" si="31"/>
        <v>2.96</v>
      </c>
      <c r="R116" s="129">
        <f t="shared" si="31"/>
        <v>2.96</v>
      </c>
      <c r="S116" s="129">
        <f t="shared" si="31"/>
        <v>2.96</v>
      </c>
      <c r="T116" s="129">
        <f t="shared" si="32"/>
        <v>2.96</v>
      </c>
      <c r="U116" s="129">
        <f t="shared" si="32"/>
        <v>2.96</v>
      </c>
      <c r="V116" s="129">
        <f t="shared" si="32"/>
        <v>2.96</v>
      </c>
      <c r="W116" s="129">
        <f t="shared" si="32"/>
        <v>2.96</v>
      </c>
      <c r="X116" s="129">
        <f t="shared" si="32"/>
        <v>2.96</v>
      </c>
      <c r="Y116" s="129">
        <f t="shared" si="32"/>
        <v>2.96</v>
      </c>
      <c r="Z116" s="129">
        <f t="shared" si="32"/>
        <v>2.96</v>
      </c>
      <c r="AA116" s="129">
        <f t="shared" si="32"/>
        <v>2.96</v>
      </c>
      <c r="AB116" s="129">
        <f t="shared" si="32"/>
        <v>2.96</v>
      </c>
      <c r="AC116" s="129">
        <f t="shared" si="32"/>
        <v>2.96</v>
      </c>
      <c r="AD116" s="129">
        <f t="shared" si="32"/>
        <v>2.96</v>
      </c>
      <c r="AE116" s="129">
        <f t="shared" si="32"/>
        <v>2.96</v>
      </c>
      <c r="AF116" s="129">
        <f t="shared" si="32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30"/>
        <v>8</v>
      </c>
      <c r="C117" s="130">
        <v>8</v>
      </c>
      <c r="D117" s="129">
        <f t="shared" si="31"/>
        <v>8</v>
      </c>
      <c r="E117" s="129">
        <f t="shared" si="31"/>
        <v>8</v>
      </c>
      <c r="F117" s="129">
        <f t="shared" si="31"/>
        <v>8</v>
      </c>
      <c r="G117" s="129">
        <f t="shared" si="31"/>
        <v>8</v>
      </c>
      <c r="H117" s="129">
        <f t="shared" si="31"/>
        <v>8</v>
      </c>
      <c r="I117" s="129">
        <f t="shared" si="31"/>
        <v>8</v>
      </c>
      <c r="J117" s="129">
        <f t="shared" si="31"/>
        <v>8</v>
      </c>
      <c r="K117" s="129">
        <f t="shared" si="31"/>
        <v>8</v>
      </c>
      <c r="L117" s="129">
        <f t="shared" si="31"/>
        <v>8</v>
      </c>
      <c r="M117" s="129">
        <f t="shared" si="31"/>
        <v>8</v>
      </c>
      <c r="N117" s="129">
        <f t="shared" si="31"/>
        <v>8</v>
      </c>
      <c r="O117" s="129">
        <f t="shared" si="31"/>
        <v>8</v>
      </c>
      <c r="P117" s="129">
        <f t="shared" si="31"/>
        <v>8</v>
      </c>
      <c r="Q117" s="129">
        <f t="shared" si="31"/>
        <v>8</v>
      </c>
      <c r="R117" s="129">
        <f t="shared" si="31"/>
        <v>8</v>
      </c>
      <c r="S117" s="129">
        <f t="shared" si="31"/>
        <v>8</v>
      </c>
      <c r="T117" s="129">
        <f t="shared" si="32"/>
        <v>8</v>
      </c>
      <c r="U117" s="129">
        <f t="shared" si="32"/>
        <v>8</v>
      </c>
      <c r="V117" s="129">
        <f t="shared" si="32"/>
        <v>8</v>
      </c>
      <c r="W117" s="129">
        <f t="shared" si="32"/>
        <v>8</v>
      </c>
      <c r="X117" s="129">
        <f t="shared" si="32"/>
        <v>8</v>
      </c>
      <c r="Y117" s="129">
        <f t="shared" si="32"/>
        <v>8</v>
      </c>
      <c r="Z117" s="129">
        <f t="shared" si="32"/>
        <v>8</v>
      </c>
      <c r="AA117" s="129">
        <f t="shared" si="32"/>
        <v>8</v>
      </c>
      <c r="AB117" s="129">
        <f t="shared" si="32"/>
        <v>8</v>
      </c>
      <c r="AC117" s="129">
        <f t="shared" si="32"/>
        <v>8</v>
      </c>
      <c r="AD117" s="129">
        <f t="shared" si="32"/>
        <v>8</v>
      </c>
      <c r="AE117" s="129">
        <f t="shared" si="32"/>
        <v>8</v>
      </c>
      <c r="AF117" s="129">
        <f t="shared" si="32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30"/>
        <v>7</v>
      </c>
      <c r="C118" s="130">
        <v>7</v>
      </c>
      <c r="D118" s="129">
        <f>C118</f>
        <v>7</v>
      </c>
      <c r="E118" s="129">
        <f t="shared" si="31"/>
        <v>7</v>
      </c>
      <c r="F118" s="129">
        <f t="shared" si="31"/>
        <v>7</v>
      </c>
      <c r="G118" s="129">
        <f t="shared" si="31"/>
        <v>7</v>
      </c>
      <c r="H118" s="129">
        <f t="shared" si="31"/>
        <v>7</v>
      </c>
      <c r="I118" s="129">
        <f t="shared" si="31"/>
        <v>7</v>
      </c>
      <c r="J118" s="129">
        <f t="shared" si="31"/>
        <v>7</v>
      </c>
      <c r="K118" s="129">
        <f t="shared" si="31"/>
        <v>7</v>
      </c>
      <c r="L118" s="129">
        <f t="shared" si="31"/>
        <v>7</v>
      </c>
      <c r="M118" s="129">
        <f t="shared" si="31"/>
        <v>7</v>
      </c>
      <c r="N118" s="129">
        <f t="shared" si="31"/>
        <v>7</v>
      </c>
      <c r="O118" s="129">
        <f t="shared" si="31"/>
        <v>7</v>
      </c>
      <c r="P118" s="129">
        <f t="shared" si="31"/>
        <v>7</v>
      </c>
      <c r="Q118" s="129">
        <f t="shared" si="31"/>
        <v>7</v>
      </c>
      <c r="R118" s="129">
        <f t="shared" si="31"/>
        <v>7</v>
      </c>
      <c r="S118" s="129">
        <f t="shared" si="31"/>
        <v>7</v>
      </c>
      <c r="T118" s="129">
        <f t="shared" si="32"/>
        <v>7</v>
      </c>
      <c r="U118" s="129">
        <f t="shared" si="32"/>
        <v>7</v>
      </c>
      <c r="V118" s="129">
        <f t="shared" si="32"/>
        <v>7</v>
      </c>
      <c r="W118" s="129">
        <f t="shared" si="32"/>
        <v>7</v>
      </c>
      <c r="X118" s="129">
        <f t="shared" si="32"/>
        <v>7</v>
      </c>
      <c r="Y118" s="129">
        <f t="shared" si="32"/>
        <v>7</v>
      </c>
      <c r="Z118" s="129">
        <f t="shared" si="32"/>
        <v>7</v>
      </c>
      <c r="AA118" s="129">
        <f t="shared" si="32"/>
        <v>7</v>
      </c>
      <c r="AB118" s="129">
        <f t="shared" si="32"/>
        <v>7</v>
      </c>
      <c r="AC118" s="129">
        <f t="shared" si="32"/>
        <v>7</v>
      </c>
      <c r="AD118" s="129">
        <f t="shared" si="32"/>
        <v>7</v>
      </c>
      <c r="AE118" s="129">
        <f t="shared" si="32"/>
        <v>7</v>
      </c>
      <c r="AF118" s="129">
        <f t="shared" si="32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30"/>
        <v>3.47</v>
      </c>
      <c r="C119" s="130">
        <v>3.47</v>
      </c>
      <c r="D119" s="129">
        <f t="shared" ref="D119:S128" si="33">C119</f>
        <v>3.47</v>
      </c>
      <c r="E119" s="129">
        <f t="shared" si="33"/>
        <v>3.47</v>
      </c>
      <c r="F119" s="129">
        <f t="shared" si="33"/>
        <v>3.47</v>
      </c>
      <c r="G119" s="129">
        <f t="shared" si="33"/>
        <v>3.47</v>
      </c>
      <c r="H119" s="129">
        <f t="shared" si="33"/>
        <v>3.47</v>
      </c>
      <c r="I119" s="129">
        <f t="shared" si="33"/>
        <v>3.47</v>
      </c>
      <c r="J119" s="129">
        <f t="shared" si="33"/>
        <v>3.47</v>
      </c>
      <c r="K119" s="129">
        <f t="shared" si="33"/>
        <v>3.47</v>
      </c>
      <c r="L119" s="129">
        <f t="shared" si="33"/>
        <v>3.47</v>
      </c>
      <c r="M119" s="129">
        <f t="shared" si="33"/>
        <v>3.47</v>
      </c>
      <c r="N119" s="129">
        <f t="shared" si="33"/>
        <v>3.47</v>
      </c>
      <c r="O119" s="129">
        <f t="shared" si="33"/>
        <v>3.47</v>
      </c>
      <c r="P119" s="129">
        <f t="shared" si="33"/>
        <v>3.47</v>
      </c>
      <c r="Q119" s="129">
        <f t="shared" si="33"/>
        <v>3.47</v>
      </c>
      <c r="R119" s="129">
        <f t="shared" si="33"/>
        <v>3.47</v>
      </c>
      <c r="S119" s="129">
        <f t="shared" si="33"/>
        <v>3.47</v>
      </c>
      <c r="T119" s="129">
        <f t="shared" si="32"/>
        <v>3.47</v>
      </c>
      <c r="U119" s="129">
        <f t="shared" si="32"/>
        <v>3.47</v>
      </c>
      <c r="V119" s="129">
        <f t="shared" si="32"/>
        <v>3.47</v>
      </c>
      <c r="W119" s="129">
        <f t="shared" si="32"/>
        <v>3.47</v>
      </c>
      <c r="X119" s="129">
        <f t="shared" si="32"/>
        <v>3.47</v>
      </c>
      <c r="Y119" s="129">
        <f t="shared" si="32"/>
        <v>3.47</v>
      </c>
      <c r="Z119" s="129">
        <f t="shared" si="32"/>
        <v>3.47</v>
      </c>
      <c r="AA119" s="129">
        <f t="shared" si="32"/>
        <v>3.47</v>
      </c>
      <c r="AB119" s="129">
        <f t="shared" si="32"/>
        <v>3.47</v>
      </c>
      <c r="AC119" s="129">
        <f t="shared" si="32"/>
        <v>3.47</v>
      </c>
      <c r="AD119" s="129">
        <f t="shared" si="32"/>
        <v>3.47</v>
      </c>
      <c r="AE119" s="129">
        <f t="shared" si="32"/>
        <v>3.47</v>
      </c>
      <c r="AF119" s="129">
        <f t="shared" si="32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30"/>
        <v>2.1</v>
      </c>
      <c r="C120" s="130">
        <v>2.1</v>
      </c>
      <c r="D120" s="129">
        <f t="shared" si="33"/>
        <v>2.1</v>
      </c>
      <c r="E120" s="129">
        <f t="shared" si="33"/>
        <v>2.1</v>
      </c>
      <c r="F120" s="129">
        <f t="shared" si="33"/>
        <v>2.1</v>
      </c>
      <c r="G120" s="129">
        <f t="shared" si="33"/>
        <v>2.1</v>
      </c>
      <c r="H120" s="129">
        <f t="shared" si="33"/>
        <v>2.1</v>
      </c>
      <c r="I120" s="129">
        <f t="shared" si="33"/>
        <v>2.1</v>
      </c>
      <c r="J120" s="129">
        <f t="shared" si="33"/>
        <v>2.1</v>
      </c>
      <c r="K120" s="129">
        <f t="shared" si="33"/>
        <v>2.1</v>
      </c>
      <c r="L120" s="129">
        <f t="shared" si="33"/>
        <v>2.1</v>
      </c>
      <c r="M120" s="129">
        <f t="shared" si="33"/>
        <v>2.1</v>
      </c>
      <c r="N120" s="129">
        <f t="shared" si="33"/>
        <v>2.1</v>
      </c>
      <c r="O120" s="129">
        <f t="shared" si="33"/>
        <v>2.1</v>
      </c>
      <c r="P120" s="129">
        <f t="shared" si="33"/>
        <v>2.1</v>
      </c>
      <c r="Q120" s="129">
        <f t="shared" si="33"/>
        <v>2.1</v>
      </c>
      <c r="R120" s="129">
        <f t="shared" si="33"/>
        <v>2.1</v>
      </c>
      <c r="S120" s="129">
        <f t="shared" si="33"/>
        <v>2.1</v>
      </c>
      <c r="T120" s="129">
        <f t="shared" si="32"/>
        <v>2.1</v>
      </c>
      <c r="U120" s="129">
        <f t="shared" si="32"/>
        <v>2.1</v>
      </c>
      <c r="V120" s="129">
        <f t="shared" si="32"/>
        <v>2.1</v>
      </c>
      <c r="W120" s="129">
        <f t="shared" si="32"/>
        <v>2.1</v>
      </c>
      <c r="X120" s="129">
        <f t="shared" si="32"/>
        <v>2.1</v>
      </c>
      <c r="Y120" s="129">
        <f t="shared" si="32"/>
        <v>2.1</v>
      </c>
      <c r="Z120" s="129">
        <f t="shared" si="32"/>
        <v>2.1</v>
      </c>
      <c r="AA120" s="129">
        <f t="shared" si="32"/>
        <v>2.1</v>
      </c>
      <c r="AB120" s="129">
        <f t="shared" si="32"/>
        <v>2.1</v>
      </c>
      <c r="AC120" s="129">
        <f t="shared" si="32"/>
        <v>2.1</v>
      </c>
      <c r="AD120" s="129">
        <f t="shared" si="32"/>
        <v>2.1</v>
      </c>
      <c r="AE120" s="129">
        <f t="shared" si="32"/>
        <v>2.1</v>
      </c>
      <c r="AF120" s="129">
        <f t="shared" si="32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30"/>
        <v>9.3000000000000007</v>
      </c>
      <c r="C121" s="130">
        <v>9.3000000000000007</v>
      </c>
      <c r="D121" s="129">
        <f t="shared" si="33"/>
        <v>9.3000000000000007</v>
      </c>
      <c r="E121" s="129">
        <f t="shared" si="33"/>
        <v>9.3000000000000007</v>
      </c>
      <c r="F121" s="129">
        <f t="shared" si="33"/>
        <v>9.3000000000000007</v>
      </c>
      <c r="G121" s="129">
        <f t="shared" si="33"/>
        <v>9.3000000000000007</v>
      </c>
      <c r="H121" s="129">
        <f t="shared" si="33"/>
        <v>9.3000000000000007</v>
      </c>
      <c r="I121" s="129">
        <f t="shared" si="33"/>
        <v>9.3000000000000007</v>
      </c>
      <c r="J121" s="129">
        <f t="shared" si="33"/>
        <v>9.3000000000000007</v>
      </c>
      <c r="K121" s="129">
        <f t="shared" si="33"/>
        <v>9.3000000000000007</v>
      </c>
      <c r="L121" s="129">
        <f t="shared" si="33"/>
        <v>9.3000000000000007</v>
      </c>
      <c r="M121" s="129">
        <f t="shared" si="33"/>
        <v>9.3000000000000007</v>
      </c>
      <c r="N121" s="129">
        <f t="shared" si="33"/>
        <v>9.3000000000000007</v>
      </c>
      <c r="O121" s="129">
        <f t="shared" si="33"/>
        <v>9.3000000000000007</v>
      </c>
      <c r="P121" s="129">
        <f t="shared" si="33"/>
        <v>9.3000000000000007</v>
      </c>
      <c r="Q121" s="129">
        <f t="shared" si="33"/>
        <v>9.3000000000000007</v>
      </c>
      <c r="R121" s="129">
        <f t="shared" si="33"/>
        <v>9.3000000000000007</v>
      </c>
      <c r="S121" s="129">
        <f t="shared" si="33"/>
        <v>9.3000000000000007</v>
      </c>
      <c r="T121" s="129">
        <f t="shared" si="32"/>
        <v>9.3000000000000007</v>
      </c>
      <c r="U121" s="129">
        <f t="shared" si="32"/>
        <v>9.3000000000000007</v>
      </c>
      <c r="V121" s="129">
        <f t="shared" si="32"/>
        <v>9.3000000000000007</v>
      </c>
      <c r="W121" s="129">
        <f t="shared" si="32"/>
        <v>9.3000000000000007</v>
      </c>
      <c r="X121" s="129">
        <f t="shared" si="32"/>
        <v>9.3000000000000007</v>
      </c>
      <c r="Y121" s="129">
        <f t="shared" si="32"/>
        <v>9.3000000000000007</v>
      </c>
      <c r="Z121" s="129">
        <f t="shared" si="32"/>
        <v>9.3000000000000007</v>
      </c>
      <c r="AA121" s="129">
        <f t="shared" si="32"/>
        <v>9.3000000000000007</v>
      </c>
      <c r="AB121" s="129">
        <f t="shared" si="32"/>
        <v>9.3000000000000007</v>
      </c>
      <c r="AC121" s="129">
        <f t="shared" si="32"/>
        <v>9.3000000000000007</v>
      </c>
      <c r="AD121" s="129">
        <f t="shared" si="32"/>
        <v>9.3000000000000007</v>
      </c>
      <c r="AE121" s="129">
        <f t="shared" si="32"/>
        <v>9.3000000000000007</v>
      </c>
      <c r="AF121" s="129">
        <f t="shared" si="32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30"/>
        <v>0</v>
      </c>
      <c r="C122" s="130">
        <v>0</v>
      </c>
      <c r="D122" s="129">
        <f t="shared" si="33"/>
        <v>0</v>
      </c>
      <c r="E122" s="129">
        <f t="shared" si="33"/>
        <v>0</v>
      </c>
      <c r="F122" s="129">
        <f t="shared" si="33"/>
        <v>0</v>
      </c>
      <c r="G122" s="129">
        <f t="shared" si="33"/>
        <v>0</v>
      </c>
      <c r="H122" s="129">
        <f t="shared" si="33"/>
        <v>0</v>
      </c>
      <c r="I122" s="129">
        <f t="shared" si="33"/>
        <v>0</v>
      </c>
      <c r="J122" s="129">
        <f t="shared" si="33"/>
        <v>0</v>
      </c>
      <c r="K122" s="129">
        <f t="shared" si="33"/>
        <v>0</v>
      </c>
      <c r="L122" s="129">
        <f t="shared" si="33"/>
        <v>0</v>
      </c>
      <c r="M122" s="129">
        <f t="shared" si="33"/>
        <v>0</v>
      </c>
      <c r="N122" s="129">
        <f t="shared" si="33"/>
        <v>0</v>
      </c>
      <c r="O122" s="129">
        <f t="shared" si="33"/>
        <v>0</v>
      </c>
      <c r="P122" s="129">
        <f t="shared" si="33"/>
        <v>0</v>
      </c>
      <c r="Q122" s="129">
        <f t="shared" si="33"/>
        <v>0</v>
      </c>
      <c r="R122" s="129">
        <f t="shared" si="33"/>
        <v>0</v>
      </c>
      <c r="S122" s="129">
        <f t="shared" si="33"/>
        <v>0</v>
      </c>
      <c r="T122" s="129">
        <f t="shared" si="32"/>
        <v>0</v>
      </c>
      <c r="U122" s="129">
        <f t="shared" si="32"/>
        <v>0</v>
      </c>
      <c r="V122" s="129">
        <f t="shared" si="32"/>
        <v>0</v>
      </c>
      <c r="W122" s="129">
        <f t="shared" si="32"/>
        <v>0</v>
      </c>
      <c r="X122" s="129">
        <f t="shared" si="32"/>
        <v>0</v>
      </c>
      <c r="Y122" s="129">
        <f t="shared" si="32"/>
        <v>0</v>
      </c>
      <c r="Z122" s="129">
        <f t="shared" si="32"/>
        <v>0</v>
      </c>
      <c r="AA122" s="129">
        <f t="shared" si="32"/>
        <v>0</v>
      </c>
      <c r="AB122" s="129">
        <f t="shared" si="32"/>
        <v>0</v>
      </c>
      <c r="AC122" s="129">
        <f t="shared" si="32"/>
        <v>0</v>
      </c>
      <c r="AD122" s="129">
        <f t="shared" si="32"/>
        <v>0</v>
      </c>
      <c r="AE122" s="129">
        <f t="shared" si="32"/>
        <v>0</v>
      </c>
      <c r="AF122" s="129">
        <f t="shared" si="32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30"/>
        <v>0</v>
      </c>
      <c r="C123" s="130">
        <v>0</v>
      </c>
      <c r="D123" s="129">
        <f t="shared" si="33"/>
        <v>0</v>
      </c>
      <c r="E123" s="129">
        <f t="shared" si="33"/>
        <v>0</v>
      </c>
      <c r="F123" s="129">
        <f t="shared" si="33"/>
        <v>0</v>
      </c>
      <c r="G123" s="129">
        <f t="shared" si="33"/>
        <v>0</v>
      </c>
      <c r="H123" s="129">
        <f t="shared" si="33"/>
        <v>0</v>
      </c>
      <c r="I123" s="129">
        <f t="shared" si="33"/>
        <v>0</v>
      </c>
      <c r="J123" s="129">
        <f t="shared" si="33"/>
        <v>0</v>
      </c>
      <c r="K123" s="129">
        <f t="shared" si="33"/>
        <v>0</v>
      </c>
      <c r="L123" s="129">
        <f t="shared" si="33"/>
        <v>0</v>
      </c>
      <c r="M123" s="129">
        <f t="shared" si="33"/>
        <v>0</v>
      </c>
      <c r="N123" s="129">
        <f t="shared" si="33"/>
        <v>0</v>
      </c>
      <c r="O123" s="129">
        <f t="shared" si="33"/>
        <v>0</v>
      </c>
      <c r="P123" s="129">
        <f t="shared" si="33"/>
        <v>0</v>
      </c>
      <c r="Q123" s="129">
        <f t="shared" si="33"/>
        <v>0</v>
      </c>
      <c r="R123" s="129">
        <f t="shared" si="33"/>
        <v>0</v>
      </c>
      <c r="S123" s="129">
        <f t="shared" si="33"/>
        <v>0</v>
      </c>
      <c r="T123" s="129">
        <f t="shared" si="32"/>
        <v>0</v>
      </c>
      <c r="U123" s="129">
        <f t="shared" si="32"/>
        <v>0</v>
      </c>
      <c r="V123" s="129">
        <f t="shared" si="32"/>
        <v>0</v>
      </c>
      <c r="W123" s="129">
        <f t="shared" si="32"/>
        <v>0</v>
      </c>
      <c r="X123" s="129">
        <f t="shared" si="32"/>
        <v>0</v>
      </c>
      <c r="Y123" s="129">
        <f t="shared" si="32"/>
        <v>0</v>
      </c>
      <c r="Z123" s="129">
        <f t="shared" si="32"/>
        <v>0</v>
      </c>
      <c r="AA123" s="129">
        <f t="shared" si="32"/>
        <v>0</v>
      </c>
      <c r="AB123" s="129">
        <f t="shared" si="32"/>
        <v>0</v>
      </c>
      <c r="AC123" s="129">
        <f t="shared" si="32"/>
        <v>0</v>
      </c>
      <c r="AD123" s="129">
        <f t="shared" si="32"/>
        <v>0</v>
      </c>
      <c r="AE123" s="129">
        <f t="shared" si="32"/>
        <v>0</v>
      </c>
      <c r="AF123" s="129">
        <f t="shared" si="32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30"/>
        <v>5</v>
      </c>
      <c r="C124" s="130">
        <v>5</v>
      </c>
      <c r="D124" s="129">
        <f t="shared" si="33"/>
        <v>5</v>
      </c>
      <c r="E124" s="129">
        <f t="shared" si="33"/>
        <v>5</v>
      </c>
      <c r="F124" s="129">
        <f t="shared" si="33"/>
        <v>5</v>
      </c>
      <c r="G124" s="129">
        <f t="shared" si="33"/>
        <v>5</v>
      </c>
      <c r="H124" s="129">
        <f t="shared" si="33"/>
        <v>5</v>
      </c>
      <c r="I124" s="129">
        <f t="shared" si="33"/>
        <v>5</v>
      </c>
      <c r="J124" s="129">
        <f t="shared" si="33"/>
        <v>5</v>
      </c>
      <c r="K124" s="129">
        <f t="shared" si="33"/>
        <v>5</v>
      </c>
      <c r="L124" s="129">
        <f t="shared" si="33"/>
        <v>5</v>
      </c>
      <c r="M124" s="129">
        <f t="shared" si="33"/>
        <v>5</v>
      </c>
      <c r="N124" s="129">
        <f t="shared" si="33"/>
        <v>5</v>
      </c>
      <c r="O124" s="129">
        <f t="shared" si="33"/>
        <v>5</v>
      </c>
      <c r="P124" s="129">
        <f t="shared" si="33"/>
        <v>5</v>
      </c>
      <c r="Q124" s="129">
        <f t="shared" si="33"/>
        <v>5</v>
      </c>
      <c r="R124" s="129">
        <f t="shared" si="33"/>
        <v>5</v>
      </c>
      <c r="S124" s="129">
        <f t="shared" si="33"/>
        <v>5</v>
      </c>
      <c r="T124" s="129">
        <f t="shared" si="32"/>
        <v>5</v>
      </c>
      <c r="U124" s="129">
        <f t="shared" si="32"/>
        <v>5</v>
      </c>
      <c r="V124" s="129">
        <f t="shared" si="32"/>
        <v>5</v>
      </c>
      <c r="W124" s="129">
        <f t="shared" si="32"/>
        <v>5</v>
      </c>
      <c r="X124" s="129">
        <f t="shared" si="32"/>
        <v>5</v>
      </c>
      <c r="Y124" s="129">
        <f t="shared" si="32"/>
        <v>5</v>
      </c>
      <c r="Z124" s="129">
        <f t="shared" si="32"/>
        <v>5</v>
      </c>
      <c r="AA124" s="129">
        <f t="shared" si="32"/>
        <v>5</v>
      </c>
      <c r="AB124" s="129">
        <f t="shared" si="32"/>
        <v>5</v>
      </c>
      <c r="AC124" s="129">
        <f t="shared" si="32"/>
        <v>5</v>
      </c>
      <c r="AD124" s="129">
        <f t="shared" si="32"/>
        <v>5</v>
      </c>
      <c r="AE124" s="129">
        <f t="shared" si="32"/>
        <v>5</v>
      </c>
      <c r="AF124" s="129">
        <f t="shared" si="32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30"/>
        <v>1</v>
      </c>
      <c r="C125" s="130">
        <v>1</v>
      </c>
      <c r="D125" s="129">
        <f t="shared" si="33"/>
        <v>1</v>
      </c>
      <c r="E125" s="129">
        <f t="shared" si="33"/>
        <v>1</v>
      </c>
      <c r="F125" s="129">
        <f t="shared" si="33"/>
        <v>1</v>
      </c>
      <c r="G125" s="129">
        <f t="shared" si="33"/>
        <v>1</v>
      </c>
      <c r="H125" s="129">
        <f t="shared" si="33"/>
        <v>1</v>
      </c>
      <c r="I125" s="129">
        <f t="shared" si="33"/>
        <v>1</v>
      </c>
      <c r="J125" s="129">
        <f t="shared" si="33"/>
        <v>1</v>
      </c>
      <c r="K125" s="129">
        <f t="shared" si="33"/>
        <v>1</v>
      </c>
      <c r="L125" s="129">
        <f t="shared" si="33"/>
        <v>1</v>
      </c>
      <c r="M125" s="129">
        <f t="shared" si="33"/>
        <v>1</v>
      </c>
      <c r="N125" s="129">
        <f t="shared" si="33"/>
        <v>1</v>
      </c>
      <c r="O125" s="129">
        <f t="shared" si="33"/>
        <v>1</v>
      </c>
      <c r="P125" s="129">
        <f t="shared" si="33"/>
        <v>1</v>
      </c>
      <c r="Q125" s="129">
        <f t="shared" si="33"/>
        <v>1</v>
      </c>
      <c r="R125" s="129">
        <f t="shared" si="33"/>
        <v>1</v>
      </c>
      <c r="S125" s="129">
        <f t="shared" si="33"/>
        <v>1</v>
      </c>
      <c r="T125" s="129">
        <f t="shared" si="32"/>
        <v>1</v>
      </c>
      <c r="U125" s="129">
        <f t="shared" si="32"/>
        <v>1</v>
      </c>
      <c r="V125" s="129">
        <f t="shared" si="32"/>
        <v>1</v>
      </c>
      <c r="W125" s="129">
        <f t="shared" si="32"/>
        <v>1</v>
      </c>
      <c r="X125" s="129">
        <f t="shared" si="32"/>
        <v>1</v>
      </c>
      <c r="Y125" s="129">
        <f t="shared" si="32"/>
        <v>1</v>
      </c>
      <c r="Z125" s="129">
        <f t="shared" si="32"/>
        <v>1</v>
      </c>
      <c r="AA125" s="129">
        <f t="shared" si="32"/>
        <v>1</v>
      </c>
      <c r="AB125" s="129">
        <f t="shared" si="32"/>
        <v>1</v>
      </c>
      <c r="AC125" s="129">
        <f t="shared" si="32"/>
        <v>1</v>
      </c>
      <c r="AD125" s="129">
        <f t="shared" si="32"/>
        <v>1</v>
      </c>
      <c r="AE125" s="129">
        <f t="shared" si="32"/>
        <v>1</v>
      </c>
      <c r="AF125" s="129">
        <f t="shared" si="32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30"/>
        <v>1.58</v>
      </c>
      <c r="C126" s="130">
        <v>1.58</v>
      </c>
      <c r="D126" s="129">
        <f t="shared" si="33"/>
        <v>1.58</v>
      </c>
      <c r="E126" s="129">
        <f t="shared" si="33"/>
        <v>1.58</v>
      </c>
      <c r="F126" s="129">
        <f t="shared" si="33"/>
        <v>1.58</v>
      </c>
      <c r="G126" s="129">
        <f t="shared" si="33"/>
        <v>1.58</v>
      </c>
      <c r="H126" s="129">
        <f t="shared" si="33"/>
        <v>1.58</v>
      </c>
      <c r="I126" s="129">
        <f t="shared" si="33"/>
        <v>1.58</v>
      </c>
      <c r="J126" s="129">
        <f t="shared" si="33"/>
        <v>1.58</v>
      </c>
      <c r="K126" s="129">
        <f t="shared" si="33"/>
        <v>1.58</v>
      </c>
      <c r="L126" s="129">
        <f t="shared" si="33"/>
        <v>1.58</v>
      </c>
      <c r="M126" s="129">
        <f t="shared" si="33"/>
        <v>1.58</v>
      </c>
      <c r="N126" s="129">
        <f t="shared" si="33"/>
        <v>1.58</v>
      </c>
      <c r="O126" s="129">
        <f t="shared" si="33"/>
        <v>1.58</v>
      </c>
      <c r="P126" s="129">
        <f t="shared" si="33"/>
        <v>1.58</v>
      </c>
      <c r="Q126" s="129">
        <f t="shared" si="33"/>
        <v>1.58</v>
      </c>
      <c r="R126" s="129">
        <f t="shared" si="33"/>
        <v>1.58</v>
      </c>
      <c r="S126" s="129">
        <f t="shared" si="33"/>
        <v>1.58</v>
      </c>
      <c r="T126" s="129">
        <f t="shared" si="32"/>
        <v>1.58</v>
      </c>
      <c r="U126" s="129">
        <f t="shared" si="32"/>
        <v>1.58</v>
      </c>
      <c r="V126" s="129">
        <f t="shared" si="32"/>
        <v>1.58</v>
      </c>
      <c r="W126" s="129">
        <f t="shared" si="32"/>
        <v>1.58</v>
      </c>
      <c r="X126" s="129">
        <f t="shared" si="32"/>
        <v>1.58</v>
      </c>
      <c r="Y126" s="129">
        <f t="shared" si="32"/>
        <v>1.58</v>
      </c>
      <c r="Z126" s="129">
        <f t="shared" si="32"/>
        <v>1.58</v>
      </c>
      <c r="AA126" s="129">
        <f t="shared" si="32"/>
        <v>1.58</v>
      </c>
      <c r="AB126" s="129">
        <f t="shared" si="32"/>
        <v>1.58</v>
      </c>
      <c r="AC126" s="129">
        <f t="shared" si="32"/>
        <v>1.58</v>
      </c>
      <c r="AD126" s="129">
        <f t="shared" si="32"/>
        <v>1.58</v>
      </c>
      <c r="AE126" s="129">
        <f t="shared" si="32"/>
        <v>1.58</v>
      </c>
      <c r="AF126" s="129">
        <f t="shared" si="32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30"/>
        <v>1.46</v>
      </c>
      <c r="C127" s="130">
        <v>1.46</v>
      </c>
      <c r="D127" s="129">
        <f t="shared" si="33"/>
        <v>1.46</v>
      </c>
      <c r="E127" s="129">
        <f t="shared" si="33"/>
        <v>1.46</v>
      </c>
      <c r="F127" s="129">
        <f t="shared" si="33"/>
        <v>1.46</v>
      </c>
      <c r="G127" s="129">
        <f t="shared" si="33"/>
        <v>1.46</v>
      </c>
      <c r="H127" s="129">
        <f t="shared" si="33"/>
        <v>1.46</v>
      </c>
      <c r="I127" s="129">
        <f t="shared" si="33"/>
        <v>1.46</v>
      </c>
      <c r="J127" s="129">
        <f t="shared" si="33"/>
        <v>1.46</v>
      </c>
      <c r="K127" s="129">
        <f t="shared" si="33"/>
        <v>1.46</v>
      </c>
      <c r="L127" s="129">
        <f t="shared" si="33"/>
        <v>1.46</v>
      </c>
      <c r="M127" s="129">
        <f t="shared" si="33"/>
        <v>1.46</v>
      </c>
      <c r="N127" s="129">
        <f t="shared" si="33"/>
        <v>1.46</v>
      </c>
      <c r="O127" s="129">
        <f t="shared" si="33"/>
        <v>1.46</v>
      </c>
      <c r="P127" s="129">
        <f t="shared" si="33"/>
        <v>1.46</v>
      </c>
      <c r="Q127" s="129">
        <f t="shared" si="33"/>
        <v>1.46</v>
      </c>
      <c r="R127" s="129">
        <f t="shared" si="33"/>
        <v>1.46</v>
      </c>
      <c r="S127" s="129">
        <f t="shared" si="33"/>
        <v>1.46</v>
      </c>
      <c r="T127" s="129">
        <f t="shared" ref="T127:AF128" si="34">S127</f>
        <v>1.46</v>
      </c>
      <c r="U127" s="129">
        <f t="shared" si="34"/>
        <v>1.46</v>
      </c>
      <c r="V127" s="129">
        <f t="shared" si="34"/>
        <v>1.46</v>
      </c>
      <c r="W127" s="129">
        <f t="shared" si="34"/>
        <v>1.46</v>
      </c>
      <c r="X127" s="129">
        <f t="shared" si="34"/>
        <v>1.46</v>
      </c>
      <c r="Y127" s="129">
        <f t="shared" si="34"/>
        <v>1.46</v>
      </c>
      <c r="Z127" s="129">
        <f t="shared" si="34"/>
        <v>1.46</v>
      </c>
      <c r="AA127" s="129">
        <f t="shared" si="34"/>
        <v>1.46</v>
      </c>
      <c r="AB127" s="129">
        <f t="shared" si="34"/>
        <v>1.46</v>
      </c>
      <c r="AC127" s="129">
        <f t="shared" si="34"/>
        <v>1.46</v>
      </c>
      <c r="AD127" s="129">
        <f t="shared" si="34"/>
        <v>1.46</v>
      </c>
      <c r="AE127" s="129">
        <f t="shared" si="34"/>
        <v>1.46</v>
      </c>
      <c r="AF127" s="129">
        <f t="shared" si="34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30"/>
        <v>1.48</v>
      </c>
      <c r="C128" s="130">
        <v>1.48</v>
      </c>
      <c r="D128" s="129">
        <f t="shared" si="33"/>
        <v>1.48</v>
      </c>
      <c r="E128" s="129">
        <f t="shared" si="33"/>
        <v>1.48</v>
      </c>
      <c r="F128" s="129">
        <f t="shared" si="33"/>
        <v>1.48</v>
      </c>
      <c r="G128" s="129">
        <f t="shared" si="33"/>
        <v>1.48</v>
      </c>
      <c r="H128" s="129">
        <f t="shared" si="33"/>
        <v>1.48</v>
      </c>
      <c r="I128" s="129">
        <f t="shared" si="33"/>
        <v>1.48</v>
      </c>
      <c r="J128" s="129">
        <f t="shared" si="33"/>
        <v>1.48</v>
      </c>
      <c r="K128" s="129">
        <f t="shared" si="33"/>
        <v>1.48</v>
      </c>
      <c r="L128" s="129">
        <f t="shared" si="33"/>
        <v>1.48</v>
      </c>
      <c r="M128" s="129">
        <f t="shared" si="33"/>
        <v>1.48</v>
      </c>
      <c r="N128" s="129">
        <f t="shared" si="33"/>
        <v>1.48</v>
      </c>
      <c r="O128" s="129">
        <f t="shared" si="33"/>
        <v>1.48</v>
      </c>
      <c r="P128" s="129">
        <f t="shared" si="33"/>
        <v>1.48</v>
      </c>
      <c r="Q128" s="129">
        <f t="shared" si="33"/>
        <v>1.48</v>
      </c>
      <c r="R128" s="129">
        <f t="shared" si="33"/>
        <v>1.48</v>
      </c>
      <c r="S128" s="129">
        <f t="shared" si="33"/>
        <v>1.48</v>
      </c>
      <c r="T128" s="129">
        <f t="shared" si="34"/>
        <v>1.48</v>
      </c>
      <c r="U128" s="129">
        <f t="shared" si="34"/>
        <v>1.48</v>
      </c>
      <c r="V128" s="129">
        <f t="shared" si="34"/>
        <v>1.48</v>
      </c>
      <c r="W128" s="129">
        <f t="shared" si="34"/>
        <v>1.48</v>
      </c>
      <c r="X128" s="129">
        <f t="shared" si="34"/>
        <v>1.48</v>
      </c>
      <c r="Y128" s="129">
        <f t="shared" si="34"/>
        <v>1.48</v>
      </c>
      <c r="Z128" s="129">
        <f t="shared" si="34"/>
        <v>1.48</v>
      </c>
      <c r="AA128" s="129">
        <f t="shared" si="34"/>
        <v>1.48</v>
      </c>
      <c r="AB128" s="129">
        <f t="shared" si="34"/>
        <v>1.48</v>
      </c>
      <c r="AC128" s="129">
        <f t="shared" si="34"/>
        <v>1.48</v>
      </c>
      <c r="AD128" s="129">
        <f t="shared" si="34"/>
        <v>1.48</v>
      </c>
      <c r="AE128" s="129">
        <f t="shared" si="34"/>
        <v>1.48</v>
      </c>
      <c r="AF128" s="129">
        <f t="shared" si="34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5">AF130</f>
        <v>2.2000000000000002</v>
      </c>
      <c r="C130" s="130">
        <v>2.2000000000000002</v>
      </c>
      <c r="D130" s="129">
        <f t="shared" ref="D130:S137" si="36">C130</f>
        <v>2.2000000000000002</v>
      </c>
      <c r="E130" s="129">
        <f t="shared" si="36"/>
        <v>2.2000000000000002</v>
      </c>
      <c r="F130" s="129">
        <f t="shared" si="36"/>
        <v>2.2000000000000002</v>
      </c>
      <c r="G130" s="129">
        <f t="shared" si="36"/>
        <v>2.2000000000000002</v>
      </c>
      <c r="H130" s="129">
        <f t="shared" si="36"/>
        <v>2.2000000000000002</v>
      </c>
      <c r="I130" s="129">
        <f t="shared" si="36"/>
        <v>2.2000000000000002</v>
      </c>
      <c r="J130" s="129">
        <f t="shared" si="36"/>
        <v>2.2000000000000002</v>
      </c>
      <c r="K130" s="129">
        <f t="shared" si="36"/>
        <v>2.2000000000000002</v>
      </c>
      <c r="L130" s="129">
        <f t="shared" si="36"/>
        <v>2.2000000000000002</v>
      </c>
      <c r="M130" s="129">
        <f t="shared" si="36"/>
        <v>2.2000000000000002</v>
      </c>
      <c r="N130" s="129">
        <f t="shared" si="36"/>
        <v>2.2000000000000002</v>
      </c>
      <c r="O130" s="129">
        <f t="shared" si="36"/>
        <v>2.2000000000000002</v>
      </c>
      <c r="P130" s="129">
        <f t="shared" si="36"/>
        <v>2.2000000000000002</v>
      </c>
      <c r="Q130" s="129">
        <f t="shared" si="36"/>
        <v>2.2000000000000002</v>
      </c>
      <c r="R130" s="129">
        <f t="shared" si="36"/>
        <v>2.2000000000000002</v>
      </c>
      <c r="S130" s="129">
        <f t="shared" si="36"/>
        <v>2.2000000000000002</v>
      </c>
      <c r="T130" s="129">
        <f t="shared" ref="T130:AF137" si="37">S130</f>
        <v>2.2000000000000002</v>
      </c>
      <c r="U130" s="129">
        <f t="shared" si="37"/>
        <v>2.2000000000000002</v>
      </c>
      <c r="V130" s="129">
        <f t="shared" si="37"/>
        <v>2.2000000000000002</v>
      </c>
      <c r="W130" s="129">
        <f t="shared" si="37"/>
        <v>2.2000000000000002</v>
      </c>
      <c r="X130" s="129">
        <f t="shared" si="37"/>
        <v>2.2000000000000002</v>
      </c>
      <c r="Y130" s="129">
        <f t="shared" si="37"/>
        <v>2.2000000000000002</v>
      </c>
      <c r="Z130" s="129">
        <f t="shared" si="37"/>
        <v>2.2000000000000002</v>
      </c>
      <c r="AA130" s="129">
        <f t="shared" si="37"/>
        <v>2.2000000000000002</v>
      </c>
      <c r="AB130" s="129">
        <f t="shared" si="37"/>
        <v>2.2000000000000002</v>
      </c>
      <c r="AC130" s="129">
        <f t="shared" si="37"/>
        <v>2.2000000000000002</v>
      </c>
      <c r="AD130" s="129">
        <f t="shared" si="37"/>
        <v>2.2000000000000002</v>
      </c>
      <c r="AE130" s="129">
        <f t="shared" si="37"/>
        <v>2.2000000000000002</v>
      </c>
      <c r="AF130" s="129">
        <f t="shared" si="37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5"/>
        <v>2</v>
      </c>
      <c r="C131" s="130">
        <v>2</v>
      </c>
      <c r="D131" s="129">
        <f t="shared" si="36"/>
        <v>2</v>
      </c>
      <c r="E131" s="129">
        <f t="shared" si="36"/>
        <v>2</v>
      </c>
      <c r="F131" s="129">
        <f t="shared" si="36"/>
        <v>2</v>
      </c>
      <c r="G131" s="129">
        <f t="shared" si="36"/>
        <v>2</v>
      </c>
      <c r="H131" s="129">
        <f t="shared" si="36"/>
        <v>2</v>
      </c>
      <c r="I131" s="129">
        <f t="shared" si="36"/>
        <v>2</v>
      </c>
      <c r="J131" s="129">
        <f t="shared" si="36"/>
        <v>2</v>
      </c>
      <c r="K131" s="129">
        <f t="shared" si="36"/>
        <v>2</v>
      </c>
      <c r="L131" s="129">
        <f t="shared" si="36"/>
        <v>2</v>
      </c>
      <c r="M131" s="129">
        <f t="shared" si="36"/>
        <v>2</v>
      </c>
      <c r="N131" s="129">
        <f t="shared" si="36"/>
        <v>2</v>
      </c>
      <c r="O131" s="129">
        <f t="shared" si="36"/>
        <v>2</v>
      </c>
      <c r="P131" s="129">
        <f t="shared" si="36"/>
        <v>2</v>
      </c>
      <c r="Q131" s="129">
        <f t="shared" si="36"/>
        <v>2</v>
      </c>
      <c r="R131" s="129">
        <f t="shared" si="36"/>
        <v>2</v>
      </c>
      <c r="S131" s="129">
        <f t="shared" si="36"/>
        <v>2</v>
      </c>
      <c r="T131" s="129">
        <f t="shared" si="37"/>
        <v>2</v>
      </c>
      <c r="U131" s="129">
        <f t="shared" si="37"/>
        <v>2</v>
      </c>
      <c r="V131" s="129">
        <f t="shared" si="37"/>
        <v>2</v>
      </c>
      <c r="W131" s="129">
        <f t="shared" si="37"/>
        <v>2</v>
      </c>
      <c r="X131" s="129">
        <f t="shared" si="37"/>
        <v>2</v>
      </c>
      <c r="Y131" s="129">
        <f t="shared" si="37"/>
        <v>2</v>
      </c>
      <c r="Z131" s="129">
        <f t="shared" si="37"/>
        <v>2</v>
      </c>
      <c r="AA131" s="129">
        <f t="shared" si="37"/>
        <v>2</v>
      </c>
      <c r="AB131" s="129">
        <f t="shared" si="37"/>
        <v>2</v>
      </c>
      <c r="AC131" s="129">
        <f t="shared" si="37"/>
        <v>2</v>
      </c>
      <c r="AD131" s="129">
        <f t="shared" si="37"/>
        <v>2</v>
      </c>
      <c r="AE131" s="129">
        <f t="shared" si="37"/>
        <v>2</v>
      </c>
      <c r="AF131" s="129">
        <f t="shared" si="37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5"/>
        <v>1.25</v>
      </c>
      <c r="C132" s="130">
        <v>1.25</v>
      </c>
      <c r="D132" s="129">
        <f t="shared" si="36"/>
        <v>1.25</v>
      </c>
      <c r="E132" s="129">
        <f t="shared" si="36"/>
        <v>1.25</v>
      </c>
      <c r="F132" s="129">
        <f t="shared" si="36"/>
        <v>1.25</v>
      </c>
      <c r="G132" s="129">
        <f t="shared" si="36"/>
        <v>1.25</v>
      </c>
      <c r="H132" s="129">
        <f t="shared" si="36"/>
        <v>1.25</v>
      </c>
      <c r="I132" s="129">
        <f t="shared" si="36"/>
        <v>1.25</v>
      </c>
      <c r="J132" s="129">
        <f t="shared" si="36"/>
        <v>1.25</v>
      </c>
      <c r="K132" s="129">
        <f t="shared" si="36"/>
        <v>1.25</v>
      </c>
      <c r="L132" s="129">
        <f t="shared" si="36"/>
        <v>1.25</v>
      </c>
      <c r="M132" s="129">
        <f t="shared" si="36"/>
        <v>1.25</v>
      </c>
      <c r="N132" s="129">
        <f t="shared" si="36"/>
        <v>1.25</v>
      </c>
      <c r="O132" s="129">
        <f t="shared" si="36"/>
        <v>1.25</v>
      </c>
      <c r="P132" s="129">
        <f t="shared" si="36"/>
        <v>1.25</v>
      </c>
      <c r="Q132" s="129">
        <f t="shared" si="36"/>
        <v>1.25</v>
      </c>
      <c r="R132" s="129">
        <f t="shared" si="36"/>
        <v>1.25</v>
      </c>
      <c r="S132" s="129">
        <f t="shared" si="36"/>
        <v>1.25</v>
      </c>
      <c r="T132" s="129">
        <f t="shared" si="37"/>
        <v>1.25</v>
      </c>
      <c r="U132" s="129">
        <f t="shared" si="37"/>
        <v>1.25</v>
      </c>
      <c r="V132" s="129">
        <f t="shared" si="37"/>
        <v>1.25</v>
      </c>
      <c r="W132" s="129">
        <f t="shared" si="37"/>
        <v>1.25</v>
      </c>
      <c r="X132" s="129">
        <f t="shared" si="37"/>
        <v>1.25</v>
      </c>
      <c r="Y132" s="129">
        <f t="shared" si="37"/>
        <v>1.25</v>
      </c>
      <c r="Z132" s="129">
        <f t="shared" si="37"/>
        <v>1.25</v>
      </c>
      <c r="AA132" s="129">
        <f t="shared" si="37"/>
        <v>1.25</v>
      </c>
      <c r="AB132" s="129">
        <f t="shared" si="37"/>
        <v>1.25</v>
      </c>
      <c r="AC132" s="129">
        <f t="shared" si="37"/>
        <v>1.25</v>
      </c>
      <c r="AD132" s="129">
        <f t="shared" si="37"/>
        <v>1.25</v>
      </c>
      <c r="AE132" s="129">
        <f t="shared" si="37"/>
        <v>1.25</v>
      </c>
      <c r="AF132" s="129">
        <f t="shared" si="37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5"/>
        <v>1.1499999999999999</v>
      </c>
      <c r="C133" s="130">
        <v>1.1499999999999999</v>
      </c>
      <c r="D133" s="129">
        <f t="shared" si="36"/>
        <v>1.1499999999999999</v>
      </c>
      <c r="E133" s="129">
        <f t="shared" si="36"/>
        <v>1.1499999999999999</v>
      </c>
      <c r="F133" s="129">
        <f t="shared" si="36"/>
        <v>1.1499999999999999</v>
      </c>
      <c r="G133" s="129">
        <f t="shared" si="36"/>
        <v>1.1499999999999999</v>
      </c>
      <c r="H133" s="129">
        <f t="shared" si="36"/>
        <v>1.1499999999999999</v>
      </c>
      <c r="I133" s="129">
        <f t="shared" si="36"/>
        <v>1.1499999999999999</v>
      </c>
      <c r="J133" s="129">
        <f t="shared" si="36"/>
        <v>1.1499999999999999</v>
      </c>
      <c r="K133" s="129">
        <f t="shared" si="36"/>
        <v>1.1499999999999999</v>
      </c>
      <c r="L133" s="129">
        <f t="shared" si="36"/>
        <v>1.1499999999999999</v>
      </c>
      <c r="M133" s="129">
        <f t="shared" si="36"/>
        <v>1.1499999999999999</v>
      </c>
      <c r="N133" s="129">
        <f t="shared" si="36"/>
        <v>1.1499999999999999</v>
      </c>
      <c r="O133" s="129">
        <f t="shared" si="36"/>
        <v>1.1499999999999999</v>
      </c>
      <c r="P133" s="129">
        <f t="shared" si="36"/>
        <v>1.1499999999999999</v>
      </c>
      <c r="Q133" s="129">
        <f t="shared" si="36"/>
        <v>1.1499999999999999</v>
      </c>
      <c r="R133" s="129">
        <f t="shared" si="36"/>
        <v>1.1499999999999999</v>
      </c>
      <c r="S133" s="129">
        <f t="shared" si="36"/>
        <v>1.1499999999999999</v>
      </c>
      <c r="T133" s="129">
        <f t="shared" si="37"/>
        <v>1.1499999999999999</v>
      </c>
      <c r="U133" s="129">
        <f t="shared" si="37"/>
        <v>1.1499999999999999</v>
      </c>
      <c r="V133" s="129">
        <f t="shared" si="37"/>
        <v>1.1499999999999999</v>
      </c>
      <c r="W133" s="129">
        <f t="shared" si="37"/>
        <v>1.1499999999999999</v>
      </c>
      <c r="X133" s="129">
        <f t="shared" si="37"/>
        <v>1.1499999999999999</v>
      </c>
      <c r="Y133" s="129">
        <f t="shared" si="37"/>
        <v>1.1499999999999999</v>
      </c>
      <c r="Z133" s="129">
        <f t="shared" si="37"/>
        <v>1.1499999999999999</v>
      </c>
      <c r="AA133" s="129">
        <f t="shared" si="37"/>
        <v>1.1499999999999999</v>
      </c>
      <c r="AB133" s="129">
        <f t="shared" si="37"/>
        <v>1.1499999999999999</v>
      </c>
      <c r="AC133" s="129">
        <f t="shared" si="37"/>
        <v>1.1499999999999999</v>
      </c>
      <c r="AD133" s="129">
        <f t="shared" si="37"/>
        <v>1.1499999999999999</v>
      </c>
      <c r="AE133" s="129">
        <f t="shared" si="37"/>
        <v>1.1499999999999999</v>
      </c>
      <c r="AF133" s="129">
        <f t="shared" si="37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5"/>
        <v>2.133</v>
      </c>
      <c r="C134" s="130">
        <v>2.133</v>
      </c>
      <c r="D134" s="129">
        <f t="shared" si="36"/>
        <v>2.133</v>
      </c>
      <c r="E134" s="129">
        <f t="shared" si="36"/>
        <v>2.133</v>
      </c>
      <c r="F134" s="129">
        <f t="shared" si="36"/>
        <v>2.133</v>
      </c>
      <c r="G134" s="129">
        <f t="shared" si="36"/>
        <v>2.133</v>
      </c>
      <c r="H134" s="129">
        <f t="shared" si="36"/>
        <v>2.133</v>
      </c>
      <c r="I134" s="129">
        <f t="shared" si="36"/>
        <v>2.133</v>
      </c>
      <c r="J134" s="129">
        <f t="shared" si="36"/>
        <v>2.133</v>
      </c>
      <c r="K134" s="129">
        <f t="shared" si="36"/>
        <v>2.133</v>
      </c>
      <c r="L134" s="129">
        <f t="shared" si="36"/>
        <v>2.133</v>
      </c>
      <c r="M134" s="129">
        <f t="shared" si="36"/>
        <v>2.133</v>
      </c>
      <c r="N134" s="129">
        <f t="shared" si="36"/>
        <v>2.133</v>
      </c>
      <c r="O134" s="129">
        <f t="shared" si="36"/>
        <v>2.133</v>
      </c>
      <c r="P134" s="129">
        <f t="shared" si="36"/>
        <v>2.133</v>
      </c>
      <c r="Q134" s="129">
        <f t="shared" si="36"/>
        <v>2.133</v>
      </c>
      <c r="R134" s="129">
        <f t="shared" si="36"/>
        <v>2.133</v>
      </c>
      <c r="S134" s="129">
        <f t="shared" si="36"/>
        <v>2.133</v>
      </c>
      <c r="T134" s="129">
        <f t="shared" si="37"/>
        <v>2.133</v>
      </c>
      <c r="U134" s="129">
        <f t="shared" si="37"/>
        <v>2.133</v>
      </c>
      <c r="V134" s="129">
        <f t="shared" si="37"/>
        <v>2.133</v>
      </c>
      <c r="W134" s="129">
        <f t="shared" si="37"/>
        <v>2.133</v>
      </c>
      <c r="X134" s="129">
        <f t="shared" si="37"/>
        <v>2.133</v>
      </c>
      <c r="Y134" s="129">
        <f t="shared" si="37"/>
        <v>2.133</v>
      </c>
      <c r="Z134" s="129">
        <f t="shared" si="37"/>
        <v>2.133</v>
      </c>
      <c r="AA134" s="129">
        <f t="shared" si="37"/>
        <v>2.133</v>
      </c>
      <c r="AB134" s="129">
        <f t="shared" si="37"/>
        <v>2.133</v>
      </c>
      <c r="AC134" s="129">
        <f t="shared" si="37"/>
        <v>2.133</v>
      </c>
      <c r="AD134" s="129">
        <f t="shared" si="37"/>
        <v>2.133</v>
      </c>
      <c r="AE134" s="129">
        <f t="shared" si="37"/>
        <v>2.133</v>
      </c>
      <c r="AF134" s="129">
        <f t="shared" si="37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5"/>
        <v>2.09</v>
      </c>
      <c r="C135" s="130">
        <v>2.09</v>
      </c>
      <c r="D135" s="129">
        <f t="shared" si="36"/>
        <v>2.09</v>
      </c>
      <c r="E135" s="129">
        <f t="shared" si="36"/>
        <v>2.09</v>
      </c>
      <c r="F135" s="129">
        <f t="shared" si="36"/>
        <v>2.09</v>
      </c>
      <c r="G135" s="129">
        <f t="shared" si="36"/>
        <v>2.09</v>
      </c>
      <c r="H135" s="129">
        <f t="shared" si="36"/>
        <v>2.09</v>
      </c>
      <c r="I135" s="129">
        <f t="shared" si="36"/>
        <v>2.09</v>
      </c>
      <c r="J135" s="129">
        <f t="shared" si="36"/>
        <v>2.09</v>
      </c>
      <c r="K135" s="129">
        <f t="shared" si="36"/>
        <v>2.09</v>
      </c>
      <c r="L135" s="129">
        <f t="shared" si="36"/>
        <v>2.09</v>
      </c>
      <c r="M135" s="129">
        <f t="shared" si="36"/>
        <v>2.09</v>
      </c>
      <c r="N135" s="129">
        <f t="shared" si="36"/>
        <v>2.09</v>
      </c>
      <c r="O135" s="129">
        <f t="shared" si="36"/>
        <v>2.09</v>
      </c>
      <c r="P135" s="129">
        <f t="shared" si="36"/>
        <v>2.09</v>
      </c>
      <c r="Q135" s="129">
        <f t="shared" si="36"/>
        <v>2.09</v>
      </c>
      <c r="R135" s="129">
        <f t="shared" si="36"/>
        <v>2.09</v>
      </c>
      <c r="S135" s="129">
        <f t="shared" si="36"/>
        <v>2.09</v>
      </c>
      <c r="T135" s="129">
        <f t="shared" si="37"/>
        <v>2.09</v>
      </c>
      <c r="U135" s="129">
        <f t="shared" si="37"/>
        <v>2.09</v>
      </c>
      <c r="V135" s="129">
        <f t="shared" si="37"/>
        <v>2.09</v>
      </c>
      <c r="W135" s="129">
        <f t="shared" si="37"/>
        <v>2.09</v>
      </c>
      <c r="X135" s="129">
        <f t="shared" si="37"/>
        <v>2.09</v>
      </c>
      <c r="Y135" s="129">
        <f t="shared" si="37"/>
        <v>2.09</v>
      </c>
      <c r="Z135" s="129">
        <f t="shared" si="37"/>
        <v>2.09</v>
      </c>
      <c r="AA135" s="129">
        <f t="shared" si="37"/>
        <v>2.09</v>
      </c>
      <c r="AB135" s="129">
        <f t="shared" si="37"/>
        <v>2.09</v>
      </c>
      <c r="AC135" s="129">
        <f t="shared" si="37"/>
        <v>2.09</v>
      </c>
      <c r="AD135" s="129">
        <f t="shared" si="37"/>
        <v>2.09</v>
      </c>
      <c r="AE135" s="129">
        <f t="shared" si="37"/>
        <v>2.09</v>
      </c>
      <c r="AF135" s="129">
        <f t="shared" si="37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5"/>
        <v>1.1399999999999999</v>
      </c>
      <c r="C136" s="130">
        <v>1.1399999999999999</v>
      </c>
      <c r="D136" s="129">
        <f t="shared" si="36"/>
        <v>1.1399999999999999</v>
      </c>
      <c r="E136" s="129">
        <f t="shared" si="36"/>
        <v>1.1399999999999999</v>
      </c>
      <c r="F136" s="129">
        <f t="shared" si="36"/>
        <v>1.1399999999999999</v>
      </c>
      <c r="G136" s="129">
        <f t="shared" si="36"/>
        <v>1.1399999999999999</v>
      </c>
      <c r="H136" s="129">
        <f t="shared" si="36"/>
        <v>1.1399999999999999</v>
      </c>
      <c r="I136" s="129">
        <f t="shared" si="36"/>
        <v>1.1399999999999999</v>
      </c>
      <c r="J136" s="129">
        <f t="shared" si="36"/>
        <v>1.1399999999999999</v>
      </c>
      <c r="K136" s="129">
        <f t="shared" si="36"/>
        <v>1.1399999999999999</v>
      </c>
      <c r="L136" s="129">
        <f t="shared" si="36"/>
        <v>1.1399999999999999</v>
      </c>
      <c r="M136" s="129">
        <f t="shared" si="36"/>
        <v>1.1399999999999999</v>
      </c>
      <c r="N136" s="129">
        <f t="shared" si="36"/>
        <v>1.1399999999999999</v>
      </c>
      <c r="O136" s="129">
        <f t="shared" si="36"/>
        <v>1.1399999999999999</v>
      </c>
      <c r="P136" s="129">
        <f t="shared" si="36"/>
        <v>1.1399999999999999</v>
      </c>
      <c r="Q136" s="129">
        <f t="shared" si="36"/>
        <v>1.1399999999999999</v>
      </c>
      <c r="R136" s="129">
        <f t="shared" si="36"/>
        <v>1.1399999999999999</v>
      </c>
      <c r="S136" s="129">
        <f t="shared" si="36"/>
        <v>1.1399999999999999</v>
      </c>
      <c r="T136" s="129">
        <f t="shared" si="37"/>
        <v>1.1399999999999999</v>
      </c>
      <c r="U136" s="129">
        <f t="shared" si="37"/>
        <v>1.1399999999999999</v>
      </c>
      <c r="V136" s="129">
        <f t="shared" si="37"/>
        <v>1.1399999999999999</v>
      </c>
      <c r="W136" s="129">
        <f t="shared" si="37"/>
        <v>1.1399999999999999</v>
      </c>
      <c r="X136" s="129">
        <f t="shared" si="37"/>
        <v>1.1399999999999999</v>
      </c>
      <c r="Y136" s="129">
        <f t="shared" si="37"/>
        <v>1.1399999999999999</v>
      </c>
      <c r="Z136" s="129">
        <f t="shared" si="37"/>
        <v>1.1399999999999999</v>
      </c>
      <c r="AA136" s="129">
        <f t="shared" si="37"/>
        <v>1.1399999999999999</v>
      </c>
      <c r="AB136" s="129">
        <f t="shared" si="37"/>
        <v>1.1399999999999999</v>
      </c>
      <c r="AC136" s="129">
        <f t="shared" si="37"/>
        <v>1.1399999999999999</v>
      </c>
      <c r="AD136" s="129">
        <f t="shared" si="37"/>
        <v>1.1399999999999999</v>
      </c>
      <c r="AE136" s="129">
        <f t="shared" si="37"/>
        <v>1.1399999999999999</v>
      </c>
      <c r="AF136" s="129">
        <f t="shared" si="37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5"/>
        <v>0.82</v>
      </c>
      <c r="C137" s="130">
        <v>0.82</v>
      </c>
      <c r="D137" s="129">
        <f t="shared" si="36"/>
        <v>0.82</v>
      </c>
      <c r="E137" s="129">
        <f t="shared" si="36"/>
        <v>0.82</v>
      </c>
      <c r="F137" s="129">
        <f t="shared" si="36"/>
        <v>0.82</v>
      </c>
      <c r="G137" s="129">
        <f t="shared" si="36"/>
        <v>0.82</v>
      </c>
      <c r="H137" s="129">
        <f t="shared" si="36"/>
        <v>0.82</v>
      </c>
      <c r="I137" s="129">
        <f t="shared" si="36"/>
        <v>0.82</v>
      </c>
      <c r="J137" s="129">
        <f t="shared" si="36"/>
        <v>0.82</v>
      </c>
      <c r="K137" s="129">
        <f t="shared" si="36"/>
        <v>0.82</v>
      </c>
      <c r="L137" s="129">
        <f t="shared" si="36"/>
        <v>0.82</v>
      </c>
      <c r="M137" s="129">
        <f t="shared" si="36"/>
        <v>0.82</v>
      </c>
      <c r="N137" s="129">
        <f t="shared" si="36"/>
        <v>0.82</v>
      </c>
      <c r="O137" s="129">
        <f t="shared" si="36"/>
        <v>0.82</v>
      </c>
      <c r="P137" s="129">
        <f t="shared" si="36"/>
        <v>0.82</v>
      </c>
      <c r="Q137" s="129">
        <f t="shared" si="36"/>
        <v>0.82</v>
      </c>
      <c r="R137" s="129">
        <f t="shared" si="36"/>
        <v>0.82</v>
      </c>
      <c r="S137" s="129">
        <f t="shared" si="36"/>
        <v>0.82</v>
      </c>
      <c r="T137" s="129">
        <f t="shared" si="37"/>
        <v>0.82</v>
      </c>
      <c r="U137" s="129">
        <f t="shared" si="37"/>
        <v>0.82</v>
      </c>
      <c r="V137" s="129">
        <f t="shared" si="37"/>
        <v>0.82</v>
      </c>
      <c r="W137" s="129">
        <f t="shared" si="37"/>
        <v>0.82</v>
      </c>
      <c r="X137" s="129">
        <f t="shared" si="37"/>
        <v>0.82</v>
      </c>
      <c r="Y137" s="129">
        <f t="shared" si="37"/>
        <v>0.82</v>
      </c>
      <c r="Z137" s="129">
        <f t="shared" si="37"/>
        <v>0.82</v>
      </c>
      <c r="AA137" s="129">
        <f t="shared" si="37"/>
        <v>0.82</v>
      </c>
      <c r="AB137" s="129">
        <f t="shared" si="37"/>
        <v>0.82</v>
      </c>
      <c r="AC137" s="129">
        <f t="shared" si="37"/>
        <v>0.82</v>
      </c>
      <c r="AD137" s="129">
        <f t="shared" si="37"/>
        <v>0.82</v>
      </c>
      <c r="AE137" s="129">
        <f t="shared" si="37"/>
        <v>0.82</v>
      </c>
      <c r="AF137" s="129">
        <f t="shared" si="37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8">AF139</f>
        <v>2</v>
      </c>
      <c r="C139" s="130">
        <v>2</v>
      </c>
      <c r="D139" s="129">
        <f t="shared" ref="D139:S145" si="39">C139</f>
        <v>2</v>
      </c>
      <c r="E139" s="129">
        <f t="shared" si="39"/>
        <v>2</v>
      </c>
      <c r="F139" s="129">
        <f t="shared" si="39"/>
        <v>2</v>
      </c>
      <c r="G139" s="129">
        <f t="shared" si="39"/>
        <v>2</v>
      </c>
      <c r="H139" s="129">
        <f t="shared" si="39"/>
        <v>2</v>
      </c>
      <c r="I139" s="129">
        <f t="shared" si="39"/>
        <v>2</v>
      </c>
      <c r="J139" s="129">
        <f t="shared" si="39"/>
        <v>2</v>
      </c>
      <c r="K139" s="129">
        <f t="shared" si="39"/>
        <v>2</v>
      </c>
      <c r="L139" s="129">
        <f t="shared" si="39"/>
        <v>2</v>
      </c>
      <c r="M139" s="129">
        <f t="shared" si="39"/>
        <v>2</v>
      </c>
      <c r="N139" s="129">
        <f t="shared" si="39"/>
        <v>2</v>
      </c>
      <c r="O139" s="129">
        <f t="shared" si="39"/>
        <v>2</v>
      </c>
      <c r="P139" s="129">
        <f t="shared" si="39"/>
        <v>2</v>
      </c>
      <c r="Q139" s="129">
        <f t="shared" si="39"/>
        <v>2</v>
      </c>
      <c r="R139" s="129">
        <f t="shared" si="39"/>
        <v>2</v>
      </c>
      <c r="S139" s="129">
        <f t="shared" si="39"/>
        <v>2</v>
      </c>
      <c r="T139" s="129">
        <f t="shared" ref="T139:AF145" si="40">S139</f>
        <v>2</v>
      </c>
      <c r="U139" s="129">
        <f t="shared" si="40"/>
        <v>2</v>
      </c>
      <c r="V139" s="129">
        <f t="shared" si="40"/>
        <v>2</v>
      </c>
      <c r="W139" s="129">
        <f t="shared" si="40"/>
        <v>2</v>
      </c>
      <c r="X139" s="129">
        <f t="shared" si="40"/>
        <v>2</v>
      </c>
      <c r="Y139" s="129">
        <f t="shared" si="40"/>
        <v>2</v>
      </c>
      <c r="Z139" s="129">
        <f t="shared" si="40"/>
        <v>2</v>
      </c>
      <c r="AA139" s="129">
        <f t="shared" si="40"/>
        <v>2</v>
      </c>
      <c r="AB139" s="129">
        <f t="shared" si="40"/>
        <v>2</v>
      </c>
      <c r="AC139" s="129">
        <f t="shared" si="40"/>
        <v>2</v>
      </c>
      <c r="AD139" s="129">
        <f t="shared" si="40"/>
        <v>2</v>
      </c>
      <c r="AE139" s="129">
        <f t="shared" si="40"/>
        <v>2</v>
      </c>
      <c r="AF139" s="129">
        <f t="shared" si="40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8"/>
        <v>5.61</v>
      </c>
      <c r="C140" s="130">
        <v>5.61</v>
      </c>
      <c r="D140" s="129">
        <f t="shared" si="39"/>
        <v>5.61</v>
      </c>
      <c r="E140" s="129">
        <f t="shared" si="39"/>
        <v>5.61</v>
      </c>
      <c r="F140" s="129">
        <f t="shared" si="39"/>
        <v>5.61</v>
      </c>
      <c r="G140" s="129">
        <f t="shared" si="39"/>
        <v>5.61</v>
      </c>
      <c r="H140" s="129">
        <f t="shared" si="39"/>
        <v>5.61</v>
      </c>
      <c r="I140" s="129">
        <f t="shared" si="39"/>
        <v>5.61</v>
      </c>
      <c r="J140" s="129">
        <f t="shared" si="39"/>
        <v>5.61</v>
      </c>
      <c r="K140" s="129">
        <f t="shared" si="39"/>
        <v>5.61</v>
      </c>
      <c r="L140" s="129">
        <f t="shared" si="39"/>
        <v>5.61</v>
      </c>
      <c r="M140" s="129">
        <f t="shared" si="39"/>
        <v>5.61</v>
      </c>
      <c r="N140" s="129">
        <f t="shared" si="39"/>
        <v>5.61</v>
      </c>
      <c r="O140" s="129">
        <f t="shared" si="39"/>
        <v>5.61</v>
      </c>
      <c r="P140" s="129">
        <f t="shared" si="39"/>
        <v>5.61</v>
      </c>
      <c r="Q140" s="129">
        <f t="shared" si="39"/>
        <v>5.61</v>
      </c>
      <c r="R140" s="129">
        <f t="shared" si="39"/>
        <v>5.61</v>
      </c>
      <c r="S140" s="129">
        <f t="shared" si="39"/>
        <v>5.61</v>
      </c>
      <c r="T140" s="129">
        <f t="shared" si="40"/>
        <v>5.61</v>
      </c>
      <c r="U140" s="129">
        <f t="shared" si="40"/>
        <v>5.61</v>
      </c>
      <c r="V140" s="129">
        <f t="shared" si="40"/>
        <v>5.61</v>
      </c>
      <c r="W140" s="129">
        <f t="shared" si="40"/>
        <v>5.61</v>
      </c>
      <c r="X140" s="129">
        <f t="shared" si="40"/>
        <v>5.61</v>
      </c>
      <c r="Y140" s="129">
        <f t="shared" si="40"/>
        <v>5.61</v>
      </c>
      <c r="Z140" s="129">
        <f t="shared" si="40"/>
        <v>5.61</v>
      </c>
      <c r="AA140" s="129">
        <f t="shared" si="40"/>
        <v>5.61</v>
      </c>
      <c r="AB140" s="129">
        <f t="shared" si="40"/>
        <v>5.61</v>
      </c>
      <c r="AC140" s="129">
        <f t="shared" si="40"/>
        <v>5.61</v>
      </c>
      <c r="AD140" s="129">
        <f t="shared" si="40"/>
        <v>5.61</v>
      </c>
      <c r="AE140" s="129">
        <f t="shared" si="40"/>
        <v>5.61</v>
      </c>
      <c r="AF140" s="129">
        <f t="shared" si="40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8"/>
        <v>1.25</v>
      </c>
      <c r="C141" s="130">
        <v>1.25</v>
      </c>
      <c r="D141" s="129">
        <f t="shared" si="39"/>
        <v>1.25</v>
      </c>
      <c r="E141" s="129">
        <f t="shared" si="39"/>
        <v>1.25</v>
      </c>
      <c r="F141" s="129">
        <f t="shared" si="39"/>
        <v>1.25</v>
      </c>
      <c r="G141" s="129">
        <f t="shared" si="39"/>
        <v>1.25</v>
      </c>
      <c r="H141" s="129">
        <f t="shared" si="39"/>
        <v>1.25</v>
      </c>
      <c r="I141" s="129">
        <f t="shared" si="39"/>
        <v>1.25</v>
      </c>
      <c r="J141" s="129">
        <f t="shared" si="39"/>
        <v>1.25</v>
      </c>
      <c r="K141" s="129">
        <f t="shared" si="39"/>
        <v>1.25</v>
      </c>
      <c r="L141" s="129">
        <f t="shared" si="39"/>
        <v>1.25</v>
      </c>
      <c r="M141" s="129">
        <f t="shared" si="39"/>
        <v>1.25</v>
      </c>
      <c r="N141" s="129">
        <f t="shared" si="39"/>
        <v>1.25</v>
      </c>
      <c r="O141" s="129">
        <f t="shared" si="39"/>
        <v>1.25</v>
      </c>
      <c r="P141" s="129">
        <f t="shared" si="39"/>
        <v>1.25</v>
      </c>
      <c r="Q141" s="129">
        <f t="shared" si="39"/>
        <v>1.25</v>
      </c>
      <c r="R141" s="129">
        <f t="shared" si="39"/>
        <v>1.25</v>
      </c>
      <c r="S141" s="129">
        <f t="shared" si="39"/>
        <v>1.25</v>
      </c>
      <c r="T141" s="129">
        <f t="shared" si="40"/>
        <v>1.25</v>
      </c>
      <c r="U141" s="129">
        <f t="shared" si="40"/>
        <v>1.25</v>
      </c>
      <c r="V141" s="129">
        <f t="shared" si="40"/>
        <v>1.25</v>
      </c>
      <c r="W141" s="129">
        <f t="shared" si="40"/>
        <v>1.25</v>
      </c>
      <c r="X141" s="129">
        <f t="shared" si="40"/>
        <v>1.25</v>
      </c>
      <c r="Y141" s="129">
        <f t="shared" si="40"/>
        <v>1.25</v>
      </c>
      <c r="Z141" s="129">
        <f t="shared" si="40"/>
        <v>1.25</v>
      </c>
      <c r="AA141" s="129">
        <f t="shared" si="40"/>
        <v>1.25</v>
      </c>
      <c r="AB141" s="129">
        <f t="shared" si="40"/>
        <v>1.25</v>
      </c>
      <c r="AC141" s="129">
        <f t="shared" si="40"/>
        <v>1.25</v>
      </c>
      <c r="AD141" s="129">
        <f t="shared" si="40"/>
        <v>1.25</v>
      </c>
      <c r="AE141" s="129">
        <f t="shared" si="40"/>
        <v>1.25</v>
      </c>
      <c r="AF141" s="129">
        <f t="shared" si="40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8"/>
        <v>1.25</v>
      </c>
      <c r="C142" s="130">
        <v>1.25</v>
      </c>
      <c r="D142" s="129">
        <f t="shared" si="39"/>
        <v>1.25</v>
      </c>
      <c r="E142" s="129">
        <f t="shared" si="39"/>
        <v>1.25</v>
      </c>
      <c r="F142" s="129">
        <f t="shared" si="39"/>
        <v>1.25</v>
      </c>
      <c r="G142" s="129">
        <f t="shared" si="39"/>
        <v>1.25</v>
      </c>
      <c r="H142" s="129">
        <f t="shared" si="39"/>
        <v>1.25</v>
      </c>
      <c r="I142" s="129">
        <f t="shared" si="39"/>
        <v>1.25</v>
      </c>
      <c r="J142" s="129">
        <f t="shared" si="39"/>
        <v>1.25</v>
      </c>
      <c r="K142" s="129">
        <f t="shared" si="39"/>
        <v>1.25</v>
      </c>
      <c r="L142" s="129">
        <f t="shared" si="39"/>
        <v>1.25</v>
      </c>
      <c r="M142" s="129">
        <f t="shared" si="39"/>
        <v>1.25</v>
      </c>
      <c r="N142" s="129">
        <f t="shared" si="39"/>
        <v>1.25</v>
      </c>
      <c r="O142" s="129">
        <f t="shared" si="39"/>
        <v>1.25</v>
      </c>
      <c r="P142" s="129">
        <f t="shared" si="39"/>
        <v>1.25</v>
      </c>
      <c r="Q142" s="129">
        <f t="shared" si="39"/>
        <v>1.25</v>
      </c>
      <c r="R142" s="129">
        <f t="shared" si="39"/>
        <v>1.25</v>
      </c>
      <c r="S142" s="129">
        <f t="shared" si="39"/>
        <v>1.25</v>
      </c>
      <c r="T142" s="129">
        <f t="shared" si="40"/>
        <v>1.25</v>
      </c>
      <c r="U142" s="129">
        <f t="shared" si="40"/>
        <v>1.25</v>
      </c>
      <c r="V142" s="129">
        <f t="shared" si="40"/>
        <v>1.25</v>
      </c>
      <c r="W142" s="129">
        <f t="shared" si="40"/>
        <v>1.25</v>
      </c>
      <c r="X142" s="129">
        <f t="shared" si="40"/>
        <v>1.25</v>
      </c>
      <c r="Y142" s="129">
        <f t="shared" si="40"/>
        <v>1.25</v>
      </c>
      <c r="Z142" s="129">
        <f t="shared" si="40"/>
        <v>1.25</v>
      </c>
      <c r="AA142" s="129">
        <f t="shared" si="40"/>
        <v>1.25</v>
      </c>
      <c r="AB142" s="129">
        <f t="shared" si="40"/>
        <v>1.25</v>
      </c>
      <c r="AC142" s="129">
        <f t="shared" si="40"/>
        <v>1.25</v>
      </c>
      <c r="AD142" s="129">
        <f t="shared" si="40"/>
        <v>1.25</v>
      </c>
      <c r="AE142" s="129">
        <f t="shared" si="40"/>
        <v>1.25</v>
      </c>
      <c r="AF142" s="129">
        <f t="shared" si="40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8"/>
        <v>1.46</v>
      </c>
      <c r="C143" s="130">
        <v>1.46</v>
      </c>
      <c r="D143" s="129">
        <f t="shared" si="39"/>
        <v>1.46</v>
      </c>
      <c r="E143" s="129">
        <f t="shared" si="39"/>
        <v>1.46</v>
      </c>
      <c r="F143" s="129">
        <f t="shared" si="39"/>
        <v>1.46</v>
      </c>
      <c r="G143" s="129">
        <f t="shared" si="39"/>
        <v>1.46</v>
      </c>
      <c r="H143" s="129">
        <f t="shared" si="39"/>
        <v>1.46</v>
      </c>
      <c r="I143" s="129">
        <f t="shared" si="39"/>
        <v>1.46</v>
      </c>
      <c r="J143" s="129">
        <f t="shared" si="39"/>
        <v>1.46</v>
      </c>
      <c r="K143" s="129">
        <f t="shared" si="39"/>
        <v>1.46</v>
      </c>
      <c r="L143" s="129">
        <f t="shared" si="39"/>
        <v>1.46</v>
      </c>
      <c r="M143" s="129">
        <f t="shared" si="39"/>
        <v>1.46</v>
      </c>
      <c r="N143" s="129">
        <f t="shared" si="39"/>
        <v>1.46</v>
      </c>
      <c r="O143" s="129">
        <f t="shared" si="39"/>
        <v>1.46</v>
      </c>
      <c r="P143" s="129">
        <f t="shared" si="39"/>
        <v>1.46</v>
      </c>
      <c r="Q143" s="129">
        <f t="shared" si="39"/>
        <v>1.46</v>
      </c>
      <c r="R143" s="129">
        <f t="shared" si="39"/>
        <v>1.46</v>
      </c>
      <c r="S143" s="129">
        <f t="shared" si="39"/>
        <v>1.46</v>
      </c>
      <c r="T143" s="129">
        <f t="shared" si="40"/>
        <v>1.46</v>
      </c>
      <c r="U143" s="129">
        <f t="shared" si="40"/>
        <v>1.46</v>
      </c>
      <c r="V143" s="129">
        <f t="shared" si="40"/>
        <v>1.46</v>
      </c>
      <c r="W143" s="129">
        <f t="shared" si="40"/>
        <v>1.46</v>
      </c>
      <c r="X143" s="129">
        <f t="shared" si="40"/>
        <v>1.46</v>
      </c>
      <c r="Y143" s="129">
        <f t="shared" si="40"/>
        <v>1.46</v>
      </c>
      <c r="Z143" s="129">
        <f t="shared" si="40"/>
        <v>1.46</v>
      </c>
      <c r="AA143" s="129">
        <f t="shared" si="40"/>
        <v>1.46</v>
      </c>
      <c r="AB143" s="129">
        <f t="shared" si="40"/>
        <v>1.46</v>
      </c>
      <c r="AC143" s="129">
        <f t="shared" si="40"/>
        <v>1.46</v>
      </c>
      <c r="AD143" s="129">
        <f t="shared" si="40"/>
        <v>1.46</v>
      </c>
      <c r="AE143" s="129">
        <f t="shared" si="40"/>
        <v>1.46</v>
      </c>
      <c r="AF143" s="129">
        <f t="shared" si="40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8"/>
        <v>3</v>
      </c>
      <c r="C144" s="130">
        <v>3</v>
      </c>
      <c r="D144" s="129">
        <f t="shared" si="39"/>
        <v>3</v>
      </c>
      <c r="E144" s="129">
        <f t="shared" si="39"/>
        <v>3</v>
      </c>
      <c r="F144" s="129">
        <f t="shared" si="39"/>
        <v>3</v>
      </c>
      <c r="G144" s="129">
        <f t="shared" si="39"/>
        <v>3</v>
      </c>
      <c r="H144" s="129">
        <f t="shared" si="39"/>
        <v>3</v>
      </c>
      <c r="I144" s="129">
        <f t="shared" si="39"/>
        <v>3</v>
      </c>
      <c r="J144" s="129">
        <f t="shared" si="39"/>
        <v>3</v>
      </c>
      <c r="K144" s="129">
        <f t="shared" si="39"/>
        <v>3</v>
      </c>
      <c r="L144" s="129">
        <f t="shared" si="39"/>
        <v>3</v>
      </c>
      <c r="M144" s="129">
        <f t="shared" si="39"/>
        <v>3</v>
      </c>
      <c r="N144" s="129">
        <f t="shared" si="39"/>
        <v>3</v>
      </c>
      <c r="O144" s="129">
        <f t="shared" si="39"/>
        <v>3</v>
      </c>
      <c r="P144" s="129">
        <f t="shared" si="39"/>
        <v>3</v>
      </c>
      <c r="Q144" s="129">
        <f t="shared" si="39"/>
        <v>3</v>
      </c>
      <c r="R144" s="129">
        <f t="shared" si="39"/>
        <v>3</v>
      </c>
      <c r="S144" s="129">
        <f t="shared" si="39"/>
        <v>3</v>
      </c>
      <c r="T144" s="129">
        <f t="shared" si="40"/>
        <v>3</v>
      </c>
      <c r="U144" s="129">
        <f t="shared" si="40"/>
        <v>3</v>
      </c>
      <c r="V144" s="129">
        <f t="shared" si="40"/>
        <v>3</v>
      </c>
      <c r="W144" s="129">
        <f t="shared" si="40"/>
        <v>3</v>
      </c>
      <c r="X144" s="129">
        <f t="shared" si="40"/>
        <v>3</v>
      </c>
      <c r="Y144" s="129">
        <f t="shared" si="40"/>
        <v>3</v>
      </c>
      <c r="Z144" s="129">
        <f t="shared" si="40"/>
        <v>3</v>
      </c>
      <c r="AA144" s="129">
        <f t="shared" si="40"/>
        <v>3</v>
      </c>
      <c r="AB144" s="129">
        <f t="shared" si="40"/>
        <v>3</v>
      </c>
      <c r="AC144" s="129">
        <f t="shared" si="40"/>
        <v>3</v>
      </c>
      <c r="AD144" s="129">
        <f t="shared" si="40"/>
        <v>3</v>
      </c>
      <c r="AE144" s="129">
        <f t="shared" si="40"/>
        <v>3</v>
      </c>
      <c r="AF144" s="129">
        <f t="shared" si="40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8"/>
        <v>3.3</v>
      </c>
      <c r="C145" s="130">
        <v>3.3</v>
      </c>
      <c r="D145" s="129">
        <f t="shared" si="39"/>
        <v>3.3</v>
      </c>
      <c r="E145" s="129">
        <f t="shared" si="39"/>
        <v>3.3</v>
      </c>
      <c r="F145" s="129">
        <f t="shared" si="39"/>
        <v>3.3</v>
      </c>
      <c r="G145" s="129">
        <f t="shared" si="39"/>
        <v>3.3</v>
      </c>
      <c r="H145" s="129">
        <f t="shared" si="39"/>
        <v>3.3</v>
      </c>
      <c r="I145" s="129">
        <f t="shared" si="39"/>
        <v>3.3</v>
      </c>
      <c r="J145" s="129">
        <f t="shared" si="39"/>
        <v>3.3</v>
      </c>
      <c r="K145" s="129">
        <f t="shared" si="39"/>
        <v>3.3</v>
      </c>
      <c r="L145" s="129">
        <f t="shared" si="39"/>
        <v>3.3</v>
      </c>
      <c r="M145" s="129">
        <f t="shared" si="39"/>
        <v>3.3</v>
      </c>
      <c r="N145" s="129">
        <f t="shared" si="39"/>
        <v>3.3</v>
      </c>
      <c r="O145" s="129">
        <f t="shared" si="39"/>
        <v>3.3</v>
      </c>
      <c r="P145" s="129">
        <f t="shared" si="39"/>
        <v>3.3</v>
      </c>
      <c r="Q145" s="129">
        <f t="shared" si="39"/>
        <v>3.3</v>
      </c>
      <c r="R145" s="129">
        <f t="shared" si="39"/>
        <v>3.3</v>
      </c>
      <c r="S145" s="129">
        <f t="shared" si="39"/>
        <v>3.3</v>
      </c>
      <c r="T145" s="129">
        <f t="shared" si="40"/>
        <v>3.3</v>
      </c>
      <c r="U145" s="129">
        <f t="shared" si="40"/>
        <v>3.3</v>
      </c>
      <c r="V145" s="129">
        <f t="shared" si="40"/>
        <v>3.3</v>
      </c>
      <c r="W145" s="129">
        <f t="shared" si="40"/>
        <v>3.3</v>
      </c>
      <c r="X145" s="129">
        <f t="shared" si="40"/>
        <v>3.3</v>
      </c>
      <c r="Y145" s="129">
        <f t="shared" si="40"/>
        <v>3.3</v>
      </c>
      <c r="Z145" s="129">
        <f t="shared" si="40"/>
        <v>3.3</v>
      </c>
      <c r="AA145" s="129">
        <f t="shared" si="40"/>
        <v>3.3</v>
      </c>
      <c r="AB145" s="129">
        <f t="shared" si="40"/>
        <v>3.3</v>
      </c>
      <c r="AC145" s="129">
        <f t="shared" si="40"/>
        <v>3.3</v>
      </c>
      <c r="AD145" s="129">
        <f t="shared" si="40"/>
        <v>3.3</v>
      </c>
      <c r="AE145" s="129">
        <f t="shared" si="40"/>
        <v>3.3</v>
      </c>
      <c r="AF145" s="129">
        <f t="shared" si="40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41">C147</f>
        <v>1.76</v>
      </c>
      <c r="E147" s="129">
        <f t="shared" si="41"/>
        <v>1.76</v>
      </c>
      <c r="F147" s="129">
        <f t="shared" si="41"/>
        <v>1.76</v>
      </c>
      <c r="G147" s="129">
        <f t="shared" si="41"/>
        <v>1.76</v>
      </c>
      <c r="H147" s="129">
        <f t="shared" si="41"/>
        <v>1.76</v>
      </c>
      <c r="I147" s="129">
        <f t="shared" si="41"/>
        <v>1.76</v>
      </c>
      <c r="J147" s="129">
        <f t="shared" si="41"/>
        <v>1.76</v>
      </c>
      <c r="K147" s="129">
        <f t="shared" si="41"/>
        <v>1.76</v>
      </c>
      <c r="L147" s="129">
        <f t="shared" si="41"/>
        <v>1.76</v>
      </c>
      <c r="M147" s="129">
        <f t="shared" si="41"/>
        <v>1.76</v>
      </c>
      <c r="N147" s="129">
        <f t="shared" si="41"/>
        <v>1.76</v>
      </c>
      <c r="O147" s="129">
        <f t="shared" si="41"/>
        <v>1.76</v>
      </c>
      <c r="P147" s="129">
        <f t="shared" si="41"/>
        <v>1.76</v>
      </c>
      <c r="Q147" s="129">
        <f t="shared" si="41"/>
        <v>1.76</v>
      </c>
      <c r="R147" s="129">
        <f t="shared" si="41"/>
        <v>1.76</v>
      </c>
      <c r="S147" s="129">
        <f t="shared" si="41"/>
        <v>1.76</v>
      </c>
      <c r="T147" s="129">
        <f t="shared" ref="T147:AF148" si="42">S147</f>
        <v>1.76</v>
      </c>
      <c r="U147" s="129">
        <f t="shared" si="42"/>
        <v>1.76</v>
      </c>
      <c r="V147" s="129">
        <f t="shared" si="42"/>
        <v>1.76</v>
      </c>
      <c r="W147" s="129">
        <f t="shared" si="42"/>
        <v>1.76</v>
      </c>
      <c r="X147" s="129">
        <f t="shared" si="42"/>
        <v>1.76</v>
      </c>
      <c r="Y147" s="129">
        <f t="shared" si="42"/>
        <v>1.76</v>
      </c>
      <c r="Z147" s="129">
        <f t="shared" si="42"/>
        <v>1.76</v>
      </c>
      <c r="AA147" s="129">
        <f t="shared" si="42"/>
        <v>1.76</v>
      </c>
      <c r="AB147" s="129">
        <f t="shared" si="42"/>
        <v>1.76</v>
      </c>
      <c r="AC147" s="129">
        <f t="shared" si="42"/>
        <v>1.76</v>
      </c>
      <c r="AD147" s="129">
        <f t="shared" si="42"/>
        <v>1.76</v>
      </c>
      <c r="AE147" s="129">
        <f t="shared" si="42"/>
        <v>1.76</v>
      </c>
      <c r="AF147" s="129">
        <f t="shared" si="42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41"/>
        <v>0</v>
      </c>
      <c r="E148" s="129">
        <f t="shared" si="41"/>
        <v>0</v>
      </c>
      <c r="F148" s="129">
        <f t="shared" si="41"/>
        <v>0</v>
      </c>
      <c r="G148" s="129">
        <f t="shared" si="41"/>
        <v>0</v>
      </c>
      <c r="H148" s="129">
        <f t="shared" si="41"/>
        <v>0</v>
      </c>
      <c r="I148" s="129">
        <f t="shared" si="41"/>
        <v>0</v>
      </c>
      <c r="J148" s="129">
        <f t="shared" si="41"/>
        <v>0</v>
      </c>
      <c r="K148" s="129">
        <f t="shared" si="41"/>
        <v>0</v>
      </c>
      <c r="L148" s="129">
        <f t="shared" si="41"/>
        <v>0</v>
      </c>
      <c r="M148" s="129">
        <f t="shared" si="41"/>
        <v>0</v>
      </c>
      <c r="N148" s="129">
        <f t="shared" si="41"/>
        <v>0</v>
      </c>
      <c r="O148" s="129">
        <f t="shared" si="41"/>
        <v>0</v>
      </c>
      <c r="P148" s="129">
        <f t="shared" si="41"/>
        <v>0</v>
      </c>
      <c r="Q148" s="129">
        <f t="shared" si="41"/>
        <v>0</v>
      </c>
      <c r="R148" s="129">
        <f t="shared" si="41"/>
        <v>0</v>
      </c>
      <c r="S148" s="129">
        <f t="shared" si="41"/>
        <v>0</v>
      </c>
      <c r="T148" s="129">
        <f t="shared" si="42"/>
        <v>0</v>
      </c>
      <c r="U148" s="129">
        <f t="shared" si="42"/>
        <v>0</v>
      </c>
      <c r="V148" s="129">
        <f t="shared" si="42"/>
        <v>0</v>
      </c>
      <c r="W148" s="129">
        <f t="shared" si="42"/>
        <v>0</v>
      </c>
      <c r="X148" s="129">
        <f t="shared" si="42"/>
        <v>0</v>
      </c>
      <c r="Y148" s="129">
        <f t="shared" si="42"/>
        <v>0</v>
      </c>
      <c r="Z148" s="129">
        <f t="shared" si="42"/>
        <v>0</v>
      </c>
      <c r="AA148" s="129">
        <f t="shared" si="42"/>
        <v>0</v>
      </c>
      <c r="AB148" s="129">
        <f t="shared" si="42"/>
        <v>0</v>
      </c>
      <c r="AC148" s="129">
        <f t="shared" si="42"/>
        <v>0</v>
      </c>
      <c r="AD148" s="129">
        <f t="shared" si="42"/>
        <v>0</v>
      </c>
      <c r="AE148" s="129">
        <f t="shared" si="42"/>
        <v>0</v>
      </c>
      <c r="AF148" s="129">
        <f t="shared" si="42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3">C150</f>
        <v>0.1</v>
      </c>
      <c r="E150" s="129">
        <f t="shared" si="43"/>
        <v>0.1</v>
      </c>
      <c r="F150" s="129">
        <f t="shared" si="43"/>
        <v>0.1</v>
      </c>
      <c r="G150" s="129">
        <f t="shared" si="43"/>
        <v>0.1</v>
      </c>
      <c r="H150" s="129">
        <f t="shared" si="43"/>
        <v>0.1</v>
      </c>
      <c r="I150" s="129">
        <f t="shared" si="43"/>
        <v>0.1</v>
      </c>
      <c r="J150" s="129">
        <f t="shared" si="43"/>
        <v>0.1</v>
      </c>
      <c r="K150" s="129">
        <f t="shared" si="43"/>
        <v>0.1</v>
      </c>
      <c r="L150" s="129">
        <f t="shared" si="43"/>
        <v>0.1</v>
      </c>
      <c r="M150" s="129">
        <f t="shared" si="43"/>
        <v>0.1</v>
      </c>
      <c r="N150" s="129">
        <f t="shared" si="43"/>
        <v>0.1</v>
      </c>
      <c r="O150" s="129">
        <f t="shared" si="43"/>
        <v>0.1</v>
      </c>
      <c r="P150" s="129">
        <f t="shared" si="43"/>
        <v>0.1</v>
      </c>
      <c r="Q150" s="129">
        <f t="shared" si="43"/>
        <v>0.1</v>
      </c>
      <c r="R150" s="129">
        <f t="shared" si="43"/>
        <v>0.1</v>
      </c>
      <c r="S150" s="129">
        <f t="shared" si="43"/>
        <v>0.1</v>
      </c>
      <c r="T150" s="129">
        <f t="shared" ref="T150:AF153" si="44">S150</f>
        <v>0.1</v>
      </c>
      <c r="U150" s="129">
        <f t="shared" si="44"/>
        <v>0.1</v>
      </c>
      <c r="V150" s="129">
        <f t="shared" si="44"/>
        <v>0.1</v>
      </c>
      <c r="W150" s="129">
        <f t="shared" si="44"/>
        <v>0.1</v>
      </c>
      <c r="X150" s="129">
        <f t="shared" si="44"/>
        <v>0.1</v>
      </c>
      <c r="Y150" s="129">
        <f t="shared" si="44"/>
        <v>0.1</v>
      </c>
      <c r="Z150" s="129">
        <f t="shared" si="44"/>
        <v>0.1</v>
      </c>
      <c r="AA150" s="129">
        <f t="shared" si="44"/>
        <v>0.1</v>
      </c>
      <c r="AB150" s="129">
        <f t="shared" si="44"/>
        <v>0.1</v>
      </c>
      <c r="AC150" s="129">
        <f t="shared" si="44"/>
        <v>0.1</v>
      </c>
      <c r="AD150" s="129">
        <f t="shared" si="44"/>
        <v>0.1</v>
      </c>
      <c r="AE150" s="129">
        <f t="shared" si="44"/>
        <v>0.1</v>
      </c>
      <c r="AF150" s="129">
        <f t="shared" si="44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3"/>
        <v>2.0499999999999998</v>
      </c>
      <c r="E151" s="129">
        <f t="shared" si="43"/>
        <v>2.0499999999999998</v>
      </c>
      <c r="F151" s="129">
        <f t="shared" si="43"/>
        <v>2.0499999999999998</v>
      </c>
      <c r="G151" s="129">
        <f t="shared" si="43"/>
        <v>2.0499999999999998</v>
      </c>
      <c r="H151" s="129">
        <f t="shared" si="43"/>
        <v>2.0499999999999998</v>
      </c>
      <c r="I151" s="129">
        <f t="shared" si="43"/>
        <v>2.0499999999999998</v>
      </c>
      <c r="J151" s="129">
        <f t="shared" si="43"/>
        <v>2.0499999999999998</v>
      </c>
      <c r="K151" s="129">
        <f t="shared" si="43"/>
        <v>2.0499999999999998</v>
      </c>
      <c r="L151" s="129">
        <f t="shared" si="43"/>
        <v>2.0499999999999998</v>
      </c>
      <c r="M151" s="129">
        <f t="shared" si="43"/>
        <v>2.0499999999999998</v>
      </c>
      <c r="N151" s="129">
        <f t="shared" si="43"/>
        <v>2.0499999999999998</v>
      </c>
      <c r="O151" s="129">
        <f t="shared" si="43"/>
        <v>2.0499999999999998</v>
      </c>
      <c r="P151" s="129">
        <f t="shared" si="43"/>
        <v>2.0499999999999998</v>
      </c>
      <c r="Q151" s="129">
        <f t="shared" si="43"/>
        <v>2.0499999999999998</v>
      </c>
      <c r="R151" s="129">
        <f t="shared" si="43"/>
        <v>2.0499999999999998</v>
      </c>
      <c r="S151" s="129">
        <f t="shared" si="43"/>
        <v>2.0499999999999998</v>
      </c>
      <c r="T151" s="129">
        <f t="shared" si="44"/>
        <v>2.0499999999999998</v>
      </c>
      <c r="U151" s="129">
        <f t="shared" si="44"/>
        <v>2.0499999999999998</v>
      </c>
      <c r="V151" s="129">
        <f t="shared" si="44"/>
        <v>2.0499999999999998</v>
      </c>
      <c r="W151" s="129">
        <f t="shared" si="44"/>
        <v>2.0499999999999998</v>
      </c>
      <c r="X151" s="129">
        <f t="shared" si="44"/>
        <v>2.0499999999999998</v>
      </c>
      <c r="Y151" s="129">
        <f t="shared" si="44"/>
        <v>2.0499999999999998</v>
      </c>
      <c r="Z151" s="129">
        <f t="shared" si="44"/>
        <v>2.0499999999999998</v>
      </c>
      <c r="AA151" s="129">
        <f t="shared" si="44"/>
        <v>2.0499999999999998</v>
      </c>
      <c r="AB151" s="129">
        <f t="shared" si="44"/>
        <v>2.0499999999999998</v>
      </c>
      <c r="AC151" s="129">
        <f t="shared" si="44"/>
        <v>2.0499999999999998</v>
      </c>
      <c r="AD151" s="129">
        <f t="shared" si="44"/>
        <v>2.0499999999999998</v>
      </c>
      <c r="AE151" s="129">
        <f t="shared" si="44"/>
        <v>2.0499999999999998</v>
      </c>
      <c r="AF151" s="129">
        <f t="shared" si="44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3"/>
        <v>2.7</v>
      </c>
      <c r="E152" s="129">
        <f t="shared" si="43"/>
        <v>2.7</v>
      </c>
      <c r="F152" s="129">
        <f t="shared" si="43"/>
        <v>2.7</v>
      </c>
      <c r="G152" s="129">
        <f t="shared" si="43"/>
        <v>2.7</v>
      </c>
      <c r="H152" s="129">
        <f t="shared" si="43"/>
        <v>2.7</v>
      </c>
      <c r="I152" s="129">
        <f t="shared" si="43"/>
        <v>2.7</v>
      </c>
      <c r="J152" s="129">
        <f t="shared" si="43"/>
        <v>2.7</v>
      </c>
      <c r="K152" s="129">
        <f t="shared" si="43"/>
        <v>2.7</v>
      </c>
      <c r="L152" s="129">
        <f t="shared" si="43"/>
        <v>2.7</v>
      </c>
      <c r="M152" s="129">
        <f t="shared" si="43"/>
        <v>2.7</v>
      </c>
      <c r="N152" s="129">
        <f t="shared" si="43"/>
        <v>2.7</v>
      </c>
      <c r="O152" s="129">
        <f t="shared" si="43"/>
        <v>2.7</v>
      </c>
      <c r="P152" s="129">
        <f t="shared" si="43"/>
        <v>2.7</v>
      </c>
      <c r="Q152" s="129">
        <f t="shared" si="43"/>
        <v>2.7</v>
      </c>
      <c r="R152" s="129">
        <f t="shared" si="43"/>
        <v>2.7</v>
      </c>
      <c r="S152" s="129">
        <f t="shared" si="43"/>
        <v>2.7</v>
      </c>
      <c r="T152" s="129">
        <f t="shared" si="44"/>
        <v>2.7</v>
      </c>
      <c r="U152" s="129">
        <f t="shared" si="44"/>
        <v>2.7</v>
      </c>
      <c r="V152" s="129">
        <f t="shared" si="44"/>
        <v>2.7</v>
      </c>
      <c r="W152" s="129">
        <f t="shared" si="44"/>
        <v>2.7</v>
      </c>
      <c r="X152" s="129">
        <f t="shared" si="44"/>
        <v>2.7</v>
      </c>
      <c r="Y152" s="129">
        <f t="shared" si="44"/>
        <v>2.7</v>
      </c>
      <c r="Z152" s="129">
        <f t="shared" si="44"/>
        <v>2.7</v>
      </c>
      <c r="AA152" s="129">
        <f t="shared" si="44"/>
        <v>2.7</v>
      </c>
      <c r="AB152" s="129">
        <f t="shared" si="44"/>
        <v>2.7</v>
      </c>
      <c r="AC152" s="129">
        <f t="shared" si="44"/>
        <v>2.7</v>
      </c>
      <c r="AD152" s="129">
        <f t="shared" si="44"/>
        <v>2.7</v>
      </c>
      <c r="AE152" s="129">
        <f t="shared" si="44"/>
        <v>2.7</v>
      </c>
      <c r="AF152" s="129">
        <f t="shared" si="44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3"/>
        <v>2.15</v>
      </c>
      <c r="E153" s="129">
        <f t="shared" si="43"/>
        <v>2.15</v>
      </c>
      <c r="F153" s="129">
        <f t="shared" si="43"/>
        <v>2.15</v>
      </c>
      <c r="G153" s="129">
        <f t="shared" si="43"/>
        <v>2.15</v>
      </c>
      <c r="H153" s="129">
        <f t="shared" si="43"/>
        <v>2.15</v>
      </c>
      <c r="I153" s="129">
        <f t="shared" si="43"/>
        <v>2.15</v>
      </c>
      <c r="J153" s="129">
        <f t="shared" si="43"/>
        <v>2.15</v>
      </c>
      <c r="K153" s="129">
        <f t="shared" si="43"/>
        <v>2.15</v>
      </c>
      <c r="L153" s="129">
        <f t="shared" si="43"/>
        <v>2.15</v>
      </c>
      <c r="M153" s="129">
        <f t="shared" si="43"/>
        <v>2.15</v>
      </c>
      <c r="N153" s="129">
        <f t="shared" si="43"/>
        <v>2.15</v>
      </c>
      <c r="O153" s="129">
        <f t="shared" si="43"/>
        <v>2.15</v>
      </c>
      <c r="P153" s="129">
        <f t="shared" si="43"/>
        <v>2.15</v>
      </c>
      <c r="Q153" s="129">
        <f t="shared" si="43"/>
        <v>2.15</v>
      </c>
      <c r="R153" s="129">
        <f t="shared" si="43"/>
        <v>2.15</v>
      </c>
      <c r="S153" s="129">
        <f t="shared" si="43"/>
        <v>2.15</v>
      </c>
      <c r="T153" s="129">
        <f t="shared" si="44"/>
        <v>2.15</v>
      </c>
      <c r="U153" s="129">
        <f t="shared" si="44"/>
        <v>2.15</v>
      </c>
      <c r="V153" s="129">
        <f t="shared" si="44"/>
        <v>2.15</v>
      </c>
      <c r="W153" s="129">
        <f t="shared" si="44"/>
        <v>2.15</v>
      </c>
      <c r="X153" s="129">
        <f t="shared" si="44"/>
        <v>2.15</v>
      </c>
      <c r="Y153" s="129">
        <f t="shared" si="44"/>
        <v>2.15</v>
      </c>
      <c r="Z153" s="129">
        <f t="shared" si="44"/>
        <v>2.15</v>
      </c>
      <c r="AA153" s="129">
        <f t="shared" si="44"/>
        <v>2.15</v>
      </c>
      <c r="AB153" s="129">
        <f t="shared" si="44"/>
        <v>2.15</v>
      </c>
      <c r="AC153" s="129">
        <f t="shared" si="44"/>
        <v>2.15</v>
      </c>
      <c r="AD153" s="129">
        <f t="shared" si="44"/>
        <v>2.15</v>
      </c>
      <c r="AE153" s="129">
        <f t="shared" si="44"/>
        <v>2.15</v>
      </c>
      <c r="AF153" s="129">
        <f t="shared" si="44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5">AF155</f>
        <v>0.9</v>
      </c>
      <c r="C155" s="130">
        <v>0.9</v>
      </c>
      <c r="D155" s="129">
        <f t="shared" ref="D155:S167" si="46">C155</f>
        <v>0.9</v>
      </c>
      <c r="E155" s="129">
        <f t="shared" si="46"/>
        <v>0.9</v>
      </c>
      <c r="F155" s="129">
        <f t="shared" si="46"/>
        <v>0.9</v>
      </c>
      <c r="G155" s="129">
        <f t="shared" si="46"/>
        <v>0.9</v>
      </c>
      <c r="H155" s="129">
        <f t="shared" si="46"/>
        <v>0.9</v>
      </c>
      <c r="I155" s="129">
        <f t="shared" si="46"/>
        <v>0.9</v>
      </c>
      <c r="J155" s="129">
        <f t="shared" si="46"/>
        <v>0.9</v>
      </c>
      <c r="K155" s="129">
        <f t="shared" si="46"/>
        <v>0.9</v>
      </c>
      <c r="L155" s="129">
        <f t="shared" si="46"/>
        <v>0.9</v>
      </c>
      <c r="M155" s="129">
        <f t="shared" si="46"/>
        <v>0.9</v>
      </c>
      <c r="N155" s="129">
        <f t="shared" si="46"/>
        <v>0.9</v>
      </c>
      <c r="O155" s="129">
        <f t="shared" si="46"/>
        <v>0.9</v>
      </c>
      <c r="P155" s="129">
        <f t="shared" si="46"/>
        <v>0.9</v>
      </c>
      <c r="Q155" s="129">
        <f t="shared" si="46"/>
        <v>0.9</v>
      </c>
      <c r="R155" s="129">
        <f t="shared" si="46"/>
        <v>0.9</v>
      </c>
      <c r="S155" s="129">
        <f t="shared" si="46"/>
        <v>0.9</v>
      </c>
      <c r="T155" s="129">
        <f t="shared" ref="S155:AF167" si="47">S155</f>
        <v>0.9</v>
      </c>
      <c r="U155" s="129">
        <f t="shared" si="47"/>
        <v>0.9</v>
      </c>
      <c r="V155" s="129">
        <f t="shared" si="47"/>
        <v>0.9</v>
      </c>
      <c r="W155" s="129">
        <f t="shared" si="47"/>
        <v>0.9</v>
      </c>
      <c r="X155" s="129">
        <f t="shared" si="47"/>
        <v>0.9</v>
      </c>
      <c r="Y155" s="129">
        <f t="shared" si="47"/>
        <v>0.9</v>
      </c>
      <c r="Z155" s="129">
        <f t="shared" si="47"/>
        <v>0.9</v>
      </c>
      <c r="AA155" s="129">
        <f t="shared" si="47"/>
        <v>0.9</v>
      </c>
      <c r="AB155" s="129">
        <f t="shared" si="47"/>
        <v>0.9</v>
      </c>
      <c r="AC155" s="129">
        <f t="shared" si="47"/>
        <v>0.9</v>
      </c>
      <c r="AD155" s="129">
        <f t="shared" si="47"/>
        <v>0.9</v>
      </c>
      <c r="AE155" s="129">
        <f t="shared" si="47"/>
        <v>0.9</v>
      </c>
      <c r="AF155" s="129">
        <f t="shared" si="47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5"/>
        <v>1.08</v>
      </c>
      <c r="C156" s="130">
        <v>1.08</v>
      </c>
      <c r="D156" s="129">
        <f t="shared" si="46"/>
        <v>1.08</v>
      </c>
      <c r="E156" s="129">
        <f t="shared" si="46"/>
        <v>1.08</v>
      </c>
      <c r="F156" s="129">
        <f t="shared" si="46"/>
        <v>1.08</v>
      </c>
      <c r="G156" s="129">
        <f t="shared" si="46"/>
        <v>1.08</v>
      </c>
      <c r="H156" s="129">
        <f t="shared" si="46"/>
        <v>1.08</v>
      </c>
      <c r="I156" s="129">
        <f t="shared" si="46"/>
        <v>1.08</v>
      </c>
      <c r="J156" s="129">
        <f t="shared" si="46"/>
        <v>1.08</v>
      </c>
      <c r="K156" s="129">
        <f t="shared" si="46"/>
        <v>1.08</v>
      </c>
      <c r="L156" s="129">
        <f t="shared" si="46"/>
        <v>1.08</v>
      </c>
      <c r="M156" s="129">
        <f t="shared" si="46"/>
        <v>1.08</v>
      </c>
      <c r="N156" s="129">
        <f t="shared" si="46"/>
        <v>1.08</v>
      </c>
      <c r="O156" s="129">
        <f t="shared" si="46"/>
        <v>1.08</v>
      </c>
      <c r="P156" s="129">
        <f t="shared" si="46"/>
        <v>1.08</v>
      </c>
      <c r="Q156" s="129">
        <f t="shared" si="46"/>
        <v>1.08</v>
      </c>
      <c r="R156" s="129">
        <f t="shared" si="46"/>
        <v>1.08</v>
      </c>
      <c r="S156" s="129">
        <f t="shared" si="46"/>
        <v>1.08</v>
      </c>
      <c r="T156" s="129">
        <f t="shared" si="47"/>
        <v>1.08</v>
      </c>
      <c r="U156" s="129">
        <f t="shared" si="47"/>
        <v>1.08</v>
      </c>
      <c r="V156" s="129">
        <f t="shared" si="47"/>
        <v>1.08</v>
      </c>
      <c r="W156" s="129">
        <f t="shared" si="47"/>
        <v>1.08</v>
      </c>
      <c r="X156" s="129">
        <f t="shared" si="47"/>
        <v>1.08</v>
      </c>
      <c r="Y156" s="129">
        <f t="shared" si="47"/>
        <v>1.08</v>
      </c>
      <c r="Z156" s="129">
        <f t="shared" si="47"/>
        <v>1.08</v>
      </c>
      <c r="AA156" s="129">
        <f t="shared" si="47"/>
        <v>1.08</v>
      </c>
      <c r="AB156" s="129">
        <f t="shared" si="47"/>
        <v>1.08</v>
      </c>
      <c r="AC156" s="129">
        <f t="shared" si="47"/>
        <v>1.08</v>
      </c>
      <c r="AD156" s="129">
        <f t="shared" si="47"/>
        <v>1.08</v>
      </c>
      <c r="AE156" s="129">
        <f t="shared" si="47"/>
        <v>1.08</v>
      </c>
      <c r="AF156" s="129">
        <f t="shared" si="47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5"/>
        <v>2.37</v>
      </c>
      <c r="C157" s="130">
        <v>2.37</v>
      </c>
      <c r="D157" s="129">
        <f t="shared" si="46"/>
        <v>2.37</v>
      </c>
      <c r="E157" s="129">
        <f t="shared" si="46"/>
        <v>2.37</v>
      </c>
      <c r="F157" s="129">
        <f t="shared" si="46"/>
        <v>2.37</v>
      </c>
      <c r="G157" s="129">
        <f t="shared" si="46"/>
        <v>2.37</v>
      </c>
      <c r="H157" s="129">
        <f t="shared" si="46"/>
        <v>2.37</v>
      </c>
      <c r="I157" s="129">
        <f t="shared" si="46"/>
        <v>2.37</v>
      </c>
      <c r="J157" s="129">
        <f t="shared" si="46"/>
        <v>2.37</v>
      </c>
      <c r="K157" s="129">
        <f t="shared" si="46"/>
        <v>2.37</v>
      </c>
      <c r="L157" s="129">
        <f t="shared" si="46"/>
        <v>2.37</v>
      </c>
      <c r="M157" s="129">
        <f t="shared" si="46"/>
        <v>2.37</v>
      </c>
      <c r="N157" s="129">
        <f t="shared" si="46"/>
        <v>2.37</v>
      </c>
      <c r="O157" s="129">
        <f t="shared" si="46"/>
        <v>2.37</v>
      </c>
      <c r="P157" s="129">
        <f t="shared" si="46"/>
        <v>2.37</v>
      </c>
      <c r="Q157" s="129">
        <f t="shared" si="46"/>
        <v>2.37</v>
      </c>
      <c r="R157" s="129">
        <f t="shared" si="46"/>
        <v>2.37</v>
      </c>
      <c r="S157" s="129">
        <f t="shared" si="46"/>
        <v>2.37</v>
      </c>
      <c r="T157" s="129">
        <f t="shared" si="47"/>
        <v>2.37</v>
      </c>
      <c r="U157" s="129">
        <f t="shared" si="47"/>
        <v>2.37</v>
      </c>
      <c r="V157" s="129">
        <f t="shared" si="47"/>
        <v>2.37</v>
      </c>
      <c r="W157" s="129">
        <f t="shared" si="47"/>
        <v>2.37</v>
      </c>
      <c r="X157" s="129">
        <f t="shared" si="47"/>
        <v>2.37</v>
      </c>
      <c r="Y157" s="129">
        <f t="shared" si="47"/>
        <v>2.37</v>
      </c>
      <c r="Z157" s="129">
        <f t="shared" si="47"/>
        <v>2.37</v>
      </c>
      <c r="AA157" s="129">
        <f t="shared" si="47"/>
        <v>2.37</v>
      </c>
      <c r="AB157" s="129">
        <f t="shared" si="47"/>
        <v>2.37</v>
      </c>
      <c r="AC157" s="129">
        <f t="shared" si="47"/>
        <v>2.37</v>
      </c>
      <c r="AD157" s="129">
        <f t="shared" si="47"/>
        <v>2.37</v>
      </c>
      <c r="AE157" s="129">
        <f t="shared" si="47"/>
        <v>2.37</v>
      </c>
      <c r="AF157" s="129">
        <f t="shared" si="47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5"/>
        <v>1.81</v>
      </c>
      <c r="C158" s="130">
        <v>1.81</v>
      </c>
      <c r="D158" s="129">
        <f t="shared" si="46"/>
        <v>1.81</v>
      </c>
      <c r="E158" s="129">
        <f t="shared" si="46"/>
        <v>1.81</v>
      </c>
      <c r="F158" s="129">
        <f t="shared" si="46"/>
        <v>1.81</v>
      </c>
      <c r="G158" s="129">
        <f t="shared" si="46"/>
        <v>1.81</v>
      </c>
      <c r="H158" s="129">
        <f t="shared" si="46"/>
        <v>1.81</v>
      </c>
      <c r="I158" s="129">
        <f t="shared" si="46"/>
        <v>1.81</v>
      </c>
      <c r="J158" s="129">
        <f t="shared" si="46"/>
        <v>1.81</v>
      </c>
      <c r="K158" s="129">
        <f t="shared" si="46"/>
        <v>1.81</v>
      </c>
      <c r="L158" s="129">
        <f t="shared" si="46"/>
        <v>1.81</v>
      </c>
      <c r="M158" s="129">
        <f t="shared" si="46"/>
        <v>1.81</v>
      </c>
      <c r="N158" s="129">
        <f t="shared" si="46"/>
        <v>1.81</v>
      </c>
      <c r="O158" s="129">
        <f t="shared" si="46"/>
        <v>1.81</v>
      </c>
      <c r="P158" s="129">
        <f t="shared" si="46"/>
        <v>1.81</v>
      </c>
      <c r="Q158" s="129">
        <f t="shared" si="46"/>
        <v>1.81</v>
      </c>
      <c r="R158" s="129">
        <f t="shared" si="46"/>
        <v>1.81</v>
      </c>
      <c r="S158" s="129">
        <f t="shared" si="46"/>
        <v>1.81</v>
      </c>
      <c r="T158" s="129">
        <f t="shared" si="47"/>
        <v>1.81</v>
      </c>
      <c r="U158" s="129">
        <f t="shared" si="47"/>
        <v>1.81</v>
      </c>
      <c r="V158" s="129">
        <f t="shared" si="47"/>
        <v>1.81</v>
      </c>
      <c r="W158" s="129">
        <f t="shared" si="47"/>
        <v>1.81</v>
      </c>
      <c r="X158" s="129">
        <f t="shared" si="47"/>
        <v>1.81</v>
      </c>
      <c r="Y158" s="129">
        <f t="shared" si="47"/>
        <v>1.81</v>
      </c>
      <c r="Z158" s="129">
        <f t="shared" si="47"/>
        <v>1.81</v>
      </c>
      <c r="AA158" s="129">
        <f t="shared" si="47"/>
        <v>1.81</v>
      </c>
      <c r="AB158" s="129">
        <f t="shared" si="47"/>
        <v>1.81</v>
      </c>
      <c r="AC158" s="129">
        <f t="shared" si="47"/>
        <v>1.81</v>
      </c>
      <c r="AD158" s="129">
        <f t="shared" si="47"/>
        <v>1.81</v>
      </c>
      <c r="AE158" s="129">
        <f t="shared" si="47"/>
        <v>1.81</v>
      </c>
      <c r="AF158" s="129">
        <f t="shared" si="47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5"/>
        <v>1.0900000000000001</v>
      </c>
      <c r="C159" s="130">
        <v>1.0900000000000001</v>
      </c>
      <c r="D159" s="129">
        <f t="shared" si="46"/>
        <v>1.0900000000000001</v>
      </c>
      <c r="E159" s="129">
        <f t="shared" si="46"/>
        <v>1.0900000000000001</v>
      </c>
      <c r="F159" s="129">
        <f t="shared" si="46"/>
        <v>1.0900000000000001</v>
      </c>
      <c r="G159" s="129">
        <f t="shared" si="46"/>
        <v>1.0900000000000001</v>
      </c>
      <c r="H159" s="129">
        <f t="shared" si="46"/>
        <v>1.0900000000000001</v>
      </c>
      <c r="I159" s="129">
        <f t="shared" si="46"/>
        <v>1.0900000000000001</v>
      </c>
      <c r="J159" s="129">
        <f t="shared" si="46"/>
        <v>1.0900000000000001</v>
      </c>
      <c r="K159" s="129">
        <f t="shared" si="46"/>
        <v>1.0900000000000001</v>
      </c>
      <c r="L159" s="129">
        <f t="shared" si="46"/>
        <v>1.0900000000000001</v>
      </c>
      <c r="M159" s="129">
        <f t="shared" si="46"/>
        <v>1.0900000000000001</v>
      </c>
      <c r="N159" s="129">
        <f t="shared" si="46"/>
        <v>1.0900000000000001</v>
      </c>
      <c r="O159" s="129">
        <f t="shared" si="46"/>
        <v>1.0900000000000001</v>
      </c>
      <c r="P159" s="129">
        <f t="shared" si="46"/>
        <v>1.0900000000000001</v>
      </c>
      <c r="Q159" s="129">
        <f t="shared" si="46"/>
        <v>1.0900000000000001</v>
      </c>
      <c r="R159" s="129">
        <f t="shared" si="46"/>
        <v>1.0900000000000001</v>
      </c>
      <c r="S159" s="129">
        <f t="shared" si="46"/>
        <v>1.0900000000000001</v>
      </c>
      <c r="T159" s="129">
        <f t="shared" si="47"/>
        <v>1.0900000000000001</v>
      </c>
      <c r="U159" s="129">
        <f t="shared" si="47"/>
        <v>1.0900000000000001</v>
      </c>
      <c r="V159" s="129">
        <f t="shared" si="47"/>
        <v>1.0900000000000001</v>
      </c>
      <c r="W159" s="129">
        <f t="shared" si="47"/>
        <v>1.0900000000000001</v>
      </c>
      <c r="X159" s="129">
        <f t="shared" si="47"/>
        <v>1.0900000000000001</v>
      </c>
      <c r="Y159" s="129">
        <f t="shared" si="47"/>
        <v>1.0900000000000001</v>
      </c>
      <c r="Z159" s="129">
        <f t="shared" si="47"/>
        <v>1.0900000000000001</v>
      </c>
      <c r="AA159" s="129">
        <f t="shared" si="47"/>
        <v>1.0900000000000001</v>
      </c>
      <c r="AB159" s="129">
        <f t="shared" si="47"/>
        <v>1.0900000000000001</v>
      </c>
      <c r="AC159" s="129">
        <f t="shared" si="47"/>
        <v>1.0900000000000001</v>
      </c>
      <c r="AD159" s="129">
        <f t="shared" si="47"/>
        <v>1.0900000000000001</v>
      </c>
      <c r="AE159" s="129">
        <f t="shared" si="47"/>
        <v>1.0900000000000001</v>
      </c>
      <c r="AF159" s="129">
        <f t="shared" si="47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5"/>
        <v>1.58</v>
      </c>
      <c r="C160" s="130">
        <v>1.58</v>
      </c>
      <c r="D160" s="129">
        <f t="shared" si="46"/>
        <v>1.58</v>
      </c>
      <c r="E160" s="129">
        <f t="shared" si="46"/>
        <v>1.58</v>
      </c>
      <c r="F160" s="129">
        <f t="shared" si="46"/>
        <v>1.58</v>
      </c>
      <c r="G160" s="129">
        <f t="shared" si="46"/>
        <v>1.58</v>
      </c>
      <c r="H160" s="129">
        <f t="shared" si="46"/>
        <v>1.58</v>
      </c>
      <c r="I160" s="129">
        <f t="shared" si="46"/>
        <v>1.58</v>
      </c>
      <c r="J160" s="129">
        <f t="shared" si="46"/>
        <v>1.58</v>
      </c>
      <c r="K160" s="129">
        <f t="shared" si="46"/>
        <v>1.58</v>
      </c>
      <c r="L160" s="129">
        <f t="shared" si="46"/>
        <v>1.58</v>
      </c>
      <c r="M160" s="129">
        <f t="shared" si="46"/>
        <v>1.58</v>
      </c>
      <c r="N160" s="129">
        <f t="shared" si="46"/>
        <v>1.58</v>
      </c>
      <c r="O160" s="129">
        <f t="shared" si="46"/>
        <v>1.58</v>
      </c>
      <c r="P160" s="129">
        <f t="shared" si="46"/>
        <v>1.58</v>
      </c>
      <c r="Q160" s="129">
        <f t="shared" si="46"/>
        <v>1.58</v>
      </c>
      <c r="R160" s="129">
        <f t="shared" si="46"/>
        <v>1.58</v>
      </c>
      <c r="S160" s="129">
        <f t="shared" si="46"/>
        <v>1.58</v>
      </c>
      <c r="T160" s="129">
        <f t="shared" si="47"/>
        <v>1.58</v>
      </c>
      <c r="U160" s="129">
        <f t="shared" si="47"/>
        <v>1.58</v>
      </c>
      <c r="V160" s="129">
        <f t="shared" si="47"/>
        <v>1.58</v>
      </c>
      <c r="W160" s="129">
        <f t="shared" si="47"/>
        <v>1.58</v>
      </c>
      <c r="X160" s="129">
        <f t="shared" si="47"/>
        <v>1.58</v>
      </c>
      <c r="Y160" s="129">
        <f t="shared" si="47"/>
        <v>1.58</v>
      </c>
      <c r="Z160" s="129">
        <f t="shared" si="47"/>
        <v>1.58</v>
      </c>
      <c r="AA160" s="129">
        <f t="shared" si="47"/>
        <v>1.58</v>
      </c>
      <c r="AB160" s="129">
        <f t="shared" si="47"/>
        <v>1.58</v>
      </c>
      <c r="AC160" s="129">
        <f t="shared" si="47"/>
        <v>1.58</v>
      </c>
      <c r="AD160" s="129">
        <f t="shared" si="47"/>
        <v>1.58</v>
      </c>
      <c r="AE160" s="129">
        <f t="shared" si="47"/>
        <v>1.58</v>
      </c>
      <c r="AF160" s="129">
        <f t="shared" si="47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5"/>
        <v>2</v>
      </c>
      <c r="C161" s="130">
        <v>2</v>
      </c>
      <c r="D161" s="129">
        <f t="shared" si="46"/>
        <v>2</v>
      </c>
      <c r="E161" s="129">
        <f t="shared" si="46"/>
        <v>2</v>
      </c>
      <c r="F161" s="129">
        <f t="shared" si="46"/>
        <v>2</v>
      </c>
      <c r="G161" s="129">
        <f t="shared" si="46"/>
        <v>2</v>
      </c>
      <c r="H161" s="129">
        <f t="shared" si="46"/>
        <v>2</v>
      </c>
      <c r="I161" s="129">
        <f t="shared" si="46"/>
        <v>2</v>
      </c>
      <c r="J161" s="129">
        <f t="shared" si="46"/>
        <v>2</v>
      </c>
      <c r="K161" s="129">
        <f t="shared" si="46"/>
        <v>2</v>
      </c>
      <c r="L161" s="129">
        <f t="shared" si="46"/>
        <v>2</v>
      </c>
      <c r="M161" s="129">
        <f t="shared" si="46"/>
        <v>2</v>
      </c>
      <c r="N161" s="129">
        <f t="shared" si="46"/>
        <v>2</v>
      </c>
      <c r="O161" s="129">
        <f t="shared" si="46"/>
        <v>2</v>
      </c>
      <c r="P161" s="129">
        <f t="shared" si="46"/>
        <v>2</v>
      </c>
      <c r="Q161" s="129">
        <f t="shared" si="46"/>
        <v>2</v>
      </c>
      <c r="R161" s="129">
        <f t="shared" si="46"/>
        <v>2</v>
      </c>
      <c r="S161" s="129">
        <f t="shared" si="46"/>
        <v>2</v>
      </c>
      <c r="T161" s="129">
        <f t="shared" si="47"/>
        <v>2</v>
      </c>
      <c r="U161" s="129">
        <f t="shared" si="47"/>
        <v>2</v>
      </c>
      <c r="V161" s="129">
        <f t="shared" si="47"/>
        <v>2</v>
      </c>
      <c r="W161" s="129">
        <f t="shared" si="47"/>
        <v>2</v>
      </c>
      <c r="X161" s="129">
        <f t="shared" si="47"/>
        <v>2</v>
      </c>
      <c r="Y161" s="129">
        <f t="shared" si="47"/>
        <v>2</v>
      </c>
      <c r="Z161" s="129">
        <f t="shared" si="47"/>
        <v>2</v>
      </c>
      <c r="AA161" s="129">
        <f t="shared" si="47"/>
        <v>2</v>
      </c>
      <c r="AB161" s="129">
        <f t="shared" si="47"/>
        <v>2</v>
      </c>
      <c r="AC161" s="129">
        <f t="shared" si="47"/>
        <v>2</v>
      </c>
      <c r="AD161" s="129">
        <f t="shared" si="47"/>
        <v>2</v>
      </c>
      <c r="AE161" s="129">
        <f t="shared" si="47"/>
        <v>2</v>
      </c>
      <c r="AF161" s="129">
        <f t="shared" si="47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5"/>
        <v>0.47</v>
      </c>
      <c r="C162" s="130">
        <v>0.47</v>
      </c>
      <c r="D162" s="129">
        <f t="shared" si="46"/>
        <v>0.47</v>
      </c>
      <c r="E162" s="129">
        <f t="shared" si="46"/>
        <v>0.47</v>
      </c>
      <c r="F162" s="129">
        <f t="shared" si="46"/>
        <v>0.47</v>
      </c>
      <c r="G162" s="129">
        <f t="shared" si="46"/>
        <v>0.47</v>
      </c>
      <c r="H162" s="129">
        <f t="shared" si="46"/>
        <v>0.47</v>
      </c>
      <c r="I162" s="129">
        <f t="shared" si="46"/>
        <v>0.47</v>
      </c>
      <c r="J162" s="129">
        <f t="shared" si="46"/>
        <v>0.47</v>
      </c>
      <c r="K162" s="129">
        <f t="shared" si="46"/>
        <v>0.47</v>
      </c>
      <c r="L162" s="129">
        <f t="shared" si="46"/>
        <v>0.47</v>
      </c>
      <c r="M162" s="129">
        <f t="shared" si="46"/>
        <v>0.47</v>
      </c>
      <c r="N162" s="129">
        <f t="shared" si="46"/>
        <v>0.47</v>
      </c>
      <c r="O162" s="129">
        <f t="shared" si="46"/>
        <v>0.47</v>
      </c>
      <c r="P162" s="129">
        <f t="shared" si="46"/>
        <v>0.47</v>
      </c>
      <c r="Q162" s="129">
        <f t="shared" si="46"/>
        <v>0.47</v>
      </c>
      <c r="R162" s="129">
        <f t="shared" si="46"/>
        <v>0.47</v>
      </c>
      <c r="S162" s="129">
        <f t="shared" si="46"/>
        <v>0.47</v>
      </c>
      <c r="T162" s="129">
        <f t="shared" si="47"/>
        <v>0.47</v>
      </c>
      <c r="U162" s="129">
        <f t="shared" si="47"/>
        <v>0.47</v>
      </c>
      <c r="V162" s="129">
        <f t="shared" si="47"/>
        <v>0.47</v>
      </c>
      <c r="W162" s="129">
        <f t="shared" si="47"/>
        <v>0.47</v>
      </c>
      <c r="X162" s="129">
        <f t="shared" si="47"/>
        <v>0.47</v>
      </c>
      <c r="Y162" s="129">
        <f t="shared" si="47"/>
        <v>0.47</v>
      </c>
      <c r="Z162" s="129">
        <f t="shared" si="47"/>
        <v>0.47</v>
      </c>
      <c r="AA162" s="129">
        <f t="shared" si="47"/>
        <v>0.47</v>
      </c>
      <c r="AB162" s="129">
        <f t="shared" si="47"/>
        <v>0.47</v>
      </c>
      <c r="AC162" s="129">
        <f t="shared" si="47"/>
        <v>0.47</v>
      </c>
      <c r="AD162" s="129">
        <f t="shared" si="47"/>
        <v>0.47</v>
      </c>
      <c r="AE162" s="129">
        <f t="shared" si="47"/>
        <v>0.47</v>
      </c>
      <c r="AF162" s="129">
        <f t="shared" si="47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5"/>
        <v>0</v>
      </c>
      <c r="C163" s="130">
        <v>0</v>
      </c>
      <c r="D163" s="129">
        <f t="shared" si="46"/>
        <v>0</v>
      </c>
      <c r="E163" s="129">
        <f t="shared" si="46"/>
        <v>0</v>
      </c>
      <c r="F163" s="129">
        <f t="shared" si="46"/>
        <v>0</v>
      </c>
      <c r="G163" s="129">
        <f t="shared" si="46"/>
        <v>0</v>
      </c>
      <c r="H163" s="129">
        <f t="shared" si="46"/>
        <v>0</v>
      </c>
      <c r="I163" s="129">
        <f t="shared" si="46"/>
        <v>0</v>
      </c>
      <c r="J163" s="129">
        <f t="shared" si="46"/>
        <v>0</v>
      </c>
      <c r="K163" s="129">
        <f t="shared" si="46"/>
        <v>0</v>
      </c>
      <c r="L163" s="129">
        <f t="shared" si="46"/>
        <v>0</v>
      </c>
      <c r="M163" s="129">
        <f t="shared" si="46"/>
        <v>0</v>
      </c>
      <c r="N163" s="129">
        <f t="shared" si="46"/>
        <v>0</v>
      </c>
      <c r="O163" s="129">
        <f t="shared" si="46"/>
        <v>0</v>
      </c>
      <c r="P163" s="129">
        <f t="shared" si="46"/>
        <v>0</v>
      </c>
      <c r="Q163" s="129">
        <f t="shared" si="46"/>
        <v>0</v>
      </c>
      <c r="R163" s="129">
        <f t="shared" si="46"/>
        <v>0</v>
      </c>
      <c r="S163" s="129">
        <f t="shared" si="46"/>
        <v>0</v>
      </c>
      <c r="T163" s="129">
        <f t="shared" si="47"/>
        <v>0</v>
      </c>
      <c r="U163" s="129">
        <f t="shared" si="47"/>
        <v>0</v>
      </c>
      <c r="V163" s="129">
        <f t="shared" si="47"/>
        <v>0</v>
      </c>
      <c r="W163" s="129">
        <f t="shared" si="47"/>
        <v>0</v>
      </c>
      <c r="X163" s="129">
        <f t="shared" si="47"/>
        <v>0</v>
      </c>
      <c r="Y163" s="129">
        <f t="shared" si="47"/>
        <v>0</v>
      </c>
      <c r="Z163" s="129">
        <f t="shared" si="47"/>
        <v>0</v>
      </c>
      <c r="AA163" s="129">
        <f t="shared" si="47"/>
        <v>0</v>
      </c>
      <c r="AB163" s="129">
        <f t="shared" si="47"/>
        <v>0</v>
      </c>
      <c r="AC163" s="129">
        <f t="shared" si="47"/>
        <v>0</v>
      </c>
      <c r="AD163" s="129">
        <f t="shared" si="47"/>
        <v>0</v>
      </c>
      <c r="AE163" s="129">
        <f t="shared" si="47"/>
        <v>0</v>
      </c>
      <c r="AF163" s="129">
        <f t="shared" si="47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5"/>
        <v>0</v>
      </c>
      <c r="C164" s="130">
        <v>0</v>
      </c>
      <c r="D164" s="129">
        <f t="shared" si="46"/>
        <v>0</v>
      </c>
      <c r="E164" s="129">
        <f t="shared" si="46"/>
        <v>0</v>
      </c>
      <c r="F164" s="129">
        <f t="shared" si="46"/>
        <v>0</v>
      </c>
      <c r="G164" s="129">
        <f t="shared" si="46"/>
        <v>0</v>
      </c>
      <c r="H164" s="129">
        <f t="shared" si="46"/>
        <v>0</v>
      </c>
      <c r="I164" s="129">
        <f t="shared" si="46"/>
        <v>0</v>
      </c>
      <c r="J164" s="129">
        <f t="shared" si="46"/>
        <v>0</v>
      </c>
      <c r="K164" s="129">
        <f t="shared" si="46"/>
        <v>0</v>
      </c>
      <c r="L164" s="129">
        <f t="shared" si="46"/>
        <v>0</v>
      </c>
      <c r="M164" s="129">
        <f t="shared" si="46"/>
        <v>0</v>
      </c>
      <c r="N164" s="129">
        <f t="shared" si="46"/>
        <v>0</v>
      </c>
      <c r="O164" s="129">
        <f t="shared" si="46"/>
        <v>0</v>
      </c>
      <c r="P164" s="129">
        <f t="shared" si="46"/>
        <v>0</v>
      </c>
      <c r="Q164" s="129">
        <f t="shared" si="46"/>
        <v>0</v>
      </c>
      <c r="R164" s="129">
        <f t="shared" si="46"/>
        <v>0</v>
      </c>
      <c r="S164" s="129">
        <f t="shared" si="47"/>
        <v>0</v>
      </c>
      <c r="T164" s="129">
        <f t="shared" si="47"/>
        <v>0</v>
      </c>
      <c r="U164" s="129">
        <f t="shared" si="47"/>
        <v>0</v>
      </c>
      <c r="V164" s="129">
        <f t="shared" si="47"/>
        <v>0</v>
      </c>
      <c r="W164" s="129">
        <f t="shared" si="47"/>
        <v>0</v>
      </c>
      <c r="X164" s="129">
        <f t="shared" si="47"/>
        <v>0</v>
      </c>
      <c r="Y164" s="129">
        <f t="shared" si="47"/>
        <v>0</v>
      </c>
      <c r="Z164" s="129">
        <f t="shared" si="47"/>
        <v>0</v>
      </c>
      <c r="AA164" s="129">
        <f t="shared" si="47"/>
        <v>0</v>
      </c>
      <c r="AB164" s="129">
        <f t="shared" si="47"/>
        <v>0</v>
      </c>
      <c r="AC164" s="129">
        <f t="shared" si="47"/>
        <v>0</v>
      </c>
      <c r="AD164" s="129">
        <f t="shared" si="47"/>
        <v>0</v>
      </c>
      <c r="AE164" s="129">
        <f t="shared" si="47"/>
        <v>0</v>
      </c>
      <c r="AF164" s="129">
        <f t="shared" si="47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5"/>
        <v>0.8</v>
      </c>
      <c r="C165" s="130">
        <v>0.8</v>
      </c>
      <c r="D165" s="129">
        <f t="shared" si="46"/>
        <v>0.8</v>
      </c>
      <c r="E165" s="129">
        <f t="shared" si="46"/>
        <v>0.8</v>
      </c>
      <c r="F165" s="129">
        <f t="shared" si="46"/>
        <v>0.8</v>
      </c>
      <c r="G165" s="129">
        <f t="shared" si="46"/>
        <v>0.8</v>
      </c>
      <c r="H165" s="129">
        <f t="shared" si="46"/>
        <v>0.8</v>
      </c>
      <c r="I165" s="129">
        <f t="shared" si="46"/>
        <v>0.8</v>
      </c>
      <c r="J165" s="129">
        <f t="shared" si="46"/>
        <v>0.8</v>
      </c>
      <c r="K165" s="129">
        <f t="shared" si="46"/>
        <v>0.8</v>
      </c>
      <c r="L165" s="129">
        <f t="shared" si="46"/>
        <v>0.8</v>
      </c>
      <c r="M165" s="129">
        <f t="shared" si="46"/>
        <v>0.8</v>
      </c>
      <c r="N165" s="129">
        <f t="shared" si="46"/>
        <v>0.8</v>
      </c>
      <c r="O165" s="129">
        <f t="shared" si="46"/>
        <v>0.8</v>
      </c>
      <c r="P165" s="129">
        <f t="shared" si="46"/>
        <v>0.8</v>
      </c>
      <c r="Q165" s="129">
        <f t="shared" si="46"/>
        <v>0.8</v>
      </c>
      <c r="R165" s="129">
        <f t="shared" si="46"/>
        <v>0.8</v>
      </c>
      <c r="S165" s="129">
        <f t="shared" si="47"/>
        <v>0.8</v>
      </c>
      <c r="T165" s="129">
        <f t="shared" si="47"/>
        <v>0.8</v>
      </c>
      <c r="U165" s="129">
        <f t="shared" si="47"/>
        <v>0.8</v>
      </c>
      <c r="V165" s="129">
        <f t="shared" si="47"/>
        <v>0.8</v>
      </c>
      <c r="W165" s="129">
        <f t="shared" si="47"/>
        <v>0.8</v>
      </c>
      <c r="X165" s="129">
        <f t="shared" si="47"/>
        <v>0.8</v>
      </c>
      <c r="Y165" s="129">
        <f t="shared" si="47"/>
        <v>0.8</v>
      </c>
      <c r="Z165" s="129">
        <f t="shared" si="47"/>
        <v>0.8</v>
      </c>
      <c r="AA165" s="129">
        <f t="shared" si="47"/>
        <v>0.8</v>
      </c>
      <c r="AB165" s="129">
        <f t="shared" si="47"/>
        <v>0.8</v>
      </c>
      <c r="AC165" s="129">
        <f t="shared" si="47"/>
        <v>0.8</v>
      </c>
      <c r="AD165" s="129">
        <f t="shared" si="47"/>
        <v>0.8</v>
      </c>
      <c r="AE165" s="129">
        <f t="shared" si="47"/>
        <v>0.8</v>
      </c>
      <c r="AF165" s="129">
        <f t="shared" si="47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5"/>
        <v>1.5</v>
      </c>
      <c r="C166" s="130">
        <v>1.5</v>
      </c>
      <c r="D166" s="129">
        <f t="shared" si="46"/>
        <v>1.5</v>
      </c>
      <c r="E166" s="129">
        <f t="shared" si="46"/>
        <v>1.5</v>
      </c>
      <c r="F166" s="129">
        <f t="shared" si="46"/>
        <v>1.5</v>
      </c>
      <c r="G166" s="129">
        <f t="shared" si="46"/>
        <v>1.5</v>
      </c>
      <c r="H166" s="129">
        <f t="shared" si="46"/>
        <v>1.5</v>
      </c>
      <c r="I166" s="129">
        <f t="shared" si="46"/>
        <v>1.5</v>
      </c>
      <c r="J166" s="129">
        <f t="shared" si="46"/>
        <v>1.5</v>
      </c>
      <c r="K166" s="129">
        <f t="shared" si="46"/>
        <v>1.5</v>
      </c>
      <c r="L166" s="129">
        <f t="shared" si="46"/>
        <v>1.5</v>
      </c>
      <c r="M166" s="129">
        <f t="shared" si="46"/>
        <v>1.5</v>
      </c>
      <c r="N166" s="129">
        <f t="shared" si="46"/>
        <v>1.5</v>
      </c>
      <c r="O166" s="129">
        <f t="shared" si="46"/>
        <v>1.5</v>
      </c>
      <c r="P166" s="129">
        <f t="shared" si="46"/>
        <v>1.5</v>
      </c>
      <c r="Q166" s="129">
        <f t="shared" si="46"/>
        <v>1.5</v>
      </c>
      <c r="R166" s="129">
        <f t="shared" si="46"/>
        <v>1.5</v>
      </c>
      <c r="S166" s="129">
        <f t="shared" si="47"/>
        <v>1.5</v>
      </c>
      <c r="T166" s="129">
        <f t="shared" si="47"/>
        <v>1.5</v>
      </c>
      <c r="U166" s="129">
        <f t="shared" si="47"/>
        <v>1.5</v>
      </c>
      <c r="V166" s="129">
        <f t="shared" si="47"/>
        <v>1.5</v>
      </c>
      <c r="W166" s="129">
        <f t="shared" si="47"/>
        <v>1.5</v>
      </c>
      <c r="X166" s="129">
        <f t="shared" si="47"/>
        <v>1.5</v>
      </c>
      <c r="Y166" s="129">
        <f t="shared" si="47"/>
        <v>1.5</v>
      </c>
      <c r="Z166" s="129">
        <f t="shared" si="47"/>
        <v>1.5</v>
      </c>
      <c r="AA166" s="129">
        <f t="shared" si="47"/>
        <v>1.5</v>
      </c>
      <c r="AB166" s="129">
        <f t="shared" si="47"/>
        <v>1.5</v>
      </c>
      <c r="AC166" s="129">
        <f t="shared" si="47"/>
        <v>1.5</v>
      </c>
      <c r="AD166" s="129">
        <f t="shared" si="47"/>
        <v>1.5</v>
      </c>
      <c r="AE166" s="129">
        <f t="shared" si="47"/>
        <v>1.5</v>
      </c>
      <c r="AF166" s="129">
        <f t="shared" si="47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5"/>
        <v>1</v>
      </c>
      <c r="C167" s="130">
        <v>1</v>
      </c>
      <c r="D167" s="129">
        <f t="shared" si="46"/>
        <v>1</v>
      </c>
      <c r="E167" s="129">
        <f t="shared" si="46"/>
        <v>1</v>
      </c>
      <c r="F167" s="129">
        <f t="shared" si="46"/>
        <v>1</v>
      </c>
      <c r="G167" s="129">
        <f t="shared" si="46"/>
        <v>1</v>
      </c>
      <c r="H167" s="129">
        <f t="shared" si="46"/>
        <v>1</v>
      </c>
      <c r="I167" s="129">
        <f t="shared" si="46"/>
        <v>1</v>
      </c>
      <c r="J167" s="129">
        <f t="shared" si="46"/>
        <v>1</v>
      </c>
      <c r="K167" s="129">
        <f t="shared" si="46"/>
        <v>1</v>
      </c>
      <c r="L167" s="129">
        <f t="shared" si="46"/>
        <v>1</v>
      </c>
      <c r="M167" s="129">
        <f t="shared" si="46"/>
        <v>1</v>
      </c>
      <c r="N167" s="129">
        <f t="shared" si="46"/>
        <v>1</v>
      </c>
      <c r="O167" s="129">
        <f t="shared" si="46"/>
        <v>1</v>
      </c>
      <c r="P167" s="129">
        <f t="shared" si="46"/>
        <v>1</v>
      </c>
      <c r="Q167" s="129">
        <f t="shared" si="46"/>
        <v>1</v>
      </c>
      <c r="R167" s="129">
        <f t="shared" si="46"/>
        <v>1</v>
      </c>
      <c r="S167" s="129">
        <f t="shared" si="47"/>
        <v>1</v>
      </c>
      <c r="T167" s="129">
        <f t="shared" si="47"/>
        <v>1</v>
      </c>
      <c r="U167" s="129">
        <f t="shared" si="47"/>
        <v>1</v>
      </c>
      <c r="V167" s="129">
        <f t="shared" si="47"/>
        <v>1</v>
      </c>
      <c r="W167" s="129">
        <f t="shared" si="47"/>
        <v>1</v>
      </c>
      <c r="X167" s="129">
        <f t="shared" si="47"/>
        <v>1</v>
      </c>
      <c r="Y167" s="129">
        <f t="shared" si="47"/>
        <v>1</v>
      </c>
      <c r="Z167" s="129">
        <f t="shared" si="47"/>
        <v>1</v>
      </c>
      <c r="AA167" s="129">
        <f t="shared" si="47"/>
        <v>1</v>
      </c>
      <c r="AB167" s="129">
        <f t="shared" si="47"/>
        <v>1</v>
      </c>
      <c r="AC167" s="129">
        <f t="shared" si="47"/>
        <v>1</v>
      </c>
      <c r="AD167" s="129">
        <f t="shared" si="47"/>
        <v>1</v>
      </c>
      <c r="AE167" s="129">
        <f t="shared" si="47"/>
        <v>1</v>
      </c>
      <c r="AF167" s="129">
        <f t="shared" si="47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8">AF169</f>
        <v>1</v>
      </c>
      <c r="C169" s="130">
        <v>1</v>
      </c>
      <c r="D169" s="129">
        <f t="shared" ref="D169:S176" si="49">C169</f>
        <v>1</v>
      </c>
      <c r="E169" s="129">
        <f t="shared" si="49"/>
        <v>1</v>
      </c>
      <c r="F169" s="129">
        <f t="shared" si="49"/>
        <v>1</v>
      </c>
      <c r="G169" s="129">
        <f t="shared" si="49"/>
        <v>1</v>
      </c>
      <c r="H169" s="129">
        <f t="shared" si="49"/>
        <v>1</v>
      </c>
      <c r="I169" s="129">
        <f t="shared" si="49"/>
        <v>1</v>
      </c>
      <c r="J169" s="129">
        <f t="shared" si="49"/>
        <v>1</v>
      </c>
      <c r="K169" s="129">
        <f t="shared" si="49"/>
        <v>1</v>
      </c>
      <c r="L169" s="129">
        <f t="shared" si="49"/>
        <v>1</v>
      </c>
      <c r="M169" s="129">
        <f t="shared" si="49"/>
        <v>1</v>
      </c>
      <c r="N169" s="129">
        <f t="shared" si="49"/>
        <v>1</v>
      </c>
      <c r="O169" s="129">
        <f t="shared" si="49"/>
        <v>1</v>
      </c>
      <c r="P169" s="129">
        <f t="shared" si="49"/>
        <v>1</v>
      </c>
      <c r="Q169" s="129">
        <f t="shared" si="49"/>
        <v>1</v>
      </c>
      <c r="R169" s="129">
        <f t="shared" si="49"/>
        <v>1</v>
      </c>
      <c r="S169" s="129">
        <f t="shared" si="49"/>
        <v>1</v>
      </c>
      <c r="T169" s="129">
        <f t="shared" ref="S169:AF176" si="50">S169</f>
        <v>1</v>
      </c>
      <c r="U169" s="129">
        <f t="shared" si="50"/>
        <v>1</v>
      </c>
      <c r="V169" s="129">
        <f t="shared" si="50"/>
        <v>1</v>
      </c>
      <c r="W169" s="129">
        <f t="shared" si="50"/>
        <v>1</v>
      </c>
      <c r="X169" s="129">
        <f t="shared" si="50"/>
        <v>1</v>
      </c>
      <c r="Y169" s="129">
        <f t="shared" si="50"/>
        <v>1</v>
      </c>
      <c r="Z169" s="129">
        <f t="shared" si="50"/>
        <v>1</v>
      </c>
      <c r="AA169" s="129">
        <f t="shared" si="50"/>
        <v>1</v>
      </c>
      <c r="AB169" s="129">
        <f t="shared" si="50"/>
        <v>1</v>
      </c>
      <c r="AC169" s="129">
        <f t="shared" si="50"/>
        <v>1</v>
      </c>
      <c r="AD169" s="129">
        <f t="shared" si="50"/>
        <v>1</v>
      </c>
      <c r="AE169" s="129">
        <f t="shared" si="50"/>
        <v>1</v>
      </c>
      <c r="AF169" s="129">
        <f t="shared" si="50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8"/>
        <v>0.42</v>
      </c>
      <c r="C170" s="130">
        <v>0.42</v>
      </c>
      <c r="D170" s="129">
        <f t="shared" si="49"/>
        <v>0.42</v>
      </c>
      <c r="E170" s="129">
        <f t="shared" si="49"/>
        <v>0.42</v>
      </c>
      <c r="F170" s="129">
        <f t="shared" si="49"/>
        <v>0.42</v>
      </c>
      <c r="G170" s="129">
        <f t="shared" si="49"/>
        <v>0.42</v>
      </c>
      <c r="H170" s="129">
        <f t="shared" si="49"/>
        <v>0.42</v>
      </c>
      <c r="I170" s="129">
        <f t="shared" si="49"/>
        <v>0.42</v>
      </c>
      <c r="J170" s="129">
        <f t="shared" si="49"/>
        <v>0.42</v>
      </c>
      <c r="K170" s="129">
        <f t="shared" si="49"/>
        <v>0.42</v>
      </c>
      <c r="L170" s="129">
        <f t="shared" si="49"/>
        <v>0.42</v>
      </c>
      <c r="M170" s="129">
        <f t="shared" si="49"/>
        <v>0.42</v>
      </c>
      <c r="N170" s="129">
        <f t="shared" si="49"/>
        <v>0.42</v>
      </c>
      <c r="O170" s="129">
        <f t="shared" si="49"/>
        <v>0.42</v>
      </c>
      <c r="P170" s="129">
        <f t="shared" si="49"/>
        <v>0.42</v>
      </c>
      <c r="Q170" s="129">
        <f t="shared" si="49"/>
        <v>0.42</v>
      </c>
      <c r="R170" s="129">
        <f t="shared" si="49"/>
        <v>0.42</v>
      </c>
      <c r="S170" s="129">
        <f t="shared" si="50"/>
        <v>0.42</v>
      </c>
      <c r="T170" s="129">
        <f t="shared" si="50"/>
        <v>0.42</v>
      </c>
      <c r="U170" s="129">
        <f t="shared" si="50"/>
        <v>0.42</v>
      </c>
      <c r="V170" s="129">
        <f t="shared" si="50"/>
        <v>0.42</v>
      </c>
      <c r="W170" s="129">
        <f t="shared" si="50"/>
        <v>0.42</v>
      </c>
      <c r="X170" s="129">
        <f t="shared" si="50"/>
        <v>0.42</v>
      </c>
      <c r="Y170" s="129">
        <f t="shared" si="50"/>
        <v>0.42</v>
      </c>
      <c r="Z170" s="129">
        <f t="shared" si="50"/>
        <v>0.42</v>
      </c>
      <c r="AA170" s="129">
        <f t="shared" si="50"/>
        <v>0.42</v>
      </c>
      <c r="AB170" s="129">
        <f t="shared" si="50"/>
        <v>0.42</v>
      </c>
      <c r="AC170" s="129">
        <f t="shared" si="50"/>
        <v>0.42</v>
      </c>
      <c r="AD170" s="129">
        <f t="shared" si="50"/>
        <v>0.42</v>
      </c>
      <c r="AE170" s="129">
        <f t="shared" si="50"/>
        <v>0.42</v>
      </c>
      <c r="AF170" s="129">
        <f t="shared" si="50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8"/>
        <v>0.46</v>
      </c>
      <c r="C171" s="130">
        <v>0.46</v>
      </c>
      <c r="D171" s="129">
        <f t="shared" si="49"/>
        <v>0.46</v>
      </c>
      <c r="E171" s="129">
        <f t="shared" si="49"/>
        <v>0.46</v>
      </c>
      <c r="F171" s="129">
        <f t="shared" si="49"/>
        <v>0.46</v>
      </c>
      <c r="G171" s="129">
        <f t="shared" si="49"/>
        <v>0.46</v>
      </c>
      <c r="H171" s="129">
        <f t="shared" si="49"/>
        <v>0.46</v>
      </c>
      <c r="I171" s="129">
        <f t="shared" si="49"/>
        <v>0.46</v>
      </c>
      <c r="J171" s="129">
        <f t="shared" si="49"/>
        <v>0.46</v>
      </c>
      <c r="K171" s="129">
        <f t="shared" si="49"/>
        <v>0.46</v>
      </c>
      <c r="L171" s="129">
        <f t="shared" si="49"/>
        <v>0.46</v>
      </c>
      <c r="M171" s="129">
        <f t="shared" si="49"/>
        <v>0.46</v>
      </c>
      <c r="N171" s="129">
        <f t="shared" si="49"/>
        <v>0.46</v>
      </c>
      <c r="O171" s="129">
        <f t="shared" si="49"/>
        <v>0.46</v>
      </c>
      <c r="P171" s="129">
        <f t="shared" si="49"/>
        <v>0.46</v>
      </c>
      <c r="Q171" s="129">
        <f t="shared" si="49"/>
        <v>0.46</v>
      </c>
      <c r="R171" s="129">
        <f t="shared" si="49"/>
        <v>0.46</v>
      </c>
      <c r="S171" s="129">
        <f t="shared" si="50"/>
        <v>0.46</v>
      </c>
      <c r="T171" s="129">
        <f t="shared" si="50"/>
        <v>0.46</v>
      </c>
      <c r="U171" s="129">
        <f t="shared" si="50"/>
        <v>0.46</v>
      </c>
      <c r="V171" s="129">
        <f t="shared" si="50"/>
        <v>0.46</v>
      </c>
      <c r="W171" s="129">
        <f t="shared" si="50"/>
        <v>0.46</v>
      </c>
      <c r="X171" s="129">
        <f t="shared" si="50"/>
        <v>0.46</v>
      </c>
      <c r="Y171" s="129">
        <f t="shared" si="50"/>
        <v>0.46</v>
      </c>
      <c r="Z171" s="129">
        <f t="shared" si="50"/>
        <v>0.46</v>
      </c>
      <c r="AA171" s="129">
        <f t="shared" si="50"/>
        <v>0.46</v>
      </c>
      <c r="AB171" s="129">
        <f t="shared" si="50"/>
        <v>0.46</v>
      </c>
      <c r="AC171" s="129">
        <f t="shared" si="50"/>
        <v>0.46</v>
      </c>
      <c r="AD171" s="129">
        <f t="shared" si="50"/>
        <v>0.46</v>
      </c>
      <c r="AE171" s="129">
        <f t="shared" si="50"/>
        <v>0.46</v>
      </c>
      <c r="AF171" s="129">
        <f t="shared" si="50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8"/>
        <v>0.85</v>
      </c>
      <c r="C172" s="130">
        <v>0.85</v>
      </c>
      <c r="D172" s="129">
        <f t="shared" si="49"/>
        <v>0.85</v>
      </c>
      <c r="E172" s="129">
        <f t="shared" si="49"/>
        <v>0.85</v>
      </c>
      <c r="F172" s="129">
        <f t="shared" si="49"/>
        <v>0.85</v>
      </c>
      <c r="G172" s="129">
        <f t="shared" si="49"/>
        <v>0.85</v>
      </c>
      <c r="H172" s="129">
        <f t="shared" si="49"/>
        <v>0.85</v>
      </c>
      <c r="I172" s="129">
        <f t="shared" si="49"/>
        <v>0.85</v>
      </c>
      <c r="J172" s="129">
        <f t="shared" si="49"/>
        <v>0.85</v>
      </c>
      <c r="K172" s="129">
        <f t="shared" si="49"/>
        <v>0.85</v>
      </c>
      <c r="L172" s="129">
        <f t="shared" si="49"/>
        <v>0.85</v>
      </c>
      <c r="M172" s="129">
        <f t="shared" si="49"/>
        <v>0.85</v>
      </c>
      <c r="N172" s="129">
        <f t="shared" si="49"/>
        <v>0.85</v>
      </c>
      <c r="O172" s="129">
        <f t="shared" si="49"/>
        <v>0.85</v>
      </c>
      <c r="P172" s="129">
        <f t="shared" si="49"/>
        <v>0.85</v>
      </c>
      <c r="Q172" s="129">
        <f t="shared" si="49"/>
        <v>0.85</v>
      </c>
      <c r="R172" s="129">
        <f t="shared" si="49"/>
        <v>0.85</v>
      </c>
      <c r="S172" s="129">
        <f t="shared" si="50"/>
        <v>0.85</v>
      </c>
      <c r="T172" s="129">
        <f t="shared" si="50"/>
        <v>0.85</v>
      </c>
      <c r="U172" s="129">
        <f t="shared" si="50"/>
        <v>0.85</v>
      </c>
      <c r="V172" s="129">
        <f t="shared" si="50"/>
        <v>0.85</v>
      </c>
      <c r="W172" s="129">
        <f t="shared" si="50"/>
        <v>0.85</v>
      </c>
      <c r="X172" s="129">
        <f t="shared" si="50"/>
        <v>0.85</v>
      </c>
      <c r="Y172" s="129">
        <f t="shared" si="50"/>
        <v>0.85</v>
      </c>
      <c r="Z172" s="129">
        <f t="shared" si="50"/>
        <v>0.85</v>
      </c>
      <c r="AA172" s="129">
        <f t="shared" si="50"/>
        <v>0.85</v>
      </c>
      <c r="AB172" s="129">
        <f t="shared" si="50"/>
        <v>0.85</v>
      </c>
      <c r="AC172" s="129">
        <f t="shared" si="50"/>
        <v>0.85</v>
      </c>
      <c r="AD172" s="129">
        <f t="shared" si="50"/>
        <v>0.85</v>
      </c>
      <c r="AE172" s="129">
        <f t="shared" si="50"/>
        <v>0.85</v>
      </c>
      <c r="AF172" s="129">
        <f t="shared" si="50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8"/>
        <v>0.9</v>
      </c>
      <c r="C173" s="130">
        <v>0.9</v>
      </c>
      <c r="D173" s="129">
        <f t="shared" si="49"/>
        <v>0.9</v>
      </c>
      <c r="E173" s="129">
        <f t="shared" si="49"/>
        <v>0.9</v>
      </c>
      <c r="F173" s="129">
        <f t="shared" si="49"/>
        <v>0.9</v>
      </c>
      <c r="G173" s="129">
        <f t="shared" si="49"/>
        <v>0.9</v>
      </c>
      <c r="H173" s="129">
        <f t="shared" si="49"/>
        <v>0.9</v>
      </c>
      <c r="I173" s="129">
        <f t="shared" si="49"/>
        <v>0.9</v>
      </c>
      <c r="J173" s="129">
        <f t="shared" si="49"/>
        <v>0.9</v>
      </c>
      <c r="K173" s="129">
        <f t="shared" si="49"/>
        <v>0.9</v>
      </c>
      <c r="L173" s="129">
        <f t="shared" si="49"/>
        <v>0.9</v>
      </c>
      <c r="M173" s="129">
        <f t="shared" si="49"/>
        <v>0.9</v>
      </c>
      <c r="N173" s="129">
        <f t="shared" si="49"/>
        <v>0.9</v>
      </c>
      <c r="O173" s="129">
        <f t="shared" si="49"/>
        <v>0.9</v>
      </c>
      <c r="P173" s="129">
        <f t="shared" si="49"/>
        <v>0.9</v>
      </c>
      <c r="Q173" s="129">
        <f t="shared" si="49"/>
        <v>0.9</v>
      </c>
      <c r="R173" s="129">
        <f t="shared" si="49"/>
        <v>0.9</v>
      </c>
      <c r="S173" s="129">
        <f t="shared" si="50"/>
        <v>0.9</v>
      </c>
      <c r="T173" s="129">
        <f t="shared" si="50"/>
        <v>0.9</v>
      </c>
      <c r="U173" s="129">
        <f t="shared" si="50"/>
        <v>0.9</v>
      </c>
      <c r="V173" s="129">
        <f t="shared" si="50"/>
        <v>0.9</v>
      </c>
      <c r="W173" s="129">
        <f t="shared" si="50"/>
        <v>0.9</v>
      </c>
      <c r="X173" s="129">
        <f t="shared" si="50"/>
        <v>0.9</v>
      </c>
      <c r="Y173" s="129">
        <f t="shared" si="50"/>
        <v>0.9</v>
      </c>
      <c r="Z173" s="129">
        <f t="shared" si="50"/>
        <v>0.9</v>
      </c>
      <c r="AA173" s="129">
        <f t="shared" si="50"/>
        <v>0.9</v>
      </c>
      <c r="AB173" s="129">
        <f t="shared" si="50"/>
        <v>0.9</v>
      </c>
      <c r="AC173" s="129">
        <f t="shared" si="50"/>
        <v>0.9</v>
      </c>
      <c r="AD173" s="129">
        <f t="shared" si="50"/>
        <v>0.9</v>
      </c>
      <c r="AE173" s="129">
        <f t="shared" si="50"/>
        <v>0.9</v>
      </c>
      <c r="AF173" s="129">
        <f t="shared" si="50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8"/>
        <v>0.44</v>
      </c>
      <c r="C174" s="130">
        <v>0.44</v>
      </c>
      <c r="D174" s="129">
        <f t="shared" si="49"/>
        <v>0.44</v>
      </c>
      <c r="E174" s="129">
        <f t="shared" si="49"/>
        <v>0.44</v>
      </c>
      <c r="F174" s="129">
        <f t="shared" si="49"/>
        <v>0.44</v>
      </c>
      <c r="G174" s="129">
        <f t="shared" si="49"/>
        <v>0.44</v>
      </c>
      <c r="H174" s="129">
        <f t="shared" si="49"/>
        <v>0.44</v>
      </c>
      <c r="I174" s="129">
        <f t="shared" si="49"/>
        <v>0.44</v>
      </c>
      <c r="J174" s="129">
        <f t="shared" si="49"/>
        <v>0.44</v>
      </c>
      <c r="K174" s="129">
        <f t="shared" si="49"/>
        <v>0.44</v>
      </c>
      <c r="L174" s="129">
        <f t="shared" si="49"/>
        <v>0.44</v>
      </c>
      <c r="M174" s="129">
        <f t="shared" si="49"/>
        <v>0.44</v>
      </c>
      <c r="N174" s="129">
        <f t="shared" si="49"/>
        <v>0.44</v>
      </c>
      <c r="O174" s="129">
        <f t="shared" si="49"/>
        <v>0.44</v>
      </c>
      <c r="P174" s="129">
        <f t="shared" si="49"/>
        <v>0.44</v>
      </c>
      <c r="Q174" s="129">
        <f t="shared" si="49"/>
        <v>0.44</v>
      </c>
      <c r="R174" s="129">
        <f t="shared" si="49"/>
        <v>0.44</v>
      </c>
      <c r="S174" s="129">
        <f t="shared" si="50"/>
        <v>0.44</v>
      </c>
      <c r="T174" s="129">
        <f t="shared" si="50"/>
        <v>0.44</v>
      </c>
      <c r="U174" s="129">
        <f t="shared" si="50"/>
        <v>0.44</v>
      </c>
      <c r="V174" s="129">
        <f t="shared" si="50"/>
        <v>0.44</v>
      </c>
      <c r="W174" s="129">
        <f t="shared" si="50"/>
        <v>0.44</v>
      </c>
      <c r="X174" s="129">
        <f t="shared" si="50"/>
        <v>0.44</v>
      </c>
      <c r="Y174" s="129">
        <f t="shared" si="50"/>
        <v>0.44</v>
      </c>
      <c r="Z174" s="129">
        <f t="shared" si="50"/>
        <v>0.44</v>
      </c>
      <c r="AA174" s="129">
        <f t="shared" si="50"/>
        <v>0.44</v>
      </c>
      <c r="AB174" s="129">
        <f t="shared" si="50"/>
        <v>0.44</v>
      </c>
      <c r="AC174" s="129">
        <f t="shared" si="50"/>
        <v>0.44</v>
      </c>
      <c r="AD174" s="129">
        <f t="shared" si="50"/>
        <v>0.44</v>
      </c>
      <c r="AE174" s="129">
        <f t="shared" si="50"/>
        <v>0.44</v>
      </c>
      <c r="AF174" s="129">
        <f t="shared" si="50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8"/>
        <v>2.1</v>
      </c>
      <c r="C175" s="130">
        <v>2.1</v>
      </c>
      <c r="D175" s="129">
        <f t="shared" si="49"/>
        <v>2.1</v>
      </c>
      <c r="E175" s="129">
        <f t="shared" si="49"/>
        <v>2.1</v>
      </c>
      <c r="F175" s="129">
        <f t="shared" si="49"/>
        <v>2.1</v>
      </c>
      <c r="G175" s="129">
        <f t="shared" si="49"/>
        <v>2.1</v>
      </c>
      <c r="H175" s="129">
        <f t="shared" si="49"/>
        <v>2.1</v>
      </c>
      <c r="I175" s="129">
        <f t="shared" si="49"/>
        <v>2.1</v>
      </c>
      <c r="J175" s="129">
        <f t="shared" si="49"/>
        <v>2.1</v>
      </c>
      <c r="K175" s="129">
        <f t="shared" si="49"/>
        <v>2.1</v>
      </c>
      <c r="L175" s="129">
        <f t="shared" si="49"/>
        <v>2.1</v>
      </c>
      <c r="M175" s="129">
        <f t="shared" si="49"/>
        <v>2.1</v>
      </c>
      <c r="N175" s="129">
        <f t="shared" si="49"/>
        <v>2.1</v>
      </c>
      <c r="O175" s="129">
        <f t="shared" si="49"/>
        <v>2.1</v>
      </c>
      <c r="P175" s="129">
        <f t="shared" si="49"/>
        <v>2.1</v>
      </c>
      <c r="Q175" s="129">
        <f t="shared" si="49"/>
        <v>2.1</v>
      </c>
      <c r="R175" s="129">
        <f t="shared" si="49"/>
        <v>2.1</v>
      </c>
      <c r="S175" s="129">
        <f t="shared" si="50"/>
        <v>2.1</v>
      </c>
      <c r="T175" s="129">
        <f t="shared" si="50"/>
        <v>2.1</v>
      </c>
      <c r="U175" s="129">
        <f t="shared" si="50"/>
        <v>2.1</v>
      </c>
      <c r="V175" s="129">
        <f t="shared" si="50"/>
        <v>2.1</v>
      </c>
      <c r="W175" s="129">
        <f t="shared" si="50"/>
        <v>2.1</v>
      </c>
      <c r="X175" s="129">
        <f t="shared" si="50"/>
        <v>2.1</v>
      </c>
      <c r="Y175" s="129">
        <f t="shared" si="50"/>
        <v>2.1</v>
      </c>
      <c r="Z175" s="129">
        <f t="shared" si="50"/>
        <v>2.1</v>
      </c>
      <c r="AA175" s="129">
        <f t="shared" si="50"/>
        <v>2.1</v>
      </c>
      <c r="AB175" s="129">
        <f t="shared" si="50"/>
        <v>2.1</v>
      </c>
      <c r="AC175" s="129">
        <f t="shared" si="50"/>
        <v>2.1</v>
      </c>
      <c r="AD175" s="129">
        <f t="shared" si="50"/>
        <v>2.1</v>
      </c>
      <c r="AE175" s="129">
        <f t="shared" si="50"/>
        <v>2.1</v>
      </c>
      <c r="AF175" s="129">
        <f t="shared" si="50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8"/>
        <v>0.9</v>
      </c>
      <c r="C176" s="130">
        <v>0.9</v>
      </c>
      <c r="D176" s="129">
        <f t="shared" si="49"/>
        <v>0.9</v>
      </c>
      <c r="E176" s="129">
        <f t="shared" si="49"/>
        <v>0.9</v>
      </c>
      <c r="F176" s="129">
        <f t="shared" si="49"/>
        <v>0.9</v>
      </c>
      <c r="G176" s="129">
        <f t="shared" si="49"/>
        <v>0.9</v>
      </c>
      <c r="H176" s="129">
        <f t="shared" si="49"/>
        <v>0.9</v>
      </c>
      <c r="I176" s="129">
        <f t="shared" si="49"/>
        <v>0.9</v>
      </c>
      <c r="J176" s="129">
        <f t="shared" si="49"/>
        <v>0.9</v>
      </c>
      <c r="K176" s="129">
        <f t="shared" si="49"/>
        <v>0.9</v>
      </c>
      <c r="L176" s="129">
        <f t="shared" si="49"/>
        <v>0.9</v>
      </c>
      <c r="M176" s="129">
        <f t="shared" si="49"/>
        <v>0.9</v>
      </c>
      <c r="N176" s="129">
        <f t="shared" si="49"/>
        <v>0.9</v>
      </c>
      <c r="O176" s="129">
        <f t="shared" si="49"/>
        <v>0.9</v>
      </c>
      <c r="P176" s="129">
        <f t="shared" si="49"/>
        <v>0.9</v>
      </c>
      <c r="Q176" s="129">
        <f t="shared" si="49"/>
        <v>0.9</v>
      </c>
      <c r="R176" s="129">
        <f t="shared" si="49"/>
        <v>0.9</v>
      </c>
      <c r="S176" s="129">
        <f t="shared" si="50"/>
        <v>0.9</v>
      </c>
      <c r="T176" s="129">
        <f t="shared" si="50"/>
        <v>0.9</v>
      </c>
      <c r="U176" s="129">
        <f t="shared" si="50"/>
        <v>0.9</v>
      </c>
      <c r="V176" s="129">
        <f t="shared" si="50"/>
        <v>0.9</v>
      </c>
      <c r="W176" s="129">
        <f t="shared" si="50"/>
        <v>0.9</v>
      </c>
      <c r="X176" s="129">
        <f t="shared" si="50"/>
        <v>0.9</v>
      </c>
      <c r="Y176" s="129">
        <f t="shared" si="50"/>
        <v>0.9</v>
      </c>
      <c r="Z176" s="129">
        <f t="shared" si="50"/>
        <v>0.9</v>
      </c>
      <c r="AA176" s="129">
        <f t="shared" si="50"/>
        <v>0.9</v>
      </c>
      <c r="AB176" s="129">
        <f t="shared" si="50"/>
        <v>0.9</v>
      </c>
      <c r="AC176" s="129">
        <f t="shared" si="50"/>
        <v>0.9</v>
      </c>
      <c r="AD176" s="129">
        <f t="shared" si="50"/>
        <v>0.9</v>
      </c>
      <c r="AE176" s="129">
        <f t="shared" si="50"/>
        <v>0.9</v>
      </c>
      <c r="AF176" s="129">
        <f t="shared" si="50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51">AF178</f>
        <v>0.57999999999999996</v>
      </c>
      <c r="C178" s="130">
        <v>0.57999999999999996</v>
      </c>
      <c r="D178" s="129">
        <f t="shared" ref="D178:S190" si="52">C178</f>
        <v>0.57999999999999996</v>
      </c>
      <c r="E178" s="129">
        <f t="shared" si="52"/>
        <v>0.57999999999999996</v>
      </c>
      <c r="F178" s="129">
        <f t="shared" si="52"/>
        <v>0.57999999999999996</v>
      </c>
      <c r="G178" s="129">
        <f t="shared" si="52"/>
        <v>0.57999999999999996</v>
      </c>
      <c r="H178" s="129">
        <f t="shared" si="52"/>
        <v>0.57999999999999996</v>
      </c>
      <c r="I178" s="129">
        <f t="shared" si="52"/>
        <v>0.57999999999999996</v>
      </c>
      <c r="J178" s="129">
        <f t="shared" si="52"/>
        <v>0.57999999999999996</v>
      </c>
      <c r="K178" s="129">
        <f t="shared" si="52"/>
        <v>0.57999999999999996</v>
      </c>
      <c r="L178" s="129">
        <f t="shared" si="52"/>
        <v>0.57999999999999996</v>
      </c>
      <c r="M178" s="129">
        <f t="shared" si="52"/>
        <v>0.57999999999999996</v>
      </c>
      <c r="N178" s="129">
        <f t="shared" si="52"/>
        <v>0.57999999999999996</v>
      </c>
      <c r="O178" s="129">
        <f t="shared" si="52"/>
        <v>0.57999999999999996</v>
      </c>
      <c r="P178" s="129">
        <f t="shared" si="52"/>
        <v>0.57999999999999996</v>
      </c>
      <c r="Q178" s="129">
        <f t="shared" si="52"/>
        <v>0.57999999999999996</v>
      </c>
      <c r="R178" s="129">
        <f t="shared" si="52"/>
        <v>0.57999999999999996</v>
      </c>
      <c r="S178" s="129">
        <f t="shared" si="52"/>
        <v>0.57999999999999996</v>
      </c>
      <c r="T178" s="129">
        <f t="shared" ref="S178:AF190" si="53">S178</f>
        <v>0.57999999999999996</v>
      </c>
      <c r="U178" s="129">
        <f t="shared" si="53"/>
        <v>0.57999999999999996</v>
      </c>
      <c r="V178" s="129">
        <f t="shared" si="53"/>
        <v>0.57999999999999996</v>
      </c>
      <c r="W178" s="129">
        <f t="shared" si="53"/>
        <v>0.57999999999999996</v>
      </c>
      <c r="X178" s="129">
        <f t="shared" si="53"/>
        <v>0.57999999999999996</v>
      </c>
      <c r="Y178" s="129">
        <f t="shared" si="53"/>
        <v>0.57999999999999996</v>
      </c>
      <c r="Z178" s="129">
        <f t="shared" si="53"/>
        <v>0.57999999999999996</v>
      </c>
      <c r="AA178" s="129">
        <f t="shared" si="53"/>
        <v>0.57999999999999996</v>
      </c>
      <c r="AB178" s="129">
        <f t="shared" si="53"/>
        <v>0.57999999999999996</v>
      </c>
      <c r="AC178" s="129">
        <f t="shared" si="53"/>
        <v>0.57999999999999996</v>
      </c>
      <c r="AD178" s="129">
        <f t="shared" si="53"/>
        <v>0.57999999999999996</v>
      </c>
      <c r="AE178" s="129">
        <f t="shared" si="53"/>
        <v>0.57999999999999996</v>
      </c>
      <c r="AF178" s="129">
        <f t="shared" si="53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51"/>
        <v>0.8</v>
      </c>
      <c r="C179" s="130">
        <v>0.8</v>
      </c>
      <c r="D179" s="129">
        <f t="shared" si="52"/>
        <v>0.8</v>
      </c>
      <c r="E179" s="129">
        <f t="shared" si="52"/>
        <v>0.8</v>
      </c>
      <c r="F179" s="129">
        <f t="shared" si="52"/>
        <v>0.8</v>
      </c>
      <c r="G179" s="129">
        <f t="shared" si="52"/>
        <v>0.8</v>
      </c>
      <c r="H179" s="129">
        <f t="shared" si="52"/>
        <v>0.8</v>
      </c>
      <c r="I179" s="129">
        <f t="shared" si="52"/>
        <v>0.8</v>
      </c>
      <c r="J179" s="129">
        <f t="shared" si="52"/>
        <v>0.8</v>
      </c>
      <c r="K179" s="129">
        <f t="shared" si="52"/>
        <v>0.8</v>
      </c>
      <c r="L179" s="129">
        <f t="shared" si="52"/>
        <v>0.8</v>
      </c>
      <c r="M179" s="129">
        <f t="shared" si="52"/>
        <v>0.8</v>
      </c>
      <c r="N179" s="129">
        <f t="shared" si="52"/>
        <v>0.8</v>
      </c>
      <c r="O179" s="129">
        <f t="shared" si="52"/>
        <v>0.8</v>
      </c>
      <c r="P179" s="129">
        <f t="shared" si="52"/>
        <v>0.8</v>
      </c>
      <c r="Q179" s="129">
        <f t="shared" si="52"/>
        <v>0.8</v>
      </c>
      <c r="R179" s="129">
        <f t="shared" si="52"/>
        <v>0.8</v>
      </c>
      <c r="S179" s="129">
        <f t="shared" si="52"/>
        <v>0.8</v>
      </c>
      <c r="T179" s="129">
        <f t="shared" si="53"/>
        <v>0.8</v>
      </c>
      <c r="U179" s="129">
        <f t="shared" si="53"/>
        <v>0.8</v>
      </c>
      <c r="V179" s="129">
        <f t="shared" si="53"/>
        <v>0.8</v>
      </c>
      <c r="W179" s="129">
        <f t="shared" si="53"/>
        <v>0.8</v>
      </c>
      <c r="X179" s="129">
        <f t="shared" si="53"/>
        <v>0.8</v>
      </c>
      <c r="Y179" s="129">
        <f t="shared" si="53"/>
        <v>0.8</v>
      </c>
      <c r="Z179" s="129">
        <f t="shared" si="53"/>
        <v>0.8</v>
      </c>
      <c r="AA179" s="129">
        <f t="shared" si="53"/>
        <v>0.8</v>
      </c>
      <c r="AB179" s="129">
        <f t="shared" si="53"/>
        <v>0.8</v>
      </c>
      <c r="AC179" s="129">
        <f t="shared" si="53"/>
        <v>0.8</v>
      </c>
      <c r="AD179" s="129">
        <f t="shared" si="53"/>
        <v>0.8</v>
      </c>
      <c r="AE179" s="129">
        <f t="shared" si="53"/>
        <v>0.8</v>
      </c>
      <c r="AF179" s="129">
        <f t="shared" si="53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51"/>
        <v>0</v>
      </c>
      <c r="C180" s="130">
        <v>0</v>
      </c>
      <c r="D180" s="129">
        <f t="shared" si="52"/>
        <v>0</v>
      </c>
      <c r="E180" s="129">
        <f t="shared" si="52"/>
        <v>0</v>
      </c>
      <c r="F180" s="129">
        <f t="shared" si="52"/>
        <v>0</v>
      </c>
      <c r="G180" s="129">
        <f t="shared" si="52"/>
        <v>0</v>
      </c>
      <c r="H180" s="129">
        <f t="shared" si="52"/>
        <v>0</v>
      </c>
      <c r="I180" s="129">
        <f t="shared" si="52"/>
        <v>0</v>
      </c>
      <c r="J180" s="129">
        <f t="shared" si="52"/>
        <v>0</v>
      </c>
      <c r="K180" s="129">
        <f t="shared" si="52"/>
        <v>0</v>
      </c>
      <c r="L180" s="129">
        <f t="shared" si="52"/>
        <v>0</v>
      </c>
      <c r="M180" s="129">
        <f t="shared" si="52"/>
        <v>0</v>
      </c>
      <c r="N180" s="129">
        <f t="shared" si="52"/>
        <v>0</v>
      </c>
      <c r="O180" s="129">
        <f t="shared" si="52"/>
        <v>0</v>
      </c>
      <c r="P180" s="129">
        <f t="shared" si="52"/>
        <v>0</v>
      </c>
      <c r="Q180" s="129">
        <f t="shared" si="52"/>
        <v>0</v>
      </c>
      <c r="R180" s="129">
        <f t="shared" si="52"/>
        <v>0</v>
      </c>
      <c r="S180" s="129">
        <f t="shared" si="52"/>
        <v>0</v>
      </c>
      <c r="T180" s="129">
        <f t="shared" si="53"/>
        <v>0</v>
      </c>
      <c r="U180" s="129">
        <f t="shared" si="53"/>
        <v>0</v>
      </c>
      <c r="V180" s="129">
        <f t="shared" si="53"/>
        <v>0</v>
      </c>
      <c r="W180" s="129">
        <f t="shared" si="53"/>
        <v>0</v>
      </c>
      <c r="X180" s="129">
        <f t="shared" si="53"/>
        <v>0</v>
      </c>
      <c r="Y180" s="129">
        <f t="shared" si="53"/>
        <v>0</v>
      </c>
      <c r="Z180" s="129">
        <f t="shared" si="53"/>
        <v>0</v>
      </c>
      <c r="AA180" s="129">
        <f t="shared" si="53"/>
        <v>0</v>
      </c>
      <c r="AB180" s="129">
        <f t="shared" si="53"/>
        <v>0</v>
      </c>
      <c r="AC180" s="129">
        <f t="shared" si="53"/>
        <v>0</v>
      </c>
      <c r="AD180" s="129">
        <f t="shared" si="53"/>
        <v>0</v>
      </c>
      <c r="AE180" s="129">
        <f t="shared" si="53"/>
        <v>0</v>
      </c>
      <c r="AF180" s="129">
        <f t="shared" si="53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51"/>
        <v>0.6</v>
      </c>
      <c r="C181" s="130">
        <v>0.6</v>
      </c>
      <c r="D181" s="129">
        <f t="shared" si="52"/>
        <v>0.6</v>
      </c>
      <c r="E181" s="129">
        <f t="shared" si="52"/>
        <v>0.6</v>
      </c>
      <c r="F181" s="129">
        <f t="shared" si="52"/>
        <v>0.6</v>
      </c>
      <c r="G181" s="129">
        <f t="shared" si="52"/>
        <v>0.6</v>
      </c>
      <c r="H181" s="129">
        <f t="shared" si="52"/>
        <v>0.6</v>
      </c>
      <c r="I181" s="129">
        <f t="shared" si="52"/>
        <v>0.6</v>
      </c>
      <c r="J181" s="129">
        <f t="shared" si="52"/>
        <v>0.6</v>
      </c>
      <c r="K181" s="129">
        <f t="shared" si="52"/>
        <v>0.6</v>
      </c>
      <c r="L181" s="129">
        <f t="shared" si="52"/>
        <v>0.6</v>
      </c>
      <c r="M181" s="129">
        <f t="shared" si="52"/>
        <v>0.6</v>
      </c>
      <c r="N181" s="129">
        <f t="shared" si="52"/>
        <v>0.6</v>
      </c>
      <c r="O181" s="129">
        <f t="shared" si="52"/>
        <v>0.6</v>
      </c>
      <c r="P181" s="129">
        <f t="shared" si="52"/>
        <v>0.6</v>
      </c>
      <c r="Q181" s="129">
        <f t="shared" si="52"/>
        <v>0.6</v>
      </c>
      <c r="R181" s="129">
        <f t="shared" si="52"/>
        <v>0.6</v>
      </c>
      <c r="S181" s="129">
        <f t="shared" si="52"/>
        <v>0.6</v>
      </c>
      <c r="T181" s="129">
        <f t="shared" si="53"/>
        <v>0.6</v>
      </c>
      <c r="U181" s="129">
        <f t="shared" si="53"/>
        <v>0.6</v>
      </c>
      <c r="V181" s="129">
        <f t="shared" si="53"/>
        <v>0.6</v>
      </c>
      <c r="W181" s="129">
        <f t="shared" si="53"/>
        <v>0.6</v>
      </c>
      <c r="X181" s="129">
        <f t="shared" si="53"/>
        <v>0.6</v>
      </c>
      <c r="Y181" s="129">
        <f t="shared" si="53"/>
        <v>0.6</v>
      </c>
      <c r="Z181" s="129">
        <f t="shared" si="53"/>
        <v>0.6</v>
      </c>
      <c r="AA181" s="129">
        <f t="shared" si="53"/>
        <v>0.6</v>
      </c>
      <c r="AB181" s="129">
        <f t="shared" si="53"/>
        <v>0.6</v>
      </c>
      <c r="AC181" s="129">
        <f t="shared" si="53"/>
        <v>0.6</v>
      </c>
      <c r="AD181" s="129">
        <f t="shared" si="53"/>
        <v>0.6</v>
      </c>
      <c r="AE181" s="129">
        <f t="shared" si="53"/>
        <v>0.6</v>
      </c>
      <c r="AF181" s="129">
        <f t="shared" si="53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51"/>
        <v>0.6</v>
      </c>
      <c r="C182" s="130">
        <v>0.6</v>
      </c>
      <c r="D182" s="129">
        <f t="shared" si="52"/>
        <v>0.6</v>
      </c>
      <c r="E182" s="129">
        <f t="shared" si="52"/>
        <v>0.6</v>
      </c>
      <c r="F182" s="129">
        <f t="shared" si="52"/>
        <v>0.6</v>
      </c>
      <c r="G182" s="129">
        <f t="shared" si="52"/>
        <v>0.6</v>
      </c>
      <c r="H182" s="129">
        <f t="shared" si="52"/>
        <v>0.6</v>
      </c>
      <c r="I182" s="129">
        <f t="shared" si="52"/>
        <v>0.6</v>
      </c>
      <c r="J182" s="129">
        <f t="shared" si="52"/>
        <v>0.6</v>
      </c>
      <c r="K182" s="129">
        <f t="shared" si="52"/>
        <v>0.6</v>
      </c>
      <c r="L182" s="129">
        <f t="shared" si="52"/>
        <v>0.6</v>
      </c>
      <c r="M182" s="129">
        <f t="shared" si="52"/>
        <v>0.6</v>
      </c>
      <c r="N182" s="129">
        <f t="shared" si="52"/>
        <v>0.6</v>
      </c>
      <c r="O182" s="129">
        <f t="shared" si="52"/>
        <v>0.6</v>
      </c>
      <c r="P182" s="129">
        <f t="shared" si="52"/>
        <v>0.6</v>
      </c>
      <c r="Q182" s="129">
        <f t="shared" si="52"/>
        <v>0.6</v>
      </c>
      <c r="R182" s="129">
        <f t="shared" si="52"/>
        <v>0.6</v>
      </c>
      <c r="S182" s="129">
        <f t="shared" si="52"/>
        <v>0.6</v>
      </c>
      <c r="T182" s="129">
        <f t="shared" si="53"/>
        <v>0.6</v>
      </c>
      <c r="U182" s="129">
        <f t="shared" si="53"/>
        <v>0.6</v>
      </c>
      <c r="V182" s="129">
        <f t="shared" si="53"/>
        <v>0.6</v>
      </c>
      <c r="W182" s="129">
        <f t="shared" si="53"/>
        <v>0.6</v>
      </c>
      <c r="X182" s="129">
        <f t="shared" si="53"/>
        <v>0.6</v>
      </c>
      <c r="Y182" s="129">
        <f t="shared" si="53"/>
        <v>0.6</v>
      </c>
      <c r="Z182" s="129">
        <f t="shared" si="53"/>
        <v>0.6</v>
      </c>
      <c r="AA182" s="129">
        <f t="shared" si="53"/>
        <v>0.6</v>
      </c>
      <c r="AB182" s="129">
        <f t="shared" si="53"/>
        <v>0.6</v>
      </c>
      <c r="AC182" s="129">
        <f t="shared" si="53"/>
        <v>0.6</v>
      </c>
      <c r="AD182" s="129">
        <f t="shared" si="53"/>
        <v>0.6</v>
      </c>
      <c r="AE182" s="129">
        <f t="shared" si="53"/>
        <v>0.6</v>
      </c>
      <c r="AF182" s="129">
        <f t="shared" si="53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51"/>
        <v>0.35</v>
      </c>
      <c r="C183" s="130">
        <v>0.35</v>
      </c>
      <c r="D183" s="129">
        <f t="shared" si="52"/>
        <v>0.35</v>
      </c>
      <c r="E183" s="129">
        <f t="shared" si="52"/>
        <v>0.35</v>
      </c>
      <c r="F183" s="129">
        <f t="shared" si="52"/>
        <v>0.35</v>
      </c>
      <c r="G183" s="129">
        <f t="shared" si="52"/>
        <v>0.35</v>
      </c>
      <c r="H183" s="129">
        <f t="shared" si="52"/>
        <v>0.35</v>
      </c>
      <c r="I183" s="129">
        <f t="shared" si="52"/>
        <v>0.35</v>
      </c>
      <c r="J183" s="129">
        <f t="shared" si="52"/>
        <v>0.35</v>
      </c>
      <c r="K183" s="129">
        <f t="shared" si="52"/>
        <v>0.35</v>
      </c>
      <c r="L183" s="129">
        <f t="shared" si="52"/>
        <v>0.35</v>
      </c>
      <c r="M183" s="129">
        <f t="shared" si="52"/>
        <v>0.35</v>
      </c>
      <c r="N183" s="129">
        <f t="shared" si="52"/>
        <v>0.35</v>
      </c>
      <c r="O183" s="129">
        <f t="shared" si="52"/>
        <v>0.35</v>
      </c>
      <c r="P183" s="129">
        <f t="shared" si="52"/>
        <v>0.35</v>
      </c>
      <c r="Q183" s="129">
        <f t="shared" si="52"/>
        <v>0.35</v>
      </c>
      <c r="R183" s="129">
        <f t="shared" si="52"/>
        <v>0.35</v>
      </c>
      <c r="S183" s="129">
        <f t="shared" si="52"/>
        <v>0.35</v>
      </c>
      <c r="T183" s="129">
        <f t="shared" si="53"/>
        <v>0.35</v>
      </c>
      <c r="U183" s="129">
        <f t="shared" si="53"/>
        <v>0.35</v>
      </c>
      <c r="V183" s="129">
        <f t="shared" si="53"/>
        <v>0.35</v>
      </c>
      <c r="W183" s="129">
        <f t="shared" si="53"/>
        <v>0.35</v>
      </c>
      <c r="X183" s="129">
        <f t="shared" si="53"/>
        <v>0.35</v>
      </c>
      <c r="Y183" s="129">
        <f t="shared" si="53"/>
        <v>0.35</v>
      </c>
      <c r="Z183" s="129">
        <f t="shared" si="53"/>
        <v>0.35</v>
      </c>
      <c r="AA183" s="129">
        <f t="shared" si="53"/>
        <v>0.35</v>
      </c>
      <c r="AB183" s="129">
        <f t="shared" si="53"/>
        <v>0.35</v>
      </c>
      <c r="AC183" s="129">
        <f t="shared" si="53"/>
        <v>0.35</v>
      </c>
      <c r="AD183" s="129">
        <f t="shared" si="53"/>
        <v>0.35</v>
      </c>
      <c r="AE183" s="129">
        <f t="shared" si="53"/>
        <v>0.35</v>
      </c>
      <c r="AF183" s="129">
        <f t="shared" si="53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51"/>
        <v>0.28999999999999998</v>
      </c>
      <c r="C184" s="130">
        <v>0.28999999999999998</v>
      </c>
      <c r="D184" s="129">
        <f t="shared" si="52"/>
        <v>0.28999999999999998</v>
      </c>
      <c r="E184" s="129">
        <f t="shared" si="52"/>
        <v>0.28999999999999998</v>
      </c>
      <c r="F184" s="129">
        <f t="shared" si="52"/>
        <v>0.28999999999999998</v>
      </c>
      <c r="G184" s="129">
        <f t="shared" si="52"/>
        <v>0.28999999999999998</v>
      </c>
      <c r="H184" s="129">
        <f t="shared" si="52"/>
        <v>0.28999999999999998</v>
      </c>
      <c r="I184" s="129">
        <f t="shared" si="52"/>
        <v>0.28999999999999998</v>
      </c>
      <c r="J184" s="129">
        <f t="shared" si="52"/>
        <v>0.28999999999999998</v>
      </c>
      <c r="K184" s="129">
        <f t="shared" si="52"/>
        <v>0.28999999999999998</v>
      </c>
      <c r="L184" s="129">
        <f t="shared" si="52"/>
        <v>0.28999999999999998</v>
      </c>
      <c r="M184" s="129">
        <f t="shared" si="52"/>
        <v>0.28999999999999998</v>
      </c>
      <c r="N184" s="129">
        <f t="shared" si="52"/>
        <v>0.28999999999999998</v>
      </c>
      <c r="O184" s="129">
        <f t="shared" si="52"/>
        <v>0.28999999999999998</v>
      </c>
      <c r="P184" s="129">
        <f t="shared" si="52"/>
        <v>0.28999999999999998</v>
      </c>
      <c r="Q184" s="129">
        <f t="shared" si="52"/>
        <v>0.28999999999999998</v>
      </c>
      <c r="R184" s="129">
        <f t="shared" si="52"/>
        <v>0.28999999999999998</v>
      </c>
      <c r="S184" s="129">
        <f t="shared" si="52"/>
        <v>0.28999999999999998</v>
      </c>
      <c r="T184" s="129">
        <f t="shared" si="53"/>
        <v>0.28999999999999998</v>
      </c>
      <c r="U184" s="129">
        <f t="shared" si="53"/>
        <v>0.28999999999999998</v>
      </c>
      <c r="V184" s="129">
        <f t="shared" si="53"/>
        <v>0.28999999999999998</v>
      </c>
      <c r="W184" s="129">
        <f t="shared" si="53"/>
        <v>0.28999999999999998</v>
      </c>
      <c r="X184" s="129">
        <f t="shared" si="53"/>
        <v>0.28999999999999998</v>
      </c>
      <c r="Y184" s="129">
        <f t="shared" si="53"/>
        <v>0.28999999999999998</v>
      </c>
      <c r="Z184" s="129">
        <f t="shared" si="53"/>
        <v>0.28999999999999998</v>
      </c>
      <c r="AA184" s="129">
        <f t="shared" si="53"/>
        <v>0.28999999999999998</v>
      </c>
      <c r="AB184" s="129">
        <f t="shared" si="53"/>
        <v>0.28999999999999998</v>
      </c>
      <c r="AC184" s="129">
        <f t="shared" si="53"/>
        <v>0.28999999999999998</v>
      </c>
      <c r="AD184" s="129">
        <f t="shared" si="53"/>
        <v>0.28999999999999998</v>
      </c>
      <c r="AE184" s="129">
        <f t="shared" si="53"/>
        <v>0.28999999999999998</v>
      </c>
      <c r="AF184" s="129">
        <f t="shared" si="53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51"/>
        <v>0.06</v>
      </c>
      <c r="C185" s="130">
        <v>0.06</v>
      </c>
      <c r="D185" s="129">
        <f t="shared" si="52"/>
        <v>0.06</v>
      </c>
      <c r="E185" s="129">
        <f t="shared" si="52"/>
        <v>0.06</v>
      </c>
      <c r="F185" s="129">
        <f t="shared" si="52"/>
        <v>0.06</v>
      </c>
      <c r="G185" s="129">
        <f t="shared" si="52"/>
        <v>0.06</v>
      </c>
      <c r="H185" s="129">
        <f t="shared" si="52"/>
        <v>0.06</v>
      </c>
      <c r="I185" s="129">
        <f t="shared" si="52"/>
        <v>0.06</v>
      </c>
      <c r="J185" s="129">
        <f t="shared" si="52"/>
        <v>0.06</v>
      </c>
      <c r="K185" s="129">
        <f t="shared" si="52"/>
        <v>0.06</v>
      </c>
      <c r="L185" s="129">
        <f t="shared" si="52"/>
        <v>0.06</v>
      </c>
      <c r="M185" s="129">
        <f t="shared" si="52"/>
        <v>0.06</v>
      </c>
      <c r="N185" s="129">
        <f t="shared" si="52"/>
        <v>0.06</v>
      </c>
      <c r="O185" s="129">
        <f t="shared" si="52"/>
        <v>0.06</v>
      </c>
      <c r="P185" s="129">
        <f t="shared" si="52"/>
        <v>0.06</v>
      </c>
      <c r="Q185" s="129">
        <f t="shared" si="52"/>
        <v>0.06</v>
      </c>
      <c r="R185" s="129">
        <f t="shared" si="52"/>
        <v>0.06</v>
      </c>
      <c r="S185" s="129">
        <f t="shared" si="52"/>
        <v>0.06</v>
      </c>
      <c r="T185" s="129">
        <f t="shared" si="53"/>
        <v>0.06</v>
      </c>
      <c r="U185" s="129">
        <f t="shared" si="53"/>
        <v>0.06</v>
      </c>
      <c r="V185" s="129">
        <f t="shared" si="53"/>
        <v>0.06</v>
      </c>
      <c r="W185" s="129">
        <f t="shared" si="53"/>
        <v>0.06</v>
      </c>
      <c r="X185" s="129">
        <f t="shared" si="53"/>
        <v>0.06</v>
      </c>
      <c r="Y185" s="129">
        <f t="shared" si="53"/>
        <v>0.06</v>
      </c>
      <c r="Z185" s="129">
        <f t="shared" si="53"/>
        <v>0.06</v>
      </c>
      <c r="AA185" s="129">
        <f t="shared" si="53"/>
        <v>0.06</v>
      </c>
      <c r="AB185" s="129">
        <f t="shared" si="53"/>
        <v>0.06</v>
      </c>
      <c r="AC185" s="129">
        <f t="shared" si="53"/>
        <v>0.06</v>
      </c>
      <c r="AD185" s="129">
        <f t="shared" si="53"/>
        <v>0.06</v>
      </c>
      <c r="AE185" s="129">
        <f t="shared" si="53"/>
        <v>0.06</v>
      </c>
      <c r="AF185" s="129">
        <f t="shared" si="53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51"/>
        <v>0.11</v>
      </c>
      <c r="C186" s="130">
        <v>0.11</v>
      </c>
      <c r="D186" s="129">
        <f t="shared" si="52"/>
        <v>0.11</v>
      </c>
      <c r="E186" s="129">
        <f t="shared" si="52"/>
        <v>0.11</v>
      </c>
      <c r="F186" s="129">
        <f t="shared" si="52"/>
        <v>0.11</v>
      </c>
      <c r="G186" s="129">
        <f t="shared" si="52"/>
        <v>0.11</v>
      </c>
      <c r="H186" s="129">
        <f t="shared" si="52"/>
        <v>0.11</v>
      </c>
      <c r="I186" s="129">
        <f t="shared" si="52"/>
        <v>0.11</v>
      </c>
      <c r="J186" s="129">
        <f t="shared" si="52"/>
        <v>0.11</v>
      </c>
      <c r="K186" s="129">
        <f t="shared" si="52"/>
        <v>0.11</v>
      </c>
      <c r="L186" s="129">
        <f t="shared" si="52"/>
        <v>0.11</v>
      </c>
      <c r="M186" s="129">
        <f t="shared" si="52"/>
        <v>0.11</v>
      </c>
      <c r="N186" s="129">
        <f t="shared" si="52"/>
        <v>0.11</v>
      </c>
      <c r="O186" s="129">
        <f t="shared" si="52"/>
        <v>0.11</v>
      </c>
      <c r="P186" s="129">
        <f t="shared" si="52"/>
        <v>0.11</v>
      </c>
      <c r="Q186" s="129">
        <f t="shared" si="52"/>
        <v>0.11</v>
      </c>
      <c r="R186" s="129">
        <f t="shared" si="52"/>
        <v>0.11</v>
      </c>
      <c r="S186" s="129">
        <f t="shared" si="52"/>
        <v>0.11</v>
      </c>
      <c r="T186" s="129">
        <f t="shared" si="53"/>
        <v>0.11</v>
      </c>
      <c r="U186" s="129">
        <f t="shared" si="53"/>
        <v>0.11</v>
      </c>
      <c r="V186" s="129">
        <f t="shared" si="53"/>
        <v>0.11</v>
      </c>
      <c r="W186" s="129">
        <f t="shared" si="53"/>
        <v>0.11</v>
      </c>
      <c r="X186" s="129">
        <f t="shared" si="53"/>
        <v>0.11</v>
      </c>
      <c r="Y186" s="129">
        <f t="shared" si="53"/>
        <v>0.11</v>
      </c>
      <c r="Z186" s="129">
        <f t="shared" si="53"/>
        <v>0.11</v>
      </c>
      <c r="AA186" s="129">
        <f t="shared" si="53"/>
        <v>0.11</v>
      </c>
      <c r="AB186" s="129">
        <f t="shared" si="53"/>
        <v>0.11</v>
      </c>
      <c r="AC186" s="129">
        <f t="shared" si="53"/>
        <v>0.11</v>
      </c>
      <c r="AD186" s="129">
        <f t="shared" si="53"/>
        <v>0.11</v>
      </c>
      <c r="AE186" s="129">
        <f t="shared" si="53"/>
        <v>0.11</v>
      </c>
      <c r="AF186" s="129">
        <f t="shared" si="53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51"/>
        <v>0.1</v>
      </c>
      <c r="C187" s="130">
        <v>0.1</v>
      </c>
      <c r="D187" s="129">
        <f t="shared" si="52"/>
        <v>0.1</v>
      </c>
      <c r="E187" s="129">
        <f t="shared" si="52"/>
        <v>0.1</v>
      </c>
      <c r="F187" s="129">
        <f t="shared" si="52"/>
        <v>0.1</v>
      </c>
      <c r="G187" s="129">
        <f t="shared" si="52"/>
        <v>0.1</v>
      </c>
      <c r="H187" s="129">
        <f t="shared" si="52"/>
        <v>0.1</v>
      </c>
      <c r="I187" s="129">
        <f t="shared" si="52"/>
        <v>0.1</v>
      </c>
      <c r="J187" s="129">
        <f t="shared" si="52"/>
        <v>0.1</v>
      </c>
      <c r="K187" s="129">
        <f t="shared" si="52"/>
        <v>0.1</v>
      </c>
      <c r="L187" s="129">
        <f t="shared" si="52"/>
        <v>0.1</v>
      </c>
      <c r="M187" s="129">
        <f t="shared" si="52"/>
        <v>0.1</v>
      </c>
      <c r="N187" s="129">
        <f t="shared" si="52"/>
        <v>0.1</v>
      </c>
      <c r="O187" s="129">
        <f t="shared" si="52"/>
        <v>0.1</v>
      </c>
      <c r="P187" s="129">
        <f t="shared" si="52"/>
        <v>0.1</v>
      </c>
      <c r="Q187" s="129">
        <f t="shared" si="52"/>
        <v>0.1</v>
      </c>
      <c r="R187" s="129">
        <f t="shared" si="52"/>
        <v>0.1</v>
      </c>
      <c r="S187" s="129">
        <f t="shared" si="53"/>
        <v>0.1</v>
      </c>
      <c r="T187" s="129">
        <f t="shared" si="53"/>
        <v>0.1</v>
      </c>
      <c r="U187" s="129">
        <f t="shared" si="53"/>
        <v>0.1</v>
      </c>
      <c r="V187" s="129">
        <f t="shared" si="53"/>
        <v>0.1</v>
      </c>
      <c r="W187" s="129">
        <f t="shared" si="53"/>
        <v>0.1</v>
      </c>
      <c r="X187" s="129">
        <f t="shared" si="53"/>
        <v>0.1</v>
      </c>
      <c r="Y187" s="129">
        <f t="shared" si="53"/>
        <v>0.1</v>
      </c>
      <c r="Z187" s="129">
        <f t="shared" si="53"/>
        <v>0.1</v>
      </c>
      <c r="AA187" s="129">
        <f t="shared" si="53"/>
        <v>0.1</v>
      </c>
      <c r="AB187" s="129">
        <f t="shared" si="53"/>
        <v>0.1</v>
      </c>
      <c r="AC187" s="129">
        <f t="shared" si="53"/>
        <v>0.1</v>
      </c>
      <c r="AD187" s="129">
        <f t="shared" si="53"/>
        <v>0.1</v>
      </c>
      <c r="AE187" s="129">
        <f t="shared" si="53"/>
        <v>0.1</v>
      </c>
      <c r="AF187" s="129">
        <f t="shared" si="53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51"/>
        <v>0.09</v>
      </c>
      <c r="C188" s="130">
        <v>0.09</v>
      </c>
      <c r="D188" s="129">
        <f t="shared" si="52"/>
        <v>0.09</v>
      </c>
      <c r="E188" s="129">
        <f t="shared" si="52"/>
        <v>0.09</v>
      </c>
      <c r="F188" s="129">
        <f t="shared" si="52"/>
        <v>0.09</v>
      </c>
      <c r="G188" s="129">
        <f t="shared" si="52"/>
        <v>0.09</v>
      </c>
      <c r="H188" s="129">
        <f t="shared" si="52"/>
        <v>0.09</v>
      </c>
      <c r="I188" s="129">
        <f t="shared" si="52"/>
        <v>0.09</v>
      </c>
      <c r="J188" s="129">
        <f t="shared" si="52"/>
        <v>0.09</v>
      </c>
      <c r="K188" s="129">
        <f t="shared" si="52"/>
        <v>0.09</v>
      </c>
      <c r="L188" s="129">
        <f t="shared" si="52"/>
        <v>0.09</v>
      </c>
      <c r="M188" s="129">
        <f t="shared" si="52"/>
        <v>0.09</v>
      </c>
      <c r="N188" s="129">
        <f t="shared" si="52"/>
        <v>0.09</v>
      </c>
      <c r="O188" s="129">
        <f t="shared" si="52"/>
        <v>0.09</v>
      </c>
      <c r="P188" s="129">
        <f t="shared" si="52"/>
        <v>0.09</v>
      </c>
      <c r="Q188" s="129">
        <f t="shared" si="52"/>
        <v>0.09</v>
      </c>
      <c r="R188" s="129">
        <f t="shared" si="52"/>
        <v>0.09</v>
      </c>
      <c r="S188" s="129">
        <f t="shared" si="53"/>
        <v>0.09</v>
      </c>
      <c r="T188" s="129">
        <f t="shared" si="53"/>
        <v>0.09</v>
      </c>
      <c r="U188" s="129">
        <f t="shared" si="53"/>
        <v>0.09</v>
      </c>
      <c r="V188" s="129">
        <f t="shared" si="53"/>
        <v>0.09</v>
      </c>
      <c r="W188" s="129">
        <f t="shared" si="53"/>
        <v>0.09</v>
      </c>
      <c r="X188" s="129">
        <f t="shared" si="53"/>
        <v>0.09</v>
      </c>
      <c r="Y188" s="129">
        <f t="shared" si="53"/>
        <v>0.09</v>
      </c>
      <c r="Z188" s="129">
        <f t="shared" si="53"/>
        <v>0.09</v>
      </c>
      <c r="AA188" s="129">
        <f t="shared" si="53"/>
        <v>0.09</v>
      </c>
      <c r="AB188" s="129">
        <f t="shared" si="53"/>
        <v>0.09</v>
      </c>
      <c r="AC188" s="129">
        <f t="shared" si="53"/>
        <v>0.09</v>
      </c>
      <c r="AD188" s="129">
        <f t="shared" si="53"/>
        <v>0.09</v>
      </c>
      <c r="AE188" s="129">
        <f t="shared" si="53"/>
        <v>0.09</v>
      </c>
      <c r="AF188" s="129">
        <f t="shared" si="53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51"/>
        <v>0.04</v>
      </c>
      <c r="C189" s="53">
        <v>0.04</v>
      </c>
      <c r="D189" s="129">
        <f t="shared" si="52"/>
        <v>0.04</v>
      </c>
      <c r="E189" s="129">
        <f t="shared" si="52"/>
        <v>0.04</v>
      </c>
      <c r="F189" s="129">
        <f t="shared" si="52"/>
        <v>0.04</v>
      </c>
      <c r="G189" s="129">
        <f t="shared" si="52"/>
        <v>0.04</v>
      </c>
      <c r="H189" s="129">
        <f t="shared" si="52"/>
        <v>0.04</v>
      </c>
      <c r="I189" s="129">
        <f t="shared" si="52"/>
        <v>0.04</v>
      </c>
      <c r="J189" s="129">
        <f t="shared" si="52"/>
        <v>0.04</v>
      </c>
      <c r="K189" s="129">
        <f t="shared" si="52"/>
        <v>0.04</v>
      </c>
      <c r="L189" s="129">
        <f t="shared" si="52"/>
        <v>0.04</v>
      </c>
      <c r="M189" s="129">
        <f t="shared" si="52"/>
        <v>0.04</v>
      </c>
      <c r="N189" s="129">
        <f t="shared" si="52"/>
        <v>0.04</v>
      </c>
      <c r="O189" s="129">
        <f t="shared" si="52"/>
        <v>0.04</v>
      </c>
      <c r="P189" s="129">
        <f t="shared" si="52"/>
        <v>0.04</v>
      </c>
      <c r="Q189" s="129">
        <f t="shared" si="52"/>
        <v>0.04</v>
      </c>
      <c r="R189" s="129">
        <f t="shared" si="52"/>
        <v>0.04</v>
      </c>
      <c r="S189" s="129">
        <f t="shared" si="53"/>
        <v>0.04</v>
      </c>
      <c r="T189" s="129">
        <f t="shared" si="53"/>
        <v>0.04</v>
      </c>
      <c r="U189" s="129">
        <f t="shared" si="53"/>
        <v>0.04</v>
      </c>
      <c r="V189" s="129">
        <f t="shared" si="53"/>
        <v>0.04</v>
      </c>
      <c r="W189" s="129">
        <f t="shared" si="53"/>
        <v>0.04</v>
      </c>
      <c r="X189" s="129">
        <f t="shared" si="53"/>
        <v>0.04</v>
      </c>
      <c r="Y189" s="129">
        <f t="shared" si="53"/>
        <v>0.04</v>
      </c>
      <c r="Z189" s="129">
        <f t="shared" si="53"/>
        <v>0.04</v>
      </c>
      <c r="AA189" s="129">
        <f t="shared" si="53"/>
        <v>0.04</v>
      </c>
      <c r="AB189" s="129">
        <f t="shared" si="53"/>
        <v>0.04</v>
      </c>
      <c r="AC189" s="129">
        <f t="shared" si="53"/>
        <v>0.04</v>
      </c>
      <c r="AD189" s="129">
        <f t="shared" si="53"/>
        <v>0.04</v>
      </c>
      <c r="AE189" s="129">
        <f t="shared" si="53"/>
        <v>0.04</v>
      </c>
      <c r="AF189" s="129">
        <f t="shared" si="53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51"/>
        <v>2.3E-2</v>
      </c>
      <c r="C190" s="53">
        <v>2.3E-2</v>
      </c>
      <c r="D190" s="129">
        <f>C190</f>
        <v>2.3E-2</v>
      </c>
      <c r="E190" s="129">
        <f t="shared" si="52"/>
        <v>2.3E-2</v>
      </c>
      <c r="F190" s="129">
        <f t="shared" si="52"/>
        <v>2.3E-2</v>
      </c>
      <c r="G190" s="129">
        <f t="shared" si="52"/>
        <v>2.3E-2</v>
      </c>
      <c r="H190" s="129">
        <f t="shared" si="52"/>
        <v>2.3E-2</v>
      </c>
      <c r="I190" s="129">
        <f t="shared" si="52"/>
        <v>2.3E-2</v>
      </c>
      <c r="J190" s="129">
        <f t="shared" si="52"/>
        <v>2.3E-2</v>
      </c>
      <c r="K190" s="129">
        <f t="shared" si="52"/>
        <v>2.3E-2</v>
      </c>
      <c r="L190" s="129">
        <f t="shared" si="52"/>
        <v>2.3E-2</v>
      </c>
      <c r="M190" s="129">
        <f t="shared" si="52"/>
        <v>2.3E-2</v>
      </c>
      <c r="N190" s="129">
        <f t="shared" si="52"/>
        <v>2.3E-2</v>
      </c>
      <c r="O190" s="129">
        <f t="shared" si="52"/>
        <v>2.3E-2</v>
      </c>
      <c r="P190" s="129">
        <f t="shared" si="52"/>
        <v>2.3E-2</v>
      </c>
      <c r="Q190" s="129">
        <f t="shared" si="52"/>
        <v>2.3E-2</v>
      </c>
      <c r="R190" s="129">
        <f t="shared" si="52"/>
        <v>2.3E-2</v>
      </c>
      <c r="S190" s="129">
        <f t="shared" si="53"/>
        <v>2.3E-2</v>
      </c>
      <c r="T190" s="129">
        <f t="shared" si="53"/>
        <v>2.3E-2</v>
      </c>
      <c r="U190" s="129">
        <f t="shared" si="53"/>
        <v>2.3E-2</v>
      </c>
      <c r="V190" s="129">
        <f t="shared" si="53"/>
        <v>2.3E-2</v>
      </c>
      <c r="W190" s="129">
        <f t="shared" si="53"/>
        <v>2.3E-2</v>
      </c>
      <c r="X190" s="129">
        <f t="shared" si="53"/>
        <v>2.3E-2</v>
      </c>
      <c r="Y190" s="129">
        <f t="shared" si="53"/>
        <v>2.3E-2</v>
      </c>
      <c r="Z190" s="129">
        <f t="shared" si="53"/>
        <v>2.3E-2</v>
      </c>
      <c r="AA190" s="129">
        <f t="shared" si="53"/>
        <v>2.3E-2</v>
      </c>
      <c r="AB190" s="129">
        <f t="shared" si="53"/>
        <v>2.3E-2</v>
      </c>
      <c r="AC190" s="129">
        <f t="shared" si="53"/>
        <v>2.3E-2</v>
      </c>
      <c r="AD190" s="129">
        <f t="shared" si="53"/>
        <v>2.3E-2</v>
      </c>
      <c r="AE190" s="129">
        <f t="shared" si="53"/>
        <v>2.3E-2</v>
      </c>
      <c r="AF190" s="129">
        <f t="shared" si="53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4">SUM(C101:C190)</f>
        <v>194.70600000000002</v>
      </c>
      <c r="D191" s="134">
        <f t="shared" si="54"/>
        <v>194.70600000000002</v>
      </c>
      <c r="E191" s="134">
        <f t="shared" si="54"/>
        <v>194.70600000000002</v>
      </c>
      <c r="F191" s="134">
        <f t="shared" si="54"/>
        <v>194.70600000000002</v>
      </c>
      <c r="G191" s="134">
        <f t="shared" si="54"/>
        <v>194.70600000000002</v>
      </c>
      <c r="H191" s="134">
        <f t="shared" si="54"/>
        <v>194.70600000000002</v>
      </c>
      <c r="I191" s="134">
        <f t="shared" si="54"/>
        <v>194.70600000000002</v>
      </c>
      <c r="J191" s="134">
        <f t="shared" si="54"/>
        <v>192.10600000000005</v>
      </c>
      <c r="K191" s="134">
        <f t="shared" si="54"/>
        <v>192.10600000000005</v>
      </c>
      <c r="L191" s="134">
        <f t="shared" si="54"/>
        <v>192.10600000000005</v>
      </c>
      <c r="M191" s="134">
        <f t="shared" si="54"/>
        <v>192.10600000000005</v>
      </c>
      <c r="N191" s="134">
        <f t="shared" si="54"/>
        <v>192.10600000000005</v>
      </c>
      <c r="O191" s="134">
        <f t="shared" si="54"/>
        <v>192.10600000000005</v>
      </c>
      <c r="P191" s="134">
        <f t="shared" si="54"/>
        <v>192.10600000000005</v>
      </c>
      <c r="Q191" s="134">
        <f t="shared" si="54"/>
        <v>192.10600000000005</v>
      </c>
      <c r="R191" s="134">
        <f t="shared" si="54"/>
        <v>192.10600000000005</v>
      </c>
      <c r="S191" s="134">
        <f t="shared" si="54"/>
        <v>192.10600000000005</v>
      </c>
      <c r="T191" s="134">
        <f t="shared" si="54"/>
        <v>192.10600000000005</v>
      </c>
      <c r="U191" s="134">
        <f t="shared" si="54"/>
        <v>192.10600000000005</v>
      </c>
      <c r="V191" s="134">
        <f t="shared" si="54"/>
        <v>192.10600000000005</v>
      </c>
      <c r="W191" s="134">
        <f t="shared" si="54"/>
        <v>192.10600000000005</v>
      </c>
      <c r="X191" s="134">
        <f t="shared" si="54"/>
        <v>192.10600000000005</v>
      </c>
      <c r="Y191" s="134">
        <f t="shared" si="54"/>
        <v>192.10600000000005</v>
      </c>
      <c r="Z191" s="134">
        <f t="shared" si="54"/>
        <v>192.10600000000005</v>
      </c>
      <c r="AA191" s="134">
        <f t="shared" si="54"/>
        <v>192.10600000000005</v>
      </c>
      <c r="AB191" s="134">
        <f t="shared" si="54"/>
        <v>192.10600000000005</v>
      </c>
      <c r="AC191" s="134">
        <f t="shared" si="54"/>
        <v>192.10600000000005</v>
      </c>
      <c r="AD191" s="134">
        <f t="shared" si="54"/>
        <v>192.10600000000005</v>
      </c>
      <c r="AE191" s="134">
        <f t="shared" si="54"/>
        <v>192.10600000000005</v>
      </c>
      <c r="AF191" s="134">
        <f t="shared" si="54"/>
        <v>192.10600000000005</v>
      </c>
      <c r="AG191" s="135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5">AF193</f>
        <v>0.3</v>
      </c>
      <c r="C193" s="136">
        <v>0.3</v>
      </c>
      <c r="D193" s="136">
        <f t="shared" ref="D193:S198" si="56">C193</f>
        <v>0.3</v>
      </c>
      <c r="E193" s="136">
        <f t="shared" si="56"/>
        <v>0.3</v>
      </c>
      <c r="F193" s="136">
        <f t="shared" si="56"/>
        <v>0.3</v>
      </c>
      <c r="G193" s="136">
        <f t="shared" si="56"/>
        <v>0.3</v>
      </c>
      <c r="H193" s="136">
        <f t="shared" si="56"/>
        <v>0.3</v>
      </c>
      <c r="I193" s="136">
        <f t="shared" si="56"/>
        <v>0.3</v>
      </c>
      <c r="J193" s="136">
        <f t="shared" si="56"/>
        <v>0.3</v>
      </c>
      <c r="K193" s="136">
        <f t="shared" si="56"/>
        <v>0.3</v>
      </c>
      <c r="L193" s="136">
        <f t="shared" si="56"/>
        <v>0.3</v>
      </c>
      <c r="M193" s="136">
        <f t="shared" si="56"/>
        <v>0.3</v>
      </c>
      <c r="N193" s="136">
        <f t="shared" si="56"/>
        <v>0.3</v>
      </c>
      <c r="O193" s="136">
        <f t="shared" si="56"/>
        <v>0.3</v>
      </c>
      <c r="P193" s="136">
        <f t="shared" si="56"/>
        <v>0.3</v>
      </c>
      <c r="Q193" s="136">
        <f t="shared" si="56"/>
        <v>0.3</v>
      </c>
      <c r="R193" s="136">
        <f t="shared" si="56"/>
        <v>0.3</v>
      </c>
      <c r="S193" s="136">
        <f t="shared" si="56"/>
        <v>0.3</v>
      </c>
      <c r="T193" s="136">
        <f t="shared" ref="T193:AF198" si="57">S193</f>
        <v>0.3</v>
      </c>
      <c r="U193" s="136">
        <f t="shared" si="57"/>
        <v>0.3</v>
      </c>
      <c r="V193" s="136">
        <f t="shared" si="57"/>
        <v>0.3</v>
      </c>
      <c r="W193" s="136">
        <f t="shared" si="57"/>
        <v>0.3</v>
      </c>
      <c r="X193" s="136">
        <f t="shared" si="57"/>
        <v>0.3</v>
      </c>
      <c r="Y193" s="136">
        <f t="shared" si="57"/>
        <v>0.3</v>
      </c>
      <c r="Z193" s="136">
        <f t="shared" si="57"/>
        <v>0.3</v>
      </c>
      <c r="AA193" s="136">
        <f t="shared" si="57"/>
        <v>0.3</v>
      </c>
      <c r="AB193" s="136">
        <f t="shared" si="57"/>
        <v>0.3</v>
      </c>
      <c r="AC193" s="136">
        <f t="shared" si="57"/>
        <v>0.3</v>
      </c>
      <c r="AD193" s="136">
        <f t="shared" si="57"/>
        <v>0.3</v>
      </c>
      <c r="AE193" s="136">
        <f t="shared" si="57"/>
        <v>0.3</v>
      </c>
      <c r="AF193" s="136">
        <f t="shared" si="57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5"/>
        <v>0.4</v>
      </c>
      <c r="C194" s="129">
        <v>0.4</v>
      </c>
      <c r="D194" s="129">
        <f t="shared" si="56"/>
        <v>0.4</v>
      </c>
      <c r="E194" s="129">
        <f t="shared" si="56"/>
        <v>0.4</v>
      </c>
      <c r="F194" s="129">
        <f t="shared" si="56"/>
        <v>0.4</v>
      </c>
      <c r="G194" s="129">
        <f t="shared" si="56"/>
        <v>0.4</v>
      </c>
      <c r="H194" s="129">
        <f t="shared" si="56"/>
        <v>0.4</v>
      </c>
      <c r="I194" s="129">
        <f t="shared" si="56"/>
        <v>0.4</v>
      </c>
      <c r="J194" s="129">
        <f t="shared" si="56"/>
        <v>0.4</v>
      </c>
      <c r="K194" s="129">
        <f t="shared" si="56"/>
        <v>0.4</v>
      </c>
      <c r="L194" s="129">
        <f t="shared" si="56"/>
        <v>0.4</v>
      </c>
      <c r="M194" s="129">
        <f t="shared" si="56"/>
        <v>0.4</v>
      </c>
      <c r="N194" s="129">
        <f t="shared" si="56"/>
        <v>0.4</v>
      </c>
      <c r="O194" s="129">
        <f t="shared" si="56"/>
        <v>0.4</v>
      </c>
      <c r="P194" s="129">
        <f t="shared" si="56"/>
        <v>0.4</v>
      </c>
      <c r="Q194" s="129">
        <f t="shared" si="56"/>
        <v>0.4</v>
      </c>
      <c r="R194" s="129">
        <f t="shared" si="56"/>
        <v>0.4</v>
      </c>
      <c r="S194" s="129">
        <f t="shared" si="56"/>
        <v>0.4</v>
      </c>
      <c r="T194" s="129">
        <f t="shared" si="57"/>
        <v>0.4</v>
      </c>
      <c r="U194" s="129">
        <f t="shared" si="57"/>
        <v>0.4</v>
      </c>
      <c r="V194" s="129">
        <f t="shared" si="57"/>
        <v>0.4</v>
      </c>
      <c r="W194" s="129">
        <f>V194</f>
        <v>0.4</v>
      </c>
      <c r="X194" s="129">
        <f>W194</f>
        <v>0.4</v>
      </c>
      <c r="Y194" s="129">
        <f t="shared" si="57"/>
        <v>0.4</v>
      </c>
      <c r="Z194" s="129">
        <f t="shared" si="57"/>
        <v>0.4</v>
      </c>
      <c r="AA194" s="129">
        <f t="shared" si="57"/>
        <v>0.4</v>
      </c>
      <c r="AB194" s="129">
        <f t="shared" si="57"/>
        <v>0.4</v>
      </c>
      <c r="AC194" s="129">
        <f t="shared" si="57"/>
        <v>0.4</v>
      </c>
      <c r="AD194" s="129">
        <f t="shared" si="57"/>
        <v>0.4</v>
      </c>
      <c r="AE194" s="129">
        <f t="shared" si="57"/>
        <v>0.4</v>
      </c>
      <c r="AF194" s="129">
        <f t="shared" si="57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5"/>
        <v>1.5</v>
      </c>
      <c r="C195" s="129">
        <v>1.5</v>
      </c>
      <c r="D195" s="129">
        <f t="shared" si="56"/>
        <v>1.5</v>
      </c>
      <c r="E195" s="129">
        <f t="shared" si="56"/>
        <v>1.5</v>
      </c>
      <c r="F195" s="129">
        <f t="shared" si="56"/>
        <v>1.5</v>
      </c>
      <c r="G195" s="129">
        <f t="shared" si="56"/>
        <v>1.5</v>
      </c>
      <c r="H195" s="129">
        <f t="shared" si="56"/>
        <v>1.5</v>
      </c>
      <c r="I195" s="129">
        <f t="shared" si="56"/>
        <v>1.5</v>
      </c>
      <c r="J195" s="129">
        <f t="shared" si="56"/>
        <v>1.5</v>
      </c>
      <c r="K195" s="129">
        <f t="shared" si="56"/>
        <v>1.5</v>
      </c>
      <c r="L195" s="129">
        <f t="shared" si="56"/>
        <v>1.5</v>
      </c>
      <c r="M195" s="129">
        <f t="shared" si="56"/>
        <v>1.5</v>
      </c>
      <c r="N195" s="129">
        <f t="shared" si="56"/>
        <v>1.5</v>
      </c>
      <c r="O195" s="129">
        <f t="shared" si="56"/>
        <v>1.5</v>
      </c>
      <c r="P195" s="129">
        <f t="shared" si="56"/>
        <v>1.5</v>
      </c>
      <c r="Q195" s="129">
        <f t="shared" si="56"/>
        <v>1.5</v>
      </c>
      <c r="R195" s="129">
        <f t="shared" si="56"/>
        <v>1.5</v>
      </c>
      <c r="S195" s="129">
        <f t="shared" si="56"/>
        <v>1.5</v>
      </c>
      <c r="T195" s="129">
        <f t="shared" si="57"/>
        <v>1.5</v>
      </c>
      <c r="U195" s="129">
        <f t="shared" si="57"/>
        <v>1.5</v>
      </c>
      <c r="V195" s="129">
        <f t="shared" si="57"/>
        <v>1.5</v>
      </c>
      <c r="W195" s="129">
        <f t="shared" si="57"/>
        <v>1.5</v>
      </c>
      <c r="X195" s="129">
        <f t="shared" si="57"/>
        <v>1.5</v>
      </c>
      <c r="Y195" s="129">
        <f t="shared" si="57"/>
        <v>1.5</v>
      </c>
      <c r="Z195" s="129">
        <f t="shared" si="57"/>
        <v>1.5</v>
      </c>
      <c r="AA195" s="129">
        <f t="shared" si="57"/>
        <v>1.5</v>
      </c>
      <c r="AB195" s="129">
        <f t="shared" si="57"/>
        <v>1.5</v>
      </c>
      <c r="AC195" s="129">
        <f t="shared" si="57"/>
        <v>1.5</v>
      </c>
      <c r="AD195" s="129">
        <f t="shared" si="57"/>
        <v>1.5</v>
      </c>
      <c r="AE195" s="129">
        <f t="shared" si="57"/>
        <v>1.5</v>
      </c>
      <c r="AF195" s="129">
        <f t="shared" si="57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5"/>
        <v>0.3</v>
      </c>
      <c r="C196" s="129">
        <v>0.3</v>
      </c>
      <c r="D196" s="129">
        <f t="shared" si="56"/>
        <v>0.3</v>
      </c>
      <c r="E196" s="129">
        <f t="shared" si="56"/>
        <v>0.3</v>
      </c>
      <c r="F196" s="129">
        <f t="shared" si="56"/>
        <v>0.3</v>
      </c>
      <c r="G196" s="129">
        <f t="shared" si="56"/>
        <v>0.3</v>
      </c>
      <c r="H196" s="129">
        <f t="shared" si="56"/>
        <v>0.3</v>
      </c>
      <c r="I196" s="129">
        <f t="shared" si="56"/>
        <v>0.3</v>
      </c>
      <c r="J196" s="129">
        <f t="shared" si="56"/>
        <v>0.3</v>
      </c>
      <c r="K196" s="129">
        <f t="shared" si="56"/>
        <v>0.3</v>
      </c>
      <c r="L196" s="129">
        <f t="shared" si="56"/>
        <v>0.3</v>
      </c>
      <c r="M196" s="129">
        <f t="shared" si="56"/>
        <v>0.3</v>
      </c>
      <c r="N196" s="129">
        <f t="shared" si="56"/>
        <v>0.3</v>
      </c>
      <c r="O196" s="129">
        <f t="shared" si="56"/>
        <v>0.3</v>
      </c>
      <c r="P196" s="129">
        <f t="shared" si="56"/>
        <v>0.3</v>
      </c>
      <c r="Q196" s="129">
        <f t="shared" si="56"/>
        <v>0.3</v>
      </c>
      <c r="R196" s="129">
        <f t="shared" si="56"/>
        <v>0.3</v>
      </c>
      <c r="S196" s="129">
        <f t="shared" si="56"/>
        <v>0.3</v>
      </c>
      <c r="T196" s="129">
        <f t="shared" si="57"/>
        <v>0.3</v>
      </c>
      <c r="U196" s="129">
        <f t="shared" si="57"/>
        <v>0.3</v>
      </c>
      <c r="V196" s="129">
        <f t="shared" si="57"/>
        <v>0.3</v>
      </c>
      <c r="W196" s="129">
        <f t="shared" si="57"/>
        <v>0.3</v>
      </c>
      <c r="X196" s="129">
        <f t="shared" si="57"/>
        <v>0.3</v>
      </c>
      <c r="Y196" s="129">
        <f t="shared" si="57"/>
        <v>0.3</v>
      </c>
      <c r="Z196" s="129">
        <f t="shared" si="57"/>
        <v>0.3</v>
      </c>
      <c r="AA196" s="129">
        <f t="shared" si="57"/>
        <v>0.3</v>
      </c>
      <c r="AB196" s="129">
        <f t="shared" si="57"/>
        <v>0.3</v>
      </c>
      <c r="AC196" s="129">
        <f t="shared" si="57"/>
        <v>0.3</v>
      </c>
      <c r="AD196" s="129">
        <f t="shared" si="57"/>
        <v>0.3</v>
      </c>
      <c r="AE196" s="129">
        <f t="shared" si="57"/>
        <v>0.3</v>
      </c>
      <c r="AF196" s="129">
        <f t="shared" si="57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5"/>
        <v>0.4</v>
      </c>
      <c r="C197" s="129">
        <v>0.4</v>
      </c>
      <c r="D197" s="129">
        <f t="shared" si="56"/>
        <v>0.4</v>
      </c>
      <c r="E197" s="129">
        <f t="shared" si="56"/>
        <v>0.4</v>
      </c>
      <c r="F197" s="129">
        <f t="shared" si="56"/>
        <v>0.4</v>
      </c>
      <c r="G197" s="129">
        <f t="shared" si="56"/>
        <v>0.4</v>
      </c>
      <c r="H197" s="129">
        <f t="shared" si="56"/>
        <v>0.4</v>
      </c>
      <c r="I197" s="129">
        <f t="shared" si="56"/>
        <v>0.4</v>
      </c>
      <c r="J197" s="129">
        <f t="shared" si="56"/>
        <v>0.4</v>
      </c>
      <c r="K197" s="129">
        <f t="shared" si="56"/>
        <v>0.4</v>
      </c>
      <c r="L197" s="129">
        <f t="shared" si="56"/>
        <v>0.4</v>
      </c>
      <c r="M197" s="129">
        <f t="shared" si="56"/>
        <v>0.4</v>
      </c>
      <c r="N197" s="129">
        <f t="shared" si="56"/>
        <v>0.4</v>
      </c>
      <c r="O197" s="129">
        <f t="shared" si="56"/>
        <v>0.4</v>
      </c>
      <c r="P197" s="129">
        <f t="shared" si="56"/>
        <v>0.4</v>
      </c>
      <c r="Q197" s="129">
        <f t="shared" si="56"/>
        <v>0.4</v>
      </c>
      <c r="R197" s="129">
        <f t="shared" si="56"/>
        <v>0.4</v>
      </c>
      <c r="S197" s="129">
        <f t="shared" si="56"/>
        <v>0.4</v>
      </c>
      <c r="T197" s="129">
        <f t="shared" si="57"/>
        <v>0.4</v>
      </c>
      <c r="U197" s="129">
        <f t="shared" si="57"/>
        <v>0.4</v>
      </c>
      <c r="V197" s="129">
        <f t="shared" si="57"/>
        <v>0.4</v>
      </c>
      <c r="W197" s="129">
        <f t="shared" si="57"/>
        <v>0.4</v>
      </c>
      <c r="X197" s="129">
        <f t="shared" si="57"/>
        <v>0.4</v>
      </c>
      <c r="Y197" s="129">
        <f t="shared" si="57"/>
        <v>0.4</v>
      </c>
      <c r="Z197" s="129">
        <f t="shared" si="57"/>
        <v>0.4</v>
      </c>
      <c r="AA197" s="129">
        <f t="shared" si="57"/>
        <v>0.4</v>
      </c>
      <c r="AB197" s="129">
        <f t="shared" si="57"/>
        <v>0.4</v>
      </c>
      <c r="AC197" s="129">
        <f t="shared" si="57"/>
        <v>0.4</v>
      </c>
      <c r="AD197" s="129">
        <f t="shared" si="57"/>
        <v>0.4</v>
      </c>
      <c r="AE197" s="129">
        <f t="shared" si="57"/>
        <v>0.4</v>
      </c>
      <c r="AF197" s="129">
        <f t="shared" si="57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5"/>
        <v>0.64</v>
      </c>
      <c r="C198" s="139">
        <v>0.64</v>
      </c>
      <c r="D198" s="139">
        <f t="shared" si="56"/>
        <v>0.64</v>
      </c>
      <c r="E198" s="139">
        <f t="shared" si="56"/>
        <v>0.64</v>
      </c>
      <c r="F198" s="139">
        <f t="shared" si="56"/>
        <v>0.64</v>
      </c>
      <c r="G198" s="139">
        <f t="shared" si="56"/>
        <v>0.64</v>
      </c>
      <c r="H198" s="139">
        <f t="shared" si="56"/>
        <v>0.64</v>
      </c>
      <c r="I198" s="139">
        <f t="shared" si="56"/>
        <v>0.64</v>
      </c>
      <c r="J198" s="139">
        <f t="shared" si="56"/>
        <v>0.64</v>
      </c>
      <c r="K198" s="139">
        <f t="shared" si="56"/>
        <v>0.64</v>
      </c>
      <c r="L198" s="139">
        <f t="shared" si="56"/>
        <v>0.64</v>
      </c>
      <c r="M198" s="139">
        <f t="shared" si="56"/>
        <v>0.64</v>
      </c>
      <c r="N198" s="139">
        <f t="shared" si="56"/>
        <v>0.64</v>
      </c>
      <c r="O198" s="139">
        <f t="shared" si="56"/>
        <v>0.64</v>
      </c>
      <c r="P198" s="139">
        <f t="shared" si="56"/>
        <v>0.64</v>
      </c>
      <c r="Q198" s="139">
        <f t="shared" si="56"/>
        <v>0.64</v>
      </c>
      <c r="R198" s="139">
        <f t="shared" si="56"/>
        <v>0.64</v>
      </c>
      <c r="S198" s="139">
        <f t="shared" si="56"/>
        <v>0.64</v>
      </c>
      <c r="T198" s="139">
        <f t="shared" si="57"/>
        <v>0.64</v>
      </c>
      <c r="U198" s="139">
        <f t="shared" si="57"/>
        <v>0.64</v>
      </c>
      <c r="V198" s="139">
        <f t="shared" si="57"/>
        <v>0.64</v>
      </c>
      <c r="W198" s="139">
        <f t="shared" si="57"/>
        <v>0.64</v>
      </c>
      <c r="X198" s="139">
        <f t="shared" si="57"/>
        <v>0.64</v>
      </c>
      <c r="Y198" s="139">
        <f t="shared" si="57"/>
        <v>0.64</v>
      </c>
      <c r="Z198" s="139">
        <f t="shared" si="57"/>
        <v>0.64</v>
      </c>
      <c r="AA198" s="139">
        <f t="shared" si="57"/>
        <v>0.64</v>
      </c>
      <c r="AB198" s="139">
        <f t="shared" si="57"/>
        <v>0.64</v>
      </c>
      <c r="AC198" s="139">
        <f t="shared" si="57"/>
        <v>0.64</v>
      </c>
      <c r="AD198" s="139">
        <f t="shared" si="57"/>
        <v>0.64</v>
      </c>
      <c r="AE198" s="139">
        <f t="shared" si="57"/>
        <v>0.64</v>
      </c>
      <c r="AF198" s="139">
        <f t="shared" si="57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8">SUM(D193:D198)</f>
        <v>3.54</v>
      </c>
      <c r="E199" s="142">
        <f t="shared" si="58"/>
        <v>3.54</v>
      </c>
      <c r="F199" s="142">
        <f t="shared" si="58"/>
        <v>3.54</v>
      </c>
      <c r="G199" s="142">
        <f t="shared" si="58"/>
        <v>3.54</v>
      </c>
      <c r="H199" s="142">
        <f t="shared" si="58"/>
        <v>3.54</v>
      </c>
      <c r="I199" s="142">
        <f t="shared" si="58"/>
        <v>3.54</v>
      </c>
      <c r="J199" s="142">
        <f t="shared" si="58"/>
        <v>3.54</v>
      </c>
      <c r="K199" s="142">
        <f t="shared" si="58"/>
        <v>3.54</v>
      </c>
      <c r="L199" s="142">
        <f t="shared" si="58"/>
        <v>3.54</v>
      </c>
      <c r="M199" s="142">
        <f>SUM(M193:M198)</f>
        <v>3.54</v>
      </c>
      <c r="N199" s="142">
        <f t="shared" ref="N199:S199" si="59">SUM(N193:N198)</f>
        <v>3.54</v>
      </c>
      <c r="O199" s="142">
        <f t="shared" si="59"/>
        <v>3.54</v>
      </c>
      <c r="P199" s="142">
        <f t="shared" si="59"/>
        <v>3.54</v>
      </c>
      <c r="Q199" s="142">
        <f t="shared" si="59"/>
        <v>3.54</v>
      </c>
      <c r="R199" s="142">
        <f t="shared" si="59"/>
        <v>3.54</v>
      </c>
      <c r="S199" s="142">
        <f t="shared" si="59"/>
        <v>3.54</v>
      </c>
      <c r="T199" s="142">
        <f>SUM(T193:T198)</f>
        <v>3.54</v>
      </c>
      <c r="U199" s="142">
        <f t="shared" ref="U199:AG199" si="60">SUM(U193:U198)</f>
        <v>3.54</v>
      </c>
      <c r="V199" s="142">
        <f t="shared" si="60"/>
        <v>3.54</v>
      </c>
      <c r="W199" s="142">
        <f t="shared" si="60"/>
        <v>3.54</v>
      </c>
      <c r="X199" s="142">
        <f t="shared" si="60"/>
        <v>3.54</v>
      </c>
      <c r="Y199" s="142">
        <f t="shared" si="60"/>
        <v>3.54</v>
      </c>
      <c r="Z199" s="142">
        <f t="shared" si="60"/>
        <v>3.54</v>
      </c>
      <c r="AA199" s="142">
        <f t="shared" si="60"/>
        <v>3.54</v>
      </c>
      <c r="AB199" s="142">
        <f t="shared" si="60"/>
        <v>3.54</v>
      </c>
      <c r="AC199" s="142">
        <f t="shared" si="60"/>
        <v>3.54</v>
      </c>
      <c r="AD199" s="142">
        <f t="shared" si="60"/>
        <v>3.54</v>
      </c>
      <c r="AE199" s="142">
        <f t="shared" si="60"/>
        <v>3.54</v>
      </c>
      <c r="AF199" s="142">
        <f t="shared" si="60"/>
        <v>3.54</v>
      </c>
      <c r="AG199" s="143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1359.94</v>
      </c>
      <c r="C208" s="157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M1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e">
        <f ca="1">"Pie Chart of Daily Peak Demand(Inclusive of Export) of Nepal ("&amp;A4&amp;" "&amp;B4&amp;")"</f>
        <v>#VALUE!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61">B75</f>
        <v>948.64</v>
      </c>
      <c r="U213" s="167">
        <f t="shared" si="61"/>
        <v>879.63999999999987</v>
      </c>
      <c r="V213" s="167">
        <f t="shared" si="61"/>
        <v>864.43999999999994</v>
      </c>
      <c r="W213" s="167">
        <f t="shared" si="61"/>
        <v>867.13999999999987</v>
      </c>
      <c r="X213" s="167">
        <f t="shared" si="61"/>
        <v>924.93999999999994</v>
      </c>
      <c r="Y213" s="167">
        <f t="shared" si="61"/>
        <v>962.14</v>
      </c>
      <c r="Z213" s="167">
        <f t="shared" si="61"/>
        <v>1052.94</v>
      </c>
      <c r="AA213" s="167">
        <f t="shared" si="61"/>
        <v>1134.04</v>
      </c>
      <c r="AB213" s="167">
        <f t="shared" si="61"/>
        <v>1161.54</v>
      </c>
      <c r="AC213" s="167">
        <f t="shared" si="61"/>
        <v>1333.94</v>
      </c>
      <c r="AD213" s="167">
        <f t="shared" si="61"/>
        <v>1352.54</v>
      </c>
      <c r="AE213" s="167">
        <f t="shared" si="61"/>
        <v>1359.94</v>
      </c>
      <c r="AF213" s="167">
        <f t="shared" si="61"/>
        <v>1237.6399999999999</v>
      </c>
      <c r="AG213" s="167">
        <f t="shared" si="61"/>
        <v>1118.3400000000001</v>
      </c>
      <c r="AH213" s="167">
        <f t="shared" si="61"/>
        <v>971.54</v>
      </c>
      <c r="AI213" s="167">
        <f t="shared" si="61"/>
        <v>915.44</v>
      </c>
      <c r="AJ213" s="167">
        <f t="shared" si="61"/>
        <v>869.84</v>
      </c>
      <c r="AK213" s="167">
        <f t="shared" si="61"/>
        <v>900.44</v>
      </c>
      <c r="AL213" s="167">
        <f t="shared" si="61"/>
        <v>909.24</v>
      </c>
      <c r="AM213" s="167">
        <f t="shared" si="61"/>
        <v>928.04</v>
      </c>
      <c r="AN213" s="167">
        <f t="shared" si="61"/>
        <v>986.24</v>
      </c>
      <c r="AO213" s="167">
        <f t="shared" si="61"/>
        <v>1104.44</v>
      </c>
      <c r="AP213" s="167">
        <f t="shared" si="61"/>
        <v>1299.8399999999999</v>
      </c>
      <c r="AQ213" s="167">
        <f t="shared" si="61"/>
        <v>1375.24</v>
      </c>
      <c r="AR213" s="167">
        <f t="shared" si="61"/>
        <v>1281.8400000000001</v>
      </c>
      <c r="AS213" s="167">
        <f t="shared" si="61"/>
        <v>1320.74</v>
      </c>
      <c r="AT213" s="167">
        <f t="shared" si="61"/>
        <v>1276.8400000000001</v>
      </c>
      <c r="AU213" s="167">
        <f t="shared" si="61"/>
        <v>1231.44</v>
      </c>
      <c r="AV213" s="167">
        <f t="shared" si="61"/>
        <v>1178.44</v>
      </c>
      <c r="AW213" s="167">
        <f t="shared" si="61"/>
        <v>3.54</v>
      </c>
      <c r="AX213" s="167">
        <f t="shared" si="61"/>
        <v>3.54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62">C198</f>
        <v>0.64</v>
      </c>
      <c r="C234" s="170">
        <f t="shared" si="62"/>
        <v>0.64</v>
      </c>
      <c r="D234" s="170">
        <f t="shared" si="62"/>
        <v>0.64</v>
      </c>
      <c r="E234" s="170">
        <f t="shared" si="62"/>
        <v>0.64</v>
      </c>
      <c r="F234" s="170">
        <f t="shared" si="62"/>
        <v>0.64</v>
      </c>
      <c r="G234" s="170">
        <f t="shared" si="62"/>
        <v>0.64</v>
      </c>
      <c r="H234" s="170">
        <f t="shared" si="62"/>
        <v>0.64</v>
      </c>
      <c r="I234" s="170">
        <f t="shared" si="62"/>
        <v>0.64</v>
      </c>
      <c r="J234" s="170">
        <f t="shared" si="62"/>
        <v>0.64</v>
      </c>
      <c r="K234" s="170">
        <f t="shared" si="62"/>
        <v>0.64</v>
      </c>
      <c r="L234" s="170">
        <f t="shared" si="62"/>
        <v>0.64</v>
      </c>
      <c r="M234" s="170">
        <f t="shared" si="62"/>
        <v>0.64</v>
      </c>
      <c r="N234" s="170">
        <f t="shared" si="62"/>
        <v>0.64</v>
      </c>
      <c r="O234" s="170">
        <f t="shared" si="62"/>
        <v>0.64</v>
      </c>
      <c r="P234" s="170">
        <f t="shared" si="62"/>
        <v>0.64</v>
      </c>
      <c r="Q234" s="170">
        <f t="shared" si="62"/>
        <v>0.64</v>
      </c>
      <c r="R234" s="170">
        <f t="shared" si="62"/>
        <v>0.64</v>
      </c>
      <c r="S234" s="170">
        <f t="shared" si="62"/>
        <v>0.64</v>
      </c>
      <c r="T234" s="170">
        <f t="shared" si="62"/>
        <v>0.64</v>
      </c>
      <c r="U234" s="170">
        <f t="shared" si="62"/>
        <v>0.64</v>
      </c>
      <c r="V234" s="170">
        <f t="shared" si="62"/>
        <v>0.64</v>
      </c>
      <c r="W234" s="170">
        <f t="shared" si="62"/>
        <v>0.64</v>
      </c>
      <c r="X234" s="170">
        <f t="shared" si="62"/>
        <v>0.64</v>
      </c>
      <c r="Y234" s="170">
        <f t="shared" si="62"/>
        <v>0.64</v>
      </c>
      <c r="Z234" s="170">
        <f t="shared" si="62"/>
        <v>0.64</v>
      </c>
      <c r="AA234" s="170">
        <f t="shared" si="62"/>
        <v>0.64</v>
      </c>
      <c r="AB234" s="170">
        <f t="shared" si="62"/>
        <v>0.64</v>
      </c>
      <c r="AC234" s="170">
        <f t="shared" si="62"/>
        <v>0.64</v>
      </c>
      <c r="AD234" s="170">
        <f t="shared" si="62"/>
        <v>0.64</v>
      </c>
      <c r="AE234" s="170">
        <f t="shared" si="62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3">IF(C202&lt;100,"",C202-520)</f>
        <v/>
      </c>
      <c r="D235" s="115" t="str">
        <f t="shared" si="63"/>
        <v/>
      </c>
      <c r="E235" s="115" t="str">
        <f t="shared" si="63"/>
        <v/>
      </c>
      <c r="F235" s="115" t="str">
        <f t="shared" si="63"/>
        <v/>
      </c>
      <c r="G235" s="115" t="str">
        <f t="shared" si="63"/>
        <v/>
      </c>
      <c r="H235" s="115" t="str">
        <f t="shared" si="63"/>
        <v/>
      </c>
      <c r="I235" s="115" t="str">
        <f t="shared" si="63"/>
        <v/>
      </c>
      <c r="J235" s="115" t="str">
        <f t="shared" si="63"/>
        <v/>
      </c>
      <c r="K235" s="115" t="str">
        <f t="shared" si="63"/>
        <v/>
      </c>
      <c r="L235" s="115" t="str">
        <f t="shared" si="63"/>
        <v/>
      </c>
      <c r="M235" s="115" t="str">
        <f t="shared" si="63"/>
        <v/>
      </c>
      <c r="N235" s="115" t="str">
        <f t="shared" si="63"/>
        <v/>
      </c>
      <c r="O235" s="115" t="str">
        <f t="shared" si="63"/>
        <v/>
      </c>
      <c r="P235" s="115" t="str">
        <f t="shared" si="63"/>
        <v/>
      </c>
      <c r="Q235" s="115" t="str">
        <f t="shared" si="63"/>
        <v/>
      </c>
      <c r="R235" s="115" t="str">
        <f t="shared" si="63"/>
        <v/>
      </c>
      <c r="S235" s="115" t="str">
        <f t="shared" si="63"/>
        <v/>
      </c>
      <c r="T235" s="115" t="str">
        <f t="shared" si="63"/>
        <v/>
      </c>
      <c r="U235" s="115" t="str">
        <f t="shared" si="63"/>
        <v/>
      </c>
      <c r="V235" s="115" t="str">
        <f t="shared" si="63"/>
        <v/>
      </c>
      <c r="W235" s="115" t="str">
        <f t="shared" si="63"/>
        <v/>
      </c>
      <c r="X235" s="115" t="str">
        <f t="shared" si="63"/>
        <v/>
      </c>
      <c r="Y235" s="115" t="str">
        <f t="shared" si="63"/>
        <v/>
      </c>
      <c r="Z235" s="115" t="str">
        <f t="shared" si="63"/>
        <v/>
      </c>
      <c r="AA235" s="115" t="str">
        <f t="shared" si="63"/>
        <v/>
      </c>
      <c r="AB235" s="115" t="str">
        <f t="shared" si="63"/>
        <v/>
      </c>
      <c r="AC235" s="115" t="str">
        <f t="shared" si="63"/>
        <v/>
      </c>
      <c r="AD235" s="115" t="str">
        <f t="shared" si="63"/>
        <v/>
      </c>
      <c r="AE235" s="115" t="str">
        <f t="shared" si="63"/>
        <v/>
      </c>
      <c r="AF235" s="115" t="str">
        <f t="shared" si="63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4">IF(B203&lt;100,"",B203-620)</f>
        <v/>
      </c>
      <c r="C236" s="115" t="str">
        <f t="shared" si="64"/>
        <v/>
      </c>
      <c r="D236" s="115" t="str">
        <f t="shared" si="64"/>
        <v/>
      </c>
      <c r="E236" s="115" t="str">
        <f t="shared" si="64"/>
        <v/>
      </c>
      <c r="F236" s="115" t="str">
        <f t="shared" si="64"/>
        <v/>
      </c>
      <c r="G236" s="115" t="str">
        <f t="shared" si="64"/>
        <v/>
      </c>
      <c r="H236" s="115" t="str">
        <f t="shared" si="64"/>
        <v/>
      </c>
      <c r="I236" s="115" t="str">
        <f t="shared" si="64"/>
        <v/>
      </c>
      <c r="J236" s="115" t="str">
        <f t="shared" si="64"/>
        <v/>
      </c>
      <c r="K236" s="115" t="str">
        <f t="shared" si="64"/>
        <v/>
      </c>
      <c r="L236" s="115" t="str">
        <f t="shared" si="64"/>
        <v/>
      </c>
      <c r="M236" s="115" t="str">
        <f t="shared" si="64"/>
        <v/>
      </c>
      <c r="N236" s="115" t="str">
        <f t="shared" si="64"/>
        <v/>
      </c>
      <c r="O236" s="115" t="str">
        <f t="shared" si="64"/>
        <v/>
      </c>
      <c r="P236" s="115" t="str">
        <f t="shared" si="64"/>
        <v/>
      </c>
      <c r="Q236" s="115" t="str">
        <f t="shared" si="64"/>
        <v/>
      </c>
      <c r="R236" s="115" t="str">
        <f t="shared" si="64"/>
        <v/>
      </c>
      <c r="S236" s="115" t="str">
        <f t="shared" si="64"/>
        <v/>
      </c>
      <c r="T236" s="115" t="str">
        <f t="shared" si="64"/>
        <v/>
      </c>
      <c r="U236" s="115" t="str">
        <f t="shared" si="64"/>
        <v/>
      </c>
      <c r="V236" s="115" t="str">
        <f t="shared" si="64"/>
        <v/>
      </c>
      <c r="W236" s="115" t="str">
        <f t="shared" si="64"/>
        <v/>
      </c>
      <c r="X236" s="115" t="str">
        <f t="shared" si="64"/>
        <v/>
      </c>
      <c r="Y236" s="115" t="str">
        <f t="shared" si="64"/>
        <v/>
      </c>
      <c r="Z236" s="115" t="str">
        <f t="shared" si="64"/>
        <v/>
      </c>
      <c r="AA236" s="115" t="str">
        <f t="shared" si="64"/>
        <v/>
      </c>
      <c r="AB236" s="115" t="str">
        <f t="shared" si="64"/>
        <v/>
      </c>
      <c r="AC236" s="115" t="str">
        <f t="shared" si="64"/>
        <v/>
      </c>
      <c r="AD236" s="115" t="str">
        <f t="shared" si="64"/>
        <v/>
      </c>
      <c r="AE236" s="115" t="str">
        <f t="shared" si="64"/>
        <v/>
      </c>
      <c r="AF236" s="115" t="str">
        <f t="shared" si="64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5">IF(B204&lt;100,"",B204-330)</f>
        <v/>
      </c>
      <c r="C237" s="115" t="str">
        <f t="shared" si="65"/>
        <v/>
      </c>
      <c r="D237" s="115" t="str">
        <f t="shared" si="65"/>
        <v/>
      </c>
      <c r="E237" s="115" t="str">
        <f t="shared" si="65"/>
        <v/>
      </c>
      <c r="F237" s="115" t="str">
        <f t="shared" si="65"/>
        <v/>
      </c>
      <c r="G237" s="115" t="str">
        <f t="shared" si="65"/>
        <v/>
      </c>
      <c r="H237" s="115" t="str">
        <f t="shared" si="65"/>
        <v/>
      </c>
      <c r="I237" s="115" t="str">
        <f t="shared" si="65"/>
        <v/>
      </c>
      <c r="J237" s="115" t="str">
        <f t="shared" si="65"/>
        <v/>
      </c>
      <c r="K237" s="115" t="str">
        <f t="shared" si="65"/>
        <v/>
      </c>
      <c r="L237" s="115" t="str">
        <f t="shared" si="65"/>
        <v/>
      </c>
      <c r="M237" s="115" t="str">
        <f t="shared" si="65"/>
        <v/>
      </c>
      <c r="N237" s="115" t="str">
        <f t="shared" si="65"/>
        <v/>
      </c>
      <c r="O237" s="115" t="str">
        <f t="shared" si="65"/>
        <v/>
      </c>
      <c r="P237" s="115" t="str">
        <f t="shared" si="65"/>
        <v/>
      </c>
      <c r="Q237" s="115" t="str">
        <f t="shared" si="65"/>
        <v/>
      </c>
      <c r="R237" s="115" t="str">
        <f t="shared" si="65"/>
        <v/>
      </c>
      <c r="S237" s="115" t="str">
        <f t="shared" si="65"/>
        <v/>
      </c>
      <c r="T237" s="115" t="str">
        <f t="shared" si="65"/>
        <v/>
      </c>
      <c r="U237" s="115" t="str">
        <f t="shared" si="65"/>
        <v/>
      </c>
      <c r="V237" s="115" t="str">
        <f t="shared" si="65"/>
        <v/>
      </c>
      <c r="W237" s="115" t="str">
        <f t="shared" si="65"/>
        <v/>
      </c>
      <c r="X237" s="115" t="str">
        <f t="shared" si="65"/>
        <v/>
      </c>
      <c r="Y237" s="115" t="str">
        <f t="shared" si="65"/>
        <v/>
      </c>
      <c r="Z237" s="115" t="str">
        <f t="shared" si="65"/>
        <v/>
      </c>
      <c r="AA237" s="115" t="str">
        <f t="shared" si="65"/>
        <v/>
      </c>
      <c r="AB237" s="115" t="str">
        <f t="shared" si="65"/>
        <v/>
      </c>
      <c r="AC237" s="115" t="str">
        <f t="shared" si="65"/>
        <v/>
      </c>
      <c r="AD237" s="115" t="str">
        <f t="shared" si="65"/>
        <v/>
      </c>
      <c r="AE237" s="115" t="str">
        <f t="shared" si="65"/>
        <v/>
      </c>
      <c r="AF237" s="115" t="str">
        <f t="shared" si="65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6">IF(C205&lt;100,"",C205-1500)</f>
        <v/>
      </c>
      <c r="D238" s="115" t="str">
        <f t="shared" si="66"/>
        <v/>
      </c>
      <c r="E238" s="115" t="str">
        <f t="shared" si="66"/>
        <v/>
      </c>
      <c r="F238" s="115" t="str">
        <f t="shared" si="66"/>
        <v/>
      </c>
      <c r="G238" s="115" t="str">
        <f t="shared" si="66"/>
        <v/>
      </c>
      <c r="H238" s="115" t="str">
        <f t="shared" si="66"/>
        <v/>
      </c>
      <c r="I238" s="115" t="str">
        <f t="shared" si="66"/>
        <v/>
      </c>
      <c r="J238" s="115" t="str">
        <f t="shared" si="66"/>
        <v/>
      </c>
      <c r="K238" s="115" t="str">
        <f t="shared" si="66"/>
        <v/>
      </c>
      <c r="L238" s="115" t="str">
        <f t="shared" si="66"/>
        <v/>
      </c>
      <c r="M238" s="115" t="str">
        <f t="shared" si="66"/>
        <v/>
      </c>
      <c r="N238" s="115" t="str">
        <f t="shared" si="66"/>
        <v/>
      </c>
      <c r="O238" s="115" t="str">
        <f t="shared" si="66"/>
        <v/>
      </c>
      <c r="P238" s="115" t="str">
        <f t="shared" si="66"/>
        <v/>
      </c>
      <c r="Q238" s="115" t="str">
        <f t="shared" si="66"/>
        <v/>
      </c>
      <c r="R238" s="115" t="str">
        <f t="shared" si="66"/>
        <v/>
      </c>
      <c r="S238" s="115" t="str">
        <f t="shared" si="66"/>
        <v/>
      </c>
      <c r="T238" s="115" t="str">
        <f t="shared" si="66"/>
        <v/>
      </c>
      <c r="U238" s="115" t="str">
        <f t="shared" si="66"/>
        <v/>
      </c>
      <c r="V238" s="115" t="str">
        <f t="shared" si="66"/>
        <v/>
      </c>
      <c r="W238" s="115" t="str">
        <f t="shared" si="66"/>
        <v/>
      </c>
      <c r="X238" s="115" t="str">
        <f t="shared" si="66"/>
        <v/>
      </c>
      <c r="Y238" s="115" t="str">
        <f t="shared" si="66"/>
        <v/>
      </c>
      <c r="Z238" s="115" t="str">
        <f t="shared" si="66"/>
        <v/>
      </c>
      <c r="AA238" s="115" t="str">
        <f t="shared" si="66"/>
        <v/>
      </c>
      <c r="AB238" s="115" t="str">
        <f t="shared" si="66"/>
        <v/>
      </c>
      <c r="AC238" s="115" t="str">
        <f t="shared" si="66"/>
        <v/>
      </c>
      <c r="AD238" s="115" t="str">
        <f t="shared" si="66"/>
        <v/>
      </c>
      <c r="AE238" s="115" t="str">
        <f t="shared" si="66"/>
        <v/>
      </c>
      <c r="AF238" s="115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U40:Y42 X85:AA91 AE16:AE26 AE28:AE31 AB81:AF81 B81:R81 C56:AF56 B82:AF83 D193:AF199 B193:B199 C68:AF72 AB84:AF91 B84:B91 B73:AF80 B9:AF10 B191:AF191 AF57:AF67 AG73 AB94:AF99 B94:B99 U212:AF212 B53:B72 C57:N67 M39:P42 S58:W59 P11:AE11 R39:R42 O58:R67 S60:S67 R22:X22 N45:X48 AE12:AE14 Y18:AD30 B36:AF36 Z40:AE43 M53:AF55">
    <cfRule type="expression" dxfId="502" priority="251">
      <formula>B$9&gt;=20/24</formula>
    </cfRule>
    <cfRule type="expression" dxfId="501" priority="252">
      <formula>AND(B$9&gt;=14/24,B$9&lt;20/24)</formula>
    </cfRule>
    <cfRule type="expression" dxfId="500" priority="253">
      <formula>AND(B$9&gt;=8/24,B$9&lt;14/24)</formula>
    </cfRule>
    <cfRule type="expression" dxfId="499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O57:R57">
    <cfRule type="expression" dxfId="498" priority="246">
      <formula>O$9&gt;=20/24</formula>
    </cfRule>
    <cfRule type="expression" dxfId="497" priority="247">
      <formula>AND(O$9&gt;=14/24,O$9&lt;20/24)</formula>
    </cfRule>
    <cfRule type="expression" dxfId="496" priority="248">
      <formula>AND(O$9&gt;=8/24,O$9&lt;14/24)</formula>
    </cfRule>
    <cfRule type="expression" dxfId="495" priority="249">
      <formula>O$9&lt;8/24</formula>
    </cfRule>
  </conditionalFormatting>
  <conditionalFormatting sqref="M43:R43">
    <cfRule type="expression" dxfId="494" priority="242">
      <formula>M$9&gt;=20/24</formula>
    </cfRule>
    <cfRule type="expression" dxfId="493" priority="243">
      <formula>AND(M$9&gt;=14/24,M$9&lt;20/24)</formula>
    </cfRule>
    <cfRule type="expression" dxfId="492" priority="244">
      <formula>AND(M$9&gt;=8/24,M$9&lt;14/24)</formula>
    </cfRule>
    <cfRule type="expression" dxfId="491" priority="245">
      <formula>M$9&lt;8/24</formula>
    </cfRule>
  </conditionalFormatting>
  <conditionalFormatting sqref="AE32">
    <cfRule type="expression" dxfId="490" priority="238">
      <formula>AE$9&gt;=20/24</formula>
    </cfRule>
    <cfRule type="expression" dxfId="489" priority="239">
      <formula>AND(AE$9&gt;=14/24,AE$9&lt;20/24)</formula>
    </cfRule>
    <cfRule type="expression" dxfId="488" priority="240">
      <formula>AND(AE$9&gt;=8/24,AE$9&lt;14/24)</formula>
    </cfRule>
    <cfRule type="expression" dxfId="487" priority="241">
      <formula>AE$9&lt;8/24</formula>
    </cfRule>
  </conditionalFormatting>
  <conditionalFormatting sqref="S39:AE39">
    <cfRule type="expression" dxfId="486" priority="234">
      <formula>S$9&gt;=20/24</formula>
    </cfRule>
    <cfRule type="expression" dxfId="485" priority="235">
      <formula>AND(S$9&gt;=14/24,S$9&lt;20/24)</formula>
    </cfRule>
    <cfRule type="expression" dxfId="484" priority="236">
      <formula>AND(S$9&gt;=8/24,S$9&lt;14/24)</formula>
    </cfRule>
    <cfRule type="expression" dxfId="483" priority="237">
      <formula>S$9&lt;8/24</formula>
    </cfRule>
  </conditionalFormatting>
  <conditionalFormatting sqref="S57:AE57">
    <cfRule type="expression" dxfId="482" priority="230">
      <formula>S$9&gt;=20/24</formula>
    </cfRule>
    <cfRule type="expression" dxfId="481" priority="231">
      <formula>AND(S$9&gt;=14/24,S$9&lt;20/24)</formula>
    </cfRule>
    <cfRule type="expression" dxfId="480" priority="232">
      <formula>AND(S$9&gt;=8/24,S$9&lt;14/24)</formula>
    </cfRule>
    <cfRule type="expression" dxfId="479" priority="233">
      <formula>S$9&lt;8/24</formula>
    </cfRule>
  </conditionalFormatting>
  <conditionalFormatting sqref="S81:AA81">
    <cfRule type="expression" dxfId="478" priority="226">
      <formula>S$9&gt;=20/24</formula>
    </cfRule>
    <cfRule type="expression" dxfId="477" priority="227">
      <formula>AND(S$9&gt;=14/24,S$9&lt;20/24)</formula>
    </cfRule>
    <cfRule type="expression" dxfId="476" priority="228">
      <formula>AND(S$9&gt;=8/24,S$9&lt;14/24)</formula>
    </cfRule>
    <cfRule type="expression" dxfId="475" priority="229">
      <formula>S$9&lt;8/24</formula>
    </cfRule>
  </conditionalFormatting>
  <conditionalFormatting sqref="U84:AA84">
    <cfRule type="expression" dxfId="474" priority="222">
      <formula>U$9&gt;=20/24</formula>
    </cfRule>
    <cfRule type="expression" dxfId="473" priority="223">
      <formula>AND(U$9&gt;=14/24,U$9&lt;20/24)</formula>
    </cfRule>
    <cfRule type="expression" dxfId="472" priority="224">
      <formula>AND(U$9&gt;=8/24,U$9&lt;14/24)</formula>
    </cfRule>
    <cfRule type="expression" dxfId="471" priority="225">
      <formula>U$9&lt;8/24</formula>
    </cfRule>
  </conditionalFormatting>
  <conditionalFormatting sqref="M49:X49">
    <cfRule type="expression" dxfId="470" priority="214">
      <formula>M$9&gt;=20/24</formula>
    </cfRule>
    <cfRule type="expression" dxfId="469" priority="215">
      <formula>AND(M$9&gt;=14/24,M$9&lt;20/24)</formula>
    </cfRule>
    <cfRule type="expression" dxfId="468" priority="216">
      <formula>AND(M$9&gt;=8/24,M$9&lt;14/24)</formula>
    </cfRule>
    <cfRule type="expression" dxfId="467" priority="217">
      <formula>M$9&lt;8/24</formula>
    </cfRule>
  </conditionalFormatting>
  <conditionalFormatting sqref="M50:X50">
    <cfRule type="expression" dxfId="466" priority="210">
      <formula>M$9&gt;=20/24</formula>
    </cfRule>
    <cfRule type="expression" dxfId="465" priority="211">
      <formula>AND(M$9&gt;=14/24,M$9&lt;20/24)</formula>
    </cfRule>
    <cfRule type="expression" dxfId="464" priority="212">
      <formula>AND(M$9&gt;=8/24,M$9&lt;14/24)</formula>
    </cfRule>
    <cfRule type="expression" dxfId="463" priority="213">
      <formula>M$9&lt;8/24</formula>
    </cfRule>
  </conditionalFormatting>
  <conditionalFormatting sqref="M45:X48">
    <cfRule type="expression" dxfId="462" priority="206">
      <formula>M$9&gt;=20/24</formula>
    </cfRule>
    <cfRule type="expression" dxfId="461" priority="207">
      <formula>AND(M$9&gt;=14/24,M$9&lt;20/24)</formula>
    </cfRule>
    <cfRule type="expression" dxfId="460" priority="208">
      <formula>AND(M$9&gt;=8/24,M$9&lt;14/24)</formula>
    </cfRule>
    <cfRule type="expression" dxfId="459" priority="209">
      <formula>M$9&lt;8/24</formula>
    </cfRule>
  </conditionalFormatting>
  <conditionalFormatting sqref="S37:AE37">
    <cfRule type="expression" dxfId="458" priority="202">
      <formula>S$9&gt;=20/24</formula>
    </cfRule>
    <cfRule type="expression" dxfId="457" priority="203">
      <formula>AND(S$9&gt;=14/24,S$9&lt;20/24)</formula>
    </cfRule>
    <cfRule type="expression" dxfId="456" priority="204">
      <formula>AND(S$9&gt;=8/24,S$9&lt;14/24)</formula>
    </cfRule>
    <cfRule type="expression" dxfId="455" priority="205">
      <formula>S$9&lt;8/24</formula>
    </cfRule>
  </conditionalFormatting>
  <conditionalFormatting sqref="Y31:AD32 Y35:AE35">
    <cfRule type="expression" dxfId="454" priority="198">
      <formula>Y$9&gt;=20/24</formula>
    </cfRule>
    <cfRule type="expression" dxfId="453" priority="199">
      <formula>AND(Y$9&gt;=14/24,Y$9&lt;20/24)</formula>
    </cfRule>
    <cfRule type="expression" dxfId="452" priority="200">
      <formula>AND(Y$9&gt;=8/24,Y$9&lt;14/24)</formula>
    </cfRule>
    <cfRule type="expression" dxfId="451" priority="201">
      <formula>Y$9&lt;8/24</formula>
    </cfRule>
  </conditionalFormatting>
  <conditionalFormatting sqref="S42:T43 U43:Z43 S45:AE48">
    <cfRule type="expression" dxfId="450" priority="194">
      <formula>S$9&gt;=20/24</formula>
    </cfRule>
    <cfRule type="expression" dxfId="449" priority="195">
      <formula>AND(S$9&gt;=14/24,S$9&lt;20/24)</formula>
    </cfRule>
    <cfRule type="expression" dxfId="448" priority="196">
      <formula>AND(S$9&gt;=8/24,S$9&lt;14/24)</formula>
    </cfRule>
    <cfRule type="expression" dxfId="447" priority="197">
      <formula>S$9&lt;8/24</formula>
    </cfRule>
  </conditionalFormatting>
  <conditionalFormatting sqref="S49:AE49">
    <cfRule type="expression" dxfId="446" priority="190">
      <formula>S$9&gt;=20/24</formula>
    </cfRule>
    <cfRule type="expression" dxfId="445" priority="191">
      <formula>AND(S$9&gt;=14/24,S$9&lt;20/24)</formula>
    </cfRule>
    <cfRule type="expression" dxfId="444" priority="192">
      <formula>AND(S$9&gt;=8/24,S$9&lt;14/24)</formula>
    </cfRule>
    <cfRule type="expression" dxfId="443" priority="193">
      <formula>S$9&lt;8/24</formula>
    </cfRule>
  </conditionalFormatting>
  <conditionalFormatting sqref="S50:AE50">
    <cfRule type="expression" dxfId="442" priority="186">
      <formula>S$9&gt;=20/24</formula>
    </cfRule>
    <cfRule type="expression" dxfId="441" priority="187">
      <formula>AND(S$9&gt;=14/24,S$9&lt;20/24)</formula>
    </cfRule>
    <cfRule type="expression" dxfId="440" priority="188">
      <formula>AND(S$9&gt;=8/24,S$9&lt;14/24)</formula>
    </cfRule>
    <cfRule type="expression" dxfId="439" priority="189">
      <formula>S$9&lt;8/24</formula>
    </cfRule>
  </conditionalFormatting>
  <conditionalFormatting sqref="T60:U67 Y60:AE67">
    <cfRule type="expression" dxfId="438" priority="182">
      <formula>T$9&gt;=20/24</formula>
    </cfRule>
    <cfRule type="expression" dxfId="437" priority="183">
      <formula>AND(T$9&gt;=14/24,T$9&lt;20/24)</formula>
    </cfRule>
    <cfRule type="expression" dxfId="436" priority="184">
      <formula>AND(T$9&gt;=8/24,T$9&lt;14/24)</formula>
    </cfRule>
    <cfRule type="expression" dxfId="435" priority="185">
      <formula>T$9&lt;8/24</formula>
    </cfRule>
  </conditionalFormatting>
  <conditionalFormatting sqref="U94:AA97">
    <cfRule type="expression" dxfId="434" priority="174">
      <formula>U$9&gt;=20/24</formula>
    </cfRule>
    <cfRule type="expression" dxfId="433" priority="175">
      <formula>AND(U$9&gt;=14/24,U$9&lt;20/24)</formula>
    </cfRule>
    <cfRule type="expression" dxfId="432" priority="176">
      <formula>AND(U$9&gt;=8/24,U$9&lt;14/24)</formula>
    </cfRule>
    <cfRule type="expression" dxfId="431" priority="177">
      <formula>U$9&lt;8/24</formula>
    </cfRule>
  </conditionalFormatting>
  <conditionalFormatting sqref="AG51 AE12:AF32 S11:AF11 B11:R32 S12:X32 Y18:AD32 B34:AF56">
    <cfRule type="expression" dxfId="430" priority="173">
      <formula>B11&gt;$AG11</formula>
    </cfRule>
  </conditionalFormatting>
  <conditionalFormatting sqref="A100:A156 A84:A97 A11:A14 A16:A32 A45:A72 A80:A82 A74:A78 A35:A43 A169:A199">
    <cfRule type="expression" dxfId="429" priority="172">
      <formula>$AH11=0</formula>
    </cfRule>
  </conditionalFormatting>
  <conditionalFormatting sqref="U98:AA98">
    <cfRule type="expression" dxfId="428" priority="168">
      <formula>U$9&gt;=20/24</formula>
    </cfRule>
    <cfRule type="expression" dxfId="427" priority="169">
      <formula>AND(U$9&gt;=14/24,U$9&lt;20/24)</formula>
    </cfRule>
    <cfRule type="expression" dxfId="426" priority="170">
      <formula>AND(U$9&gt;=8/24,U$9&lt;14/24)</formula>
    </cfRule>
    <cfRule type="expression" dxfId="425" priority="171">
      <formula>U$9&lt;8/24</formula>
    </cfRule>
  </conditionalFormatting>
  <conditionalFormatting sqref="A98">
    <cfRule type="expression" dxfId="424" priority="167">
      <formula>$AH98=0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E34">
    <cfRule type="expression" dxfId="423" priority="150">
      <formula>AE$9&gt;=20/24</formula>
    </cfRule>
    <cfRule type="expression" dxfId="422" priority="151">
      <formula>AND(AE$9&gt;=14/24,AE$9&lt;20/24)</formula>
    </cfRule>
    <cfRule type="expression" dxfId="421" priority="152">
      <formula>AND(AE$9&gt;=8/24,AE$9&lt;14/24)</formula>
    </cfRule>
    <cfRule type="expression" dxfId="420" priority="153">
      <formula>AE$9&lt;8/24</formula>
    </cfRule>
  </conditionalFormatting>
  <conditionalFormatting sqref="Y34:AD34">
    <cfRule type="expression" dxfId="419" priority="142">
      <formula>Y$9&gt;=20/24</formula>
    </cfRule>
    <cfRule type="expression" dxfId="418" priority="143">
      <formula>AND(Y$9&gt;=14/24,Y$9&lt;20/24)</formula>
    </cfRule>
    <cfRule type="expression" dxfId="417" priority="144">
      <formula>AND(Y$9&gt;=8/24,Y$9&lt;14/24)</formula>
    </cfRule>
    <cfRule type="expression" dxfId="416" priority="145">
      <formula>Y$9&lt;8/24</formula>
    </cfRule>
  </conditionalFormatting>
  <conditionalFormatting sqref="A34">
    <cfRule type="expression" dxfId="415" priority="141">
      <formula>$AH34=0</formula>
    </cfRule>
  </conditionalFormatting>
  <conditionalFormatting sqref="A83">
    <cfRule type="expression" dxfId="414" priority="140">
      <formula>$AH83=0</formula>
    </cfRule>
  </conditionalFormatting>
  <conditionalFormatting sqref="AE15">
    <cfRule type="expression" dxfId="413" priority="136">
      <formula>AE$9&gt;=20/24</formula>
    </cfRule>
    <cfRule type="expression" dxfId="412" priority="137">
      <formula>AND(AE$9&gt;=14/24,AE$9&lt;20/24)</formula>
    </cfRule>
    <cfRule type="expression" dxfId="411" priority="138">
      <formula>AND(AE$9&gt;=8/24,AE$9&lt;14/24)</formula>
    </cfRule>
    <cfRule type="expression" dxfId="410" priority="139">
      <formula>AE$9&lt;8/24</formula>
    </cfRule>
  </conditionalFormatting>
  <conditionalFormatting sqref="A15">
    <cfRule type="expression" dxfId="409" priority="130">
      <formula>$AH15=0</formula>
    </cfRule>
  </conditionalFormatting>
  <conditionalFormatting sqref="A163:A168">
    <cfRule type="expression" dxfId="408" priority="129">
      <formula>$AH163=0</formula>
    </cfRule>
  </conditionalFormatting>
  <conditionalFormatting sqref="A157:A162">
    <cfRule type="expression" dxfId="407" priority="128">
      <formula>$AH157=0</formula>
    </cfRule>
  </conditionalFormatting>
  <conditionalFormatting sqref="Z44:AE44">
    <cfRule type="expression" dxfId="406" priority="124">
      <formula>Z$9&gt;=20/24</formula>
    </cfRule>
    <cfRule type="expression" dxfId="405" priority="125">
      <formula>AND(Z$9&gt;=14/24,Z$9&lt;20/24)</formula>
    </cfRule>
    <cfRule type="expression" dxfId="404" priority="126">
      <formula>AND(Z$9&gt;=8/24,Z$9&lt;14/24)</formula>
    </cfRule>
    <cfRule type="expression" dxfId="403" priority="127">
      <formula>Z$9&lt;8/24</formula>
    </cfRule>
  </conditionalFormatting>
  <conditionalFormatting sqref="M44:R44">
    <cfRule type="expression" dxfId="402" priority="120">
      <formula>M$9&gt;=20/24</formula>
    </cfRule>
    <cfRule type="expression" dxfId="401" priority="121">
      <formula>AND(M$9&gt;=14/24,M$9&lt;20/24)</formula>
    </cfRule>
    <cfRule type="expression" dxfId="400" priority="122">
      <formula>AND(M$9&gt;=8/24,M$9&lt;14/24)</formula>
    </cfRule>
    <cfRule type="expression" dxfId="399" priority="123">
      <formula>M$9&lt;8/24</formula>
    </cfRule>
  </conditionalFormatting>
  <conditionalFormatting sqref="S44:Z44">
    <cfRule type="expression" dxfId="398" priority="116">
      <formula>S$9&gt;=20/24</formula>
    </cfRule>
    <cfRule type="expression" dxfId="397" priority="117">
      <formula>AND(S$9&gt;=14/24,S$9&lt;20/24)</formula>
    </cfRule>
    <cfRule type="expression" dxfId="396" priority="118">
      <formula>AND(S$9&gt;=8/24,S$9&lt;14/24)</formula>
    </cfRule>
    <cfRule type="expression" dxfId="395" priority="119">
      <formula>S$9&lt;8/24</formula>
    </cfRule>
  </conditionalFormatting>
  <conditionalFormatting sqref="A44">
    <cfRule type="expression" dxfId="394" priority="115">
      <formula>$AH44=0</formula>
    </cfRule>
  </conditionalFormatting>
  <conditionalFormatting sqref="A79">
    <cfRule type="expression" dxfId="393" priority="114">
      <formula>$AH79=0</formula>
    </cfRule>
  </conditionalFormatting>
  <conditionalFormatting sqref="A73">
    <cfRule type="expression" dxfId="392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V60:X67">
    <cfRule type="expression" dxfId="391" priority="109">
      <formula>V$9&gt;=20/24</formula>
    </cfRule>
    <cfRule type="expression" dxfId="390" priority="110">
      <formula>AND(V$9&gt;=14/24,V$9&lt;20/24)</formula>
    </cfRule>
    <cfRule type="expression" dxfId="389" priority="111">
      <formula>AND(V$9&gt;=8/24,V$9&lt;14/24)</formula>
    </cfRule>
    <cfRule type="expression" dxfId="388" priority="112">
      <formula>V$9&lt;8/24</formula>
    </cfRule>
  </conditionalFormatting>
  <conditionalFormatting sqref="U85:W91">
    <cfRule type="expression" dxfId="387" priority="105">
      <formula>U$9&gt;=20/24</formula>
    </cfRule>
    <cfRule type="expression" dxfId="386" priority="106">
      <formula>AND(U$9&gt;=14/24,U$9&lt;20/24)</formula>
    </cfRule>
    <cfRule type="expression" dxfId="385" priority="107">
      <formula>AND(U$9&gt;=8/24,U$9&lt;14/24)</formula>
    </cfRule>
    <cfRule type="expression" dxfId="384" priority="108">
      <formula>U$9&lt;8/24</formula>
    </cfRule>
  </conditionalFormatting>
  <conditionalFormatting sqref="S85:T91 C84:R91">
    <cfRule type="expression" dxfId="383" priority="101">
      <formula>C$9&gt;=20/24</formula>
    </cfRule>
    <cfRule type="expression" dxfId="382" priority="102">
      <formula>AND(C$9&gt;=14/24,C$9&lt;20/24)</formula>
    </cfRule>
    <cfRule type="expression" dxfId="381" priority="103">
      <formula>AND(C$9&gt;=8/24,C$9&lt;14/24)</formula>
    </cfRule>
    <cfRule type="expression" dxfId="380" priority="104">
      <formula>C$9&lt;8/24</formula>
    </cfRule>
  </conditionalFormatting>
  <conditionalFormatting sqref="S84:T84">
    <cfRule type="expression" dxfId="379" priority="97">
      <formula>S$9&gt;=20/24</formula>
    </cfRule>
    <cfRule type="expression" dxfId="378" priority="98">
      <formula>AND(S$9&gt;=14/24,S$9&lt;20/24)</formula>
    </cfRule>
    <cfRule type="expression" dxfId="377" priority="99">
      <formula>AND(S$9&gt;=8/24,S$9&lt;14/24)</formula>
    </cfRule>
    <cfRule type="expression" dxfId="376" priority="100">
      <formula>S$9&lt;8/24</formula>
    </cfRule>
  </conditionalFormatting>
  <conditionalFormatting sqref="C94:F94 C95:M97">
    <cfRule type="expression" dxfId="375" priority="93">
      <formula>C$9&gt;=20/24</formula>
    </cfRule>
    <cfRule type="expression" dxfId="374" priority="94">
      <formula>AND(C$9&gt;=14/24,C$9&lt;20/24)</formula>
    </cfRule>
    <cfRule type="expression" dxfId="373" priority="95">
      <formula>AND(C$9&gt;=8/24,C$9&lt;14/24)</formula>
    </cfRule>
    <cfRule type="expression" dxfId="372" priority="96">
      <formula>C$9&lt;8/24</formula>
    </cfRule>
  </conditionalFormatting>
  <conditionalFormatting sqref="N95:R97">
    <cfRule type="expression" dxfId="371" priority="89">
      <formula>N$9&gt;=20/24</formula>
    </cfRule>
    <cfRule type="expression" dxfId="370" priority="90">
      <formula>AND(N$9&gt;=14/24,N$9&lt;20/24)</formula>
    </cfRule>
    <cfRule type="expression" dxfId="369" priority="91">
      <formula>AND(N$9&gt;=8/24,N$9&lt;14/24)</formula>
    </cfRule>
    <cfRule type="expression" dxfId="368" priority="92">
      <formula>N$9&lt;8/24</formula>
    </cfRule>
  </conditionalFormatting>
  <conditionalFormatting sqref="S94:T97">
    <cfRule type="expression" dxfId="367" priority="85">
      <formula>S$9&gt;=20/24</formula>
    </cfRule>
    <cfRule type="expression" dxfId="366" priority="86">
      <formula>AND(S$9&gt;=14/24,S$9&lt;20/24)</formula>
    </cfRule>
    <cfRule type="expression" dxfId="365" priority="87">
      <formula>AND(S$9&gt;=8/24,S$9&lt;14/24)</formula>
    </cfRule>
    <cfRule type="expression" dxfId="364" priority="88">
      <formula>S$9&lt;8/24</formula>
    </cfRule>
  </conditionalFormatting>
  <conditionalFormatting sqref="C98:M98">
    <cfRule type="expression" dxfId="363" priority="81">
      <formula>C$9&gt;=20/24</formula>
    </cfRule>
    <cfRule type="expression" dxfId="362" priority="82">
      <formula>AND(C$9&gt;=14/24,C$9&lt;20/24)</formula>
    </cfRule>
    <cfRule type="expression" dxfId="361" priority="83">
      <formula>AND(C$9&gt;=8/24,C$9&lt;14/24)</formula>
    </cfRule>
    <cfRule type="expression" dxfId="360" priority="84">
      <formula>C$9&lt;8/24</formula>
    </cfRule>
  </conditionalFormatting>
  <conditionalFormatting sqref="N98:R98">
    <cfRule type="expression" dxfId="359" priority="77">
      <formula>N$9&gt;=20/24</formula>
    </cfRule>
    <cfRule type="expression" dxfId="358" priority="78">
      <formula>AND(N$9&gt;=14/24,N$9&lt;20/24)</formula>
    </cfRule>
    <cfRule type="expression" dxfId="357" priority="79">
      <formula>AND(N$9&gt;=8/24,N$9&lt;14/24)</formula>
    </cfRule>
    <cfRule type="expression" dxfId="356" priority="80">
      <formula>N$9&lt;8/24</formula>
    </cfRule>
  </conditionalFormatting>
  <conditionalFormatting sqref="S98:T98">
    <cfRule type="expression" dxfId="355" priority="73">
      <formula>S$9&gt;=20/24</formula>
    </cfRule>
    <cfRule type="expression" dxfId="354" priority="74">
      <formula>AND(S$9&gt;=14/24,S$9&lt;20/24)</formula>
    </cfRule>
    <cfRule type="expression" dxfId="353" priority="75">
      <formula>AND(S$9&gt;=8/24,S$9&lt;14/24)</formula>
    </cfRule>
    <cfRule type="expression" dxfId="352" priority="76">
      <formula>S$9&lt;8/24</formula>
    </cfRule>
  </conditionalFormatting>
  <conditionalFormatting sqref="M94:R94">
    <cfRule type="expression" dxfId="351" priority="69">
      <formula>M$9&gt;=20/24</formula>
    </cfRule>
    <cfRule type="expression" dxfId="350" priority="70">
      <formula>AND(M$9&gt;=14/24,M$9&lt;20/24)</formula>
    </cfRule>
    <cfRule type="expression" dxfId="349" priority="71">
      <formula>AND(M$9&gt;=8/24,M$9&lt;14/24)</formula>
    </cfRule>
    <cfRule type="expression" dxfId="348" priority="72">
      <formula>M$9&lt;8/24</formula>
    </cfRule>
  </conditionalFormatting>
  <conditionalFormatting sqref="G94:L94">
    <cfRule type="expression" dxfId="347" priority="65">
      <formula>G$9&gt;=20/24</formula>
    </cfRule>
    <cfRule type="expression" dxfId="346" priority="66">
      <formula>AND(G$9&gt;=14/24,G$9&lt;20/24)</formula>
    </cfRule>
    <cfRule type="expression" dxfId="345" priority="67">
      <formula>AND(G$9&gt;=8/24,G$9&lt;14/24)</formula>
    </cfRule>
    <cfRule type="expression" dxfId="344" priority="68">
      <formula>G$9&lt;8/24</formula>
    </cfRule>
  </conditionalFormatting>
  <conditionalFormatting sqref="U94:W94">
    <cfRule type="expression" dxfId="343" priority="61">
      <formula>U$9&gt;=20/24</formula>
    </cfRule>
    <cfRule type="expression" dxfId="342" priority="62">
      <formula>AND(U$9&gt;=14/24,U$9&lt;20/24)</formula>
    </cfRule>
    <cfRule type="expression" dxfId="341" priority="63">
      <formula>AND(U$9&gt;=8/24,U$9&lt;14/24)</formula>
    </cfRule>
    <cfRule type="expression" dxfId="340" priority="64">
      <formula>U$9&lt;8/24</formula>
    </cfRule>
  </conditionalFormatting>
  <conditionalFormatting sqref="N94:T94">
    <cfRule type="expression" dxfId="339" priority="57">
      <formula>N$9&gt;=20/24</formula>
    </cfRule>
    <cfRule type="expression" dxfId="338" priority="58">
      <formula>AND(N$9&gt;=14/24,N$9&lt;20/24)</formula>
    </cfRule>
    <cfRule type="expression" dxfId="337" priority="59">
      <formula>AND(N$9&gt;=8/24,N$9&lt;14/24)</formula>
    </cfRule>
    <cfRule type="expression" dxfId="336" priority="60">
      <formula>N$9&lt;8/24</formula>
    </cfRule>
  </conditionalFormatting>
  <conditionalFormatting sqref="U99:AA99">
    <cfRule type="expression" dxfId="335" priority="53">
      <formula>U$9&gt;=20/24</formula>
    </cfRule>
    <cfRule type="expression" dxfId="334" priority="54">
      <formula>AND(U$9&gt;=14/24,U$9&lt;20/24)</formula>
    </cfRule>
    <cfRule type="expression" dxfId="333" priority="55">
      <formula>AND(U$9&gt;=8/24,U$9&lt;14/24)</formula>
    </cfRule>
    <cfRule type="expression" dxfId="332" priority="56">
      <formula>U$9&lt;8/24</formula>
    </cfRule>
  </conditionalFormatting>
  <conditionalFormatting sqref="C99:M99">
    <cfRule type="expression" dxfId="331" priority="49">
      <formula>C$9&gt;=20/24</formula>
    </cfRule>
    <cfRule type="expression" dxfId="330" priority="50">
      <formula>AND(C$9&gt;=14/24,C$9&lt;20/24)</formula>
    </cfRule>
    <cfRule type="expression" dxfId="329" priority="51">
      <formula>AND(C$9&gt;=8/24,C$9&lt;14/24)</formula>
    </cfRule>
    <cfRule type="expression" dxfId="328" priority="52">
      <formula>C$9&lt;8/24</formula>
    </cfRule>
  </conditionalFormatting>
  <conditionalFormatting sqref="N99:R99">
    <cfRule type="expression" dxfId="327" priority="45">
      <formula>N$9&gt;=20/24</formula>
    </cfRule>
    <cfRule type="expression" dxfId="326" priority="46">
      <formula>AND(N$9&gt;=14/24,N$9&lt;20/24)</formula>
    </cfRule>
    <cfRule type="expression" dxfId="325" priority="47">
      <formula>AND(N$9&gt;=8/24,N$9&lt;14/24)</formula>
    </cfRule>
    <cfRule type="expression" dxfId="324" priority="48">
      <formula>N$9&lt;8/24</formula>
    </cfRule>
  </conditionalFormatting>
  <conditionalFormatting sqref="S99:T99">
    <cfRule type="expression" dxfId="323" priority="41">
      <formula>S$9&gt;=20/24</formula>
    </cfRule>
    <cfRule type="expression" dxfId="322" priority="42">
      <formula>AND(S$9&gt;=14/24,S$9&lt;20/24)</formula>
    </cfRule>
    <cfRule type="expression" dxfId="321" priority="43">
      <formula>AND(S$9&gt;=8/24,S$9&lt;14/24)</formula>
    </cfRule>
    <cfRule type="expression" dxfId="320" priority="44">
      <formula>S$9&lt;8/24</formula>
    </cfRule>
  </conditionalFormatting>
  <conditionalFormatting sqref="Y12:AD16">
    <cfRule type="expression" dxfId="319" priority="37">
      <formula>Y$9&gt;=20/24</formula>
    </cfRule>
    <cfRule type="expression" dxfId="318" priority="38">
      <formula>AND(Y$9&gt;=14/24,Y$9&lt;20/24)</formula>
    </cfRule>
    <cfRule type="expression" dxfId="317" priority="39">
      <formula>AND(Y$9&gt;=8/24,Y$9&lt;14/24)</formula>
    </cfRule>
    <cfRule type="expression" dxfId="316" priority="40">
      <formula>Y$9&lt;8/24</formula>
    </cfRule>
  </conditionalFormatting>
  <conditionalFormatting sqref="Y17:AD17">
    <cfRule type="expression" dxfId="315" priority="33">
      <formula>Y$9&gt;=20/24</formula>
    </cfRule>
    <cfRule type="expression" dxfId="314" priority="34">
      <formula>AND(Y$9&gt;=14/24,Y$9&lt;20/24)</formula>
    </cfRule>
    <cfRule type="expression" dxfId="313" priority="35">
      <formula>AND(Y$9&gt;=8/24,Y$9&lt;14/24)</formula>
    </cfRule>
    <cfRule type="expression" dxfId="312" priority="36">
      <formula>Y$9&lt;8/24</formula>
    </cfRule>
  </conditionalFormatting>
  <conditionalFormatting sqref="Y12:AD13">
    <cfRule type="expression" dxfId="311" priority="29">
      <formula>Y$9&gt;=20/24</formula>
    </cfRule>
    <cfRule type="expression" dxfId="310" priority="30">
      <formula>AND(Y$9&gt;=14/24,Y$9&lt;20/24)</formula>
    </cfRule>
    <cfRule type="expression" dxfId="309" priority="31">
      <formula>AND(Y$9&gt;=8/24,Y$9&lt;14/24)</formula>
    </cfRule>
    <cfRule type="expression" dxfId="308" priority="32">
      <formula>Y$9&lt;8/24</formula>
    </cfRule>
  </conditionalFormatting>
  <conditionalFormatting sqref="AB58:AE59">
    <cfRule type="expression" dxfId="307" priority="25">
      <formula>AB$9&gt;=20/24</formula>
    </cfRule>
    <cfRule type="expression" dxfId="306" priority="26">
      <formula>AND(AB$9&gt;=14/24,AB$9&lt;20/24)</formula>
    </cfRule>
    <cfRule type="expression" dxfId="305" priority="27">
      <formula>AND(AB$9&gt;=8/24,AB$9&lt;14/24)</formula>
    </cfRule>
    <cfRule type="expression" dxfId="304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3" priority="258">
      <formula>C$9&gt;=20/24</formula>
    </cfRule>
    <cfRule type="expression" dxfId="302" priority="259">
      <formula>AND(C$9&gt;=14/24,C$9&lt;20/24)</formula>
    </cfRule>
    <cfRule type="expression" dxfId="301" priority="260">
      <formula>AND(C$9&gt;=8/24,C$9&lt;14/24)</formula>
    </cfRule>
    <cfRule type="expression" dxfId="300" priority="261">
      <formula>C$9&lt;8/24</formula>
    </cfRule>
  </conditionalFormatting>
  <conditionalFormatting sqref="A200">
    <cfRule type="expression" dxfId="299" priority="262">
      <formula>$AH200=0</formula>
    </cfRule>
  </conditionalFormatting>
  <conditionalFormatting sqref="AG212">
    <cfRule type="expression" dxfId="298" priority="263">
      <formula>B$9&gt;=20/24</formula>
    </cfRule>
    <cfRule type="expression" dxfId="297" priority="264">
      <formula>AND(B$9&gt;=14/24,B$9&lt;20/24)</formula>
    </cfRule>
    <cfRule type="expression" dxfId="296" priority="265">
      <formula>AND(B$9&gt;=8/24,B$9&lt;14/24)</formula>
    </cfRule>
    <cfRule type="expression" dxfId="295" priority="266">
      <formula>B$9&lt;8/24</formula>
    </cfRule>
  </conditionalFormatting>
  <conditionalFormatting sqref="S8">
    <cfRule type="expression" dxfId="294" priority="19">
      <formula>U$9&gt;=20/24</formula>
    </cfRule>
    <cfRule type="expression" dxfId="293" priority="20">
      <formula>AND(U$9&gt;=14/24,U$9&lt;20/24)</formula>
    </cfRule>
    <cfRule type="expression" dxfId="292" priority="21">
      <formula>AND(U$9&gt;=8/24,U$9&lt;14/24)</formula>
    </cfRule>
    <cfRule type="expression" dxfId="291" priority="22">
      <formula>U$9&lt;8/24</formula>
    </cfRule>
  </conditionalFormatting>
  <conditionalFormatting sqref="AB8">
    <cfRule type="expression" dxfId="290" priority="15">
      <formula>AD$9&gt;=20/24</formula>
    </cfRule>
    <cfRule type="expression" dxfId="289" priority="16">
      <formula>AND(AD$9&gt;=14/24,AD$9&lt;20/24)</formula>
    </cfRule>
    <cfRule type="expression" dxfId="288" priority="17">
      <formula>AND(AD$9&gt;=8/24,AD$9&lt;14/24)</formula>
    </cfRule>
    <cfRule type="expression" dxfId="287" priority="18">
      <formula>AD$9&lt;8/24</formula>
    </cfRule>
  </conditionalFormatting>
  <conditionalFormatting sqref="AH212:AX212">
    <cfRule type="expression" dxfId="286" priority="267">
      <formula>AG$9&gt;=20/24</formula>
    </cfRule>
    <cfRule type="expression" dxfId="285" priority="268">
      <formula>AND(AG$9&gt;=14/24,AG$9&lt;20/24)</formula>
    </cfRule>
    <cfRule type="expression" dxfId="284" priority="269">
      <formula>AND(AG$9&gt;=8/24,AG$9&lt;14/24)</formula>
    </cfRule>
    <cfRule type="expression" dxfId="283" priority="270">
      <formula>AG$9&lt;8/24</formula>
    </cfRule>
  </conditionalFormatting>
  <conditionalFormatting sqref="T212">
    <cfRule type="expression" dxfId="282" priority="271">
      <formula>AX$9&gt;=20/24</formula>
    </cfRule>
    <cfRule type="expression" dxfId="281" priority="272">
      <formula>AND(AX$9&gt;=14/24,AX$9&lt;20/24)</formula>
    </cfRule>
    <cfRule type="expression" dxfId="280" priority="273">
      <formula>AND(AX$9&gt;=8/24,AX$9&lt;14/24)</formula>
    </cfRule>
    <cfRule type="expression" dxfId="279" priority="274">
      <formula>AX$9&lt;8/24</formula>
    </cfRule>
  </conditionalFormatting>
  <conditionalFormatting sqref="A99">
    <cfRule type="expression" dxfId="278" priority="14">
      <formula>$AH99=0</formula>
    </cfRule>
  </conditionalFormatting>
  <conditionalFormatting sqref="AE33">
    <cfRule type="expression" dxfId="277" priority="6">
      <formula>AE$9&gt;=20/24</formula>
    </cfRule>
    <cfRule type="expression" dxfId="276" priority="7">
      <formula>AND(AE$9&gt;=14/24,AE$9&lt;20/24)</formula>
    </cfRule>
    <cfRule type="expression" dxfId="275" priority="8">
      <formula>AND(AE$9&gt;=8/24,AE$9&lt;14/24)</formula>
    </cfRule>
    <cfRule type="expression" dxfId="274" priority="9">
      <formula>AE$9&lt;8/24</formula>
    </cfRule>
  </conditionalFormatting>
  <conditionalFormatting sqref="Y33:AD33">
    <cfRule type="expression" dxfId="273" priority="2">
      <formula>Y$9&gt;=20/24</formula>
    </cfRule>
    <cfRule type="expression" dxfId="272" priority="3">
      <formula>AND(Y$9&gt;=14/24,Y$9&lt;20/24)</formula>
    </cfRule>
    <cfRule type="expression" dxfId="271" priority="4">
      <formula>AND(Y$9&gt;=8/24,Y$9&lt;14/24)</formula>
    </cfRule>
    <cfRule type="expression" dxfId="270" priority="5">
      <formula>Y$9&lt;8/24</formula>
    </cfRule>
  </conditionalFormatting>
  <conditionalFormatting sqref="B33:AF33">
    <cfRule type="expression" dxfId="269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3C0D8EC9-163B-4C1F-BA53-FB1E701E467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41" sqref="N4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00" t="s">
        <v>1</v>
      </c>
      <c r="AH1" s="200"/>
      <c r="AI1" s="200"/>
      <c r="AL1" s="2"/>
      <c r="AM1" s="3"/>
    </row>
    <row r="2" spans="1:88" ht="20.25" x14ac:dyDescent="0.25">
      <c r="A2" s="4"/>
      <c r="B2" s="201" t="s">
        <v>2</v>
      </c>
      <c r="C2" s="5"/>
      <c r="D2" s="203" t="s">
        <v>3</v>
      </c>
      <c r="E2" s="5"/>
      <c r="F2" s="203" t="s">
        <v>4</v>
      </c>
      <c r="G2" s="5"/>
      <c r="H2" s="203" t="s">
        <v>5</v>
      </c>
      <c r="I2" s="6"/>
      <c r="J2" s="20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2"/>
      <c r="C3" s="18"/>
      <c r="D3" s="204"/>
      <c r="E3" s="18"/>
      <c r="F3" s="204"/>
      <c r="G3" s="18"/>
      <c r="H3" s="204"/>
      <c r="I3" s="19"/>
      <c r="J3" s="20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3" t="e">
        <f ca="1">"2078/"&amp;"09/"&amp;INT(MID(CELL("filename",D6),FIND("]",CELL("filename",D6))+1,200))</f>
        <v>#VALUE!</v>
      </c>
      <c r="C4" s="193"/>
      <c r="D4" s="193"/>
      <c r="E4" s="194" t="str">
        <f ca="1">IFERROR([1]!DateBStoAD(B4),"")</f>
        <v/>
      </c>
      <c r="F4" s="195"/>
      <c r="G4" s="195"/>
      <c r="H4" s="195" t="str">
        <f ca="1">TEXT(E4,"dddd")</f>
        <v/>
      </c>
      <c r="I4" s="19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6" t="s">
        <v>14</v>
      </c>
      <c r="C8" s="197"/>
      <c r="D8" s="197"/>
      <c r="E8" s="197"/>
      <c r="F8" s="197"/>
      <c r="G8" s="197"/>
      <c r="H8" s="197"/>
      <c r="I8" s="197"/>
      <c r="J8" s="197"/>
      <c r="K8" s="197"/>
      <c r="L8" s="198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82">
        <v>4.1666666666666664E-2</v>
      </c>
      <c r="D9" s="182">
        <v>8.3333333333333301E-2</v>
      </c>
      <c r="E9" s="182">
        <v>0.125</v>
      </c>
      <c r="F9" s="182">
        <v>0.16666666666666699</v>
      </c>
      <c r="G9" s="182">
        <v>0.20833333333333301</v>
      </c>
      <c r="H9" s="182">
        <v>0.22916666666666666</v>
      </c>
      <c r="I9" s="182">
        <v>0.25</v>
      </c>
      <c r="J9" s="182">
        <v>0.27083333333333331</v>
      </c>
      <c r="K9" s="182">
        <v>0.29166666666666669</v>
      </c>
      <c r="L9" s="182">
        <v>0.3125</v>
      </c>
      <c r="M9" s="182">
        <v>0.33333333333333331</v>
      </c>
      <c r="N9" s="182">
        <v>0.375</v>
      </c>
      <c r="O9" s="182">
        <v>0.41666666666666702</v>
      </c>
      <c r="P9" s="182">
        <v>0.45833333333333298</v>
      </c>
      <c r="Q9" s="182">
        <v>0.5</v>
      </c>
      <c r="R9" s="182">
        <v>0.54166666666666696</v>
      </c>
      <c r="S9" s="182">
        <v>0.58333333333333304</v>
      </c>
      <c r="T9" s="182">
        <v>0.625</v>
      </c>
      <c r="U9" s="182">
        <v>0.66666666666666696</v>
      </c>
      <c r="V9" s="182">
        <v>0.70833333333333304</v>
      </c>
      <c r="W9" s="182">
        <v>0.72916666666666663</v>
      </c>
      <c r="X9" s="182">
        <v>0.75</v>
      </c>
      <c r="Y9" s="182">
        <v>0.77083333333333337</v>
      </c>
      <c r="Z9" s="182">
        <v>0.79166666666666663</v>
      </c>
      <c r="AA9" s="182">
        <v>0.8125</v>
      </c>
      <c r="AB9" s="182">
        <v>0.83333333333333337</v>
      </c>
      <c r="AC9" s="182">
        <v>0.85416666666666663</v>
      </c>
      <c r="AD9" s="182">
        <v>0.875</v>
      </c>
      <c r="AE9" s="182">
        <v>0.91666666666666696</v>
      </c>
      <c r="AF9" s="182">
        <v>0.95833333333333304</v>
      </c>
      <c r="AG9" s="18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0"/>
      <c r="O11" s="50"/>
      <c r="P11" s="50"/>
      <c r="Q11" s="50"/>
      <c r="R11" s="51"/>
      <c r="S11" s="50"/>
      <c r="T11" s="50"/>
      <c r="U11" s="50"/>
      <c r="V11" s="50"/>
      <c r="W11" s="50"/>
      <c r="X11" s="50"/>
      <c r="Y11" s="50"/>
      <c r="Z11" s="52"/>
      <c r="AA11" s="50"/>
      <c r="AB11" s="50"/>
      <c r="AC11" s="50"/>
      <c r="AD11" s="50"/>
      <c r="AE11" s="50"/>
      <c r="AF11" s="49"/>
      <c r="AG11" s="53">
        <v>456</v>
      </c>
      <c r="AH11" s="54">
        <f>MAX(B11:AF11)</f>
        <v>0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8"/>
      <c r="T12" s="58"/>
      <c r="U12" s="58"/>
      <c r="V12" s="58"/>
      <c r="W12" s="58"/>
      <c r="X12" s="58"/>
      <c r="Y12" s="58"/>
      <c r="Z12" s="50"/>
      <c r="AA12" s="50"/>
      <c r="AB12" s="50"/>
      <c r="AC12" s="50"/>
      <c r="AD12" s="50"/>
      <c r="AE12" s="50"/>
      <c r="AF12" s="49"/>
      <c r="AG12" s="59">
        <v>60</v>
      </c>
      <c r="AH12" s="54">
        <f t="shared" ref="AH12:AH75" si="2">MAX(B12:AF12)</f>
        <v>0</v>
      </c>
      <c r="AI12" s="55">
        <f t="shared" ref="AI12:AI75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58"/>
      <c r="T13" s="58"/>
      <c r="U13" s="58"/>
      <c r="V13" s="58"/>
      <c r="W13" s="58"/>
      <c r="X13" s="58"/>
      <c r="Y13" s="58"/>
      <c r="Z13" s="50"/>
      <c r="AA13" s="50"/>
      <c r="AB13" s="50"/>
      <c r="AC13" s="50"/>
      <c r="AD13" s="50"/>
      <c r="AE13" s="50"/>
      <c r="AF13" s="49"/>
      <c r="AG13" s="59">
        <v>52.4</v>
      </c>
      <c r="AH13" s="54">
        <f t="shared" si="2"/>
        <v>0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0"/>
      <c r="O14" s="50"/>
      <c r="P14" s="50"/>
      <c r="Q14" s="50"/>
      <c r="R14" s="50"/>
      <c r="S14" s="60"/>
      <c r="T14" s="60"/>
      <c r="U14" s="60"/>
      <c r="V14" s="60"/>
      <c r="W14" s="60"/>
      <c r="X14" s="60"/>
      <c r="Y14" s="60"/>
      <c r="Z14" s="50"/>
      <c r="AA14" s="50"/>
      <c r="AB14" s="50"/>
      <c r="AC14" s="50"/>
      <c r="AD14" s="50"/>
      <c r="AE14" s="50"/>
      <c r="AF14" s="49"/>
      <c r="AG14" s="59">
        <v>50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50"/>
      <c r="N15" s="50"/>
      <c r="O15" s="50"/>
      <c r="P15" s="50"/>
      <c r="Q15" s="50"/>
      <c r="R15" s="50"/>
      <c r="S15" s="60"/>
      <c r="T15" s="60"/>
      <c r="U15" s="60"/>
      <c r="V15" s="60"/>
      <c r="W15" s="60"/>
      <c r="X15" s="60"/>
      <c r="Y15" s="60"/>
      <c r="Z15" s="50"/>
      <c r="AA15" s="50"/>
      <c r="AB15" s="50"/>
      <c r="AC15" s="50"/>
      <c r="AD15" s="50"/>
      <c r="AE15" s="50"/>
      <c r="AF15" s="61"/>
      <c r="AG15" s="62">
        <v>45</v>
      </c>
      <c r="AH15" s="54">
        <f t="shared" si="2"/>
        <v>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0"/>
      <c r="O16" s="50"/>
      <c r="P16" s="50"/>
      <c r="Q16" s="50"/>
      <c r="R16" s="50"/>
      <c r="S16" s="63"/>
      <c r="T16" s="63"/>
      <c r="U16" s="63"/>
      <c r="V16" s="63"/>
      <c r="W16" s="63"/>
      <c r="X16" s="63"/>
      <c r="Y16" s="63"/>
      <c r="Z16" s="50"/>
      <c r="AA16" s="50"/>
      <c r="AB16" s="50"/>
      <c r="AC16" s="50"/>
      <c r="AD16" s="50"/>
      <c r="AE16" s="50"/>
      <c r="AF16" s="49"/>
      <c r="AG16" s="59">
        <v>45</v>
      </c>
      <c r="AH16" s="54">
        <f t="shared" si="2"/>
        <v>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60"/>
      <c r="T17" s="60"/>
      <c r="U17" s="60"/>
      <c r="V17" s="60"/>
      <c r="W17" s="60"/>
      <c r="X17" s="60"/>
      <c r="Y17" s="60"/>
      <c r="Z17" s="50"/>
      <c r="AA17" s="50"/>
      <c r="AB17" s="50"/>
      <c r="AC17" s="50"/>
      <c r="AD17" s="50"/>
      <c r="AE17" s="50"/>
      <c r="AF17" s="49"/>
      <c r="AG17" s="59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49"/>
      <c r="AG18" s="59">
        <v>36</v>
      </c>
      <c r="AH18" s="54">
        <f t="shared" si="2"/>
        <v>0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49"/>
      <c r="AG19" s="59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9"/>
      <c r="AG20" s="59">
        <v>27</v>
      </c>
      <c r="AH20" s="54">
        <f t="shared" si="2"/>
        <v>0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49"/>
      <c r="AG21" s="59">
        <v>25</v>
      </c>
      <c r="AH21" s="54">
        <f t="shared" si="2"/>
        <v>0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49"/>
      <c r="AG22" s="59">
        <v>25</v>
      </c>
      <c r="AH22" s="54">
        <f t="shared" si="2"/>
        <v>0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49"/>
      <c r="AG23" s="59">
        <v>25</v>
      </c>
      <c r="AH23" s="54">
        <f t="shared" si="2"/>
        <v>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49"/>
      <c r="AG24" s="59">
        <v>25</v>
      </c>
      <c r="AH24" s="54">
        <f t="shared" si="2"/>
        <v>0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49"/>
      <c r="AG25" s="59">
        <v>24.2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49"/>
      <c r="AG26" s="59">
        <v>20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49"/>
      <c r="AC27" s="49"/>
      <c r="AD27" s="49"/>
      <c r="AE27" s="49"/>
      <c r="AF27" s="49"/>
      <c r="AG27" s="59">
        <v>23.5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/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  <c r="AG29" s="59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49"/>
      <c r="AG30" s="59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61"/>
      <c r="AG31" s="62">
        <v>22</v>
      </c>
      <c r="AH31" s="54">
        <f t="shared" si="2"/>
        <v>0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61"/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61"/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61"/>
      <c r="AG34" s="67">
        <v>20</v>
      </c>
      <c r="AH34" s="54">
        <f t="shared" si="2"/>
        <v>0</v>
      </c>
      <c r="AI34" s="55">
        <f t="shared" si="3"/>
        <v>0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61"/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7">
        <v>85</v>
      </c>
      <c r="AH36" s="54">
        <f t="shared" si="2"/>
        <v>0</v>
      </c>
      <c r="AI36" s="55">
        <f t="shared" si="3"/>
        <v>0</v>
      </c>
      <c r="AK36" s="56"/>
    </row>
    <row r="37" spans="1:88" ht="15.75" thickBot="1" x14ac:dyDescent="0.3">
      <c r="A37" s="69" t="s">
        <v>45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61"/>
      <c r="AG37" s="67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71" t="s">
        <v>46</v>
      </c>
      <c r="B38" s="72">
        <f>SUM(B11:B36)</f>
        <v>0</v>
      </c>
      <c r="C38" s="72">
        <f t="shared" ref="C38:AF38" si="4">SUM(C11:C36)</f>
        <v>0</v>
      </c>
      <c r="D38" s="72">
        <f t="shared" si="4"/>
        <v>0</v>
      </c>
      <c r="E38" s="72">
        <f t="shared" si="4"/>
        <v>0</v>
      </c>
      <c r="F38" s="72">
        <f t="shared" si="4"/>
        <v>0</v>
      </c>
      <c r="G38" s="72">
        <f t="shared" si="4"/>
        <v>0</v>
      </c>
      <c r="H38" s="72">
        <f t="shared" si="4"/>
        <v>0</v>
      </c>
      <c r="I38" s="72">
        <f t="shared" si="4"/>
        <v>0</v>
      </c>
      <c r="J38" s="72">
        <f t="shared" si="4"/>
        <v>0</v>
      </c>
      <c r="K38" s="72">
        <f t="shared" si="4"/>
        <v>0</v>
      </c>
      <c r="L38" s="72">
        <f t="shared" si="4"/>
        <v>0</v>
      </c>
      <c r="M38" s="72">
        <f t="shared" si="4"/>
        <v>0</v>
      </c>
      <c r="N38" s="72">
        <f t="shared" si="4"/>
        <v>0</v>
      </c>
      <c r="O38" s="72">
        <f t="shared" si="4"/>
        <v>0</v>
      </c>
      <c r="P38" s="72">
        <f t="shared" si="4"/>
        <v>0</v>
      </c>
      <c r="Q38" s="72">
        <f t="shared" si="4"/>
        <v>0</v>
      </c>
      <c r="R38" s="72">
        <f t="shared" si="4"/>
        <v>0</v>
      </c>
      <c r="S38" s="72">
        <f t="shared" si="4"/>
        <v>0</v>
      </c>
      <c r="T38" s="72">
        <f t="shared" si="4"/>
        <v>0</v>
      </c>
      <c r="U38" s="72">
        <f t="shared" si="4"/>
        <v>0</v>
      </c>
      <c r="V38" s="72">
        <f t="shared" si="4"/>
        <v>0</v>
      </c>
      <c r="W38" s="72">
        <f t="shared" si="4"/>
        <v>0</v>
      </c>
      <c r="X38" s="72">
        <f t="shared" si="4"/>
        <v>0</v>
      </c>
      <c r="Y38" s="72">
        <f t="shared" si="4"/>
        <v>0</v>
      </c>
      <c r="Z38" s="72">
        <f t="shared" si="4"/>
        <v>0</v>
      </c>
      <c r="AA38" s="72">
        <f t="shared" si="4"/>
        <v>0</v>
      </c>
      <c r="AB38" s="72">
        <f t="shared" si="4"/>
        <v>0</v>
      </c>
      <c r="AC38" s="72">
        <f t="shared" si="4"/>
        <v>0</v>
      </c>
      <c r="AD38" s="72">
        <f t="shared" si="4"/>
        <v>0</v>
      </c>
      <c r="AE38" s="72">
        <f t="shared" si="4"/>
        <v>0</v>
      </c>
      <c r="AF38" s="72">
        <f t="shared" si="4"/>
        <v>0</v>
      </c>
      <c r="AG38" s="67">
        <f>SUM(AG11:AG37)</f>
        <v>1492.8299999999997</v>
      </c>
      <c r="AH38" s="54">
        <f t="shared" si="2"/>
        <v>0</v>
      </c>
      <c r="AI38" s="55">
        <f t="shared" si="3"/>
        <v>0</v>
      </c>
      <c r="AK38" s="56"/>
    </row>
    <row r="39" spans="1:88" x14ac:dyDescent="0.25">
      <c r="A39" s="57" t="s">
        <v>47</v>
      </c>
      <c r="B39" s="49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/>
      <c r="AG39" s="62">
        <v>144</v>
      </c>
      <c r="AH39" s="54">
        <f t="shared" si="2"/>
        <v>0</v>
      </c>
      <c r="AI39" s="55">
        <f t="shared" si="3"/>
        <v>0</v>
      </c>
      <c r="AK39" s="56"/>
    </row>
    <row r="40" spans="1:88" x14ac:dyDescent="0.25">
      <c r="A40" s="66" t="s">
        <v>48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61"/>
      <c r="AG40" s="67">
        <v>70</v>
      </c>
      <c r="AH40" s="54">
        <f t="shared" si="2"/>
        <v>0</v>
      </c>
      <c r="AI40" s="55">
        <f t="shared" si="3"/>
        <v>0</v>
      </c>
      <c r="AK40" s="56"/>
    </row>
    <row r="41" spans="1:88" x14ac:dyDescent="0.25">
      <c r="A41" s="66" t="s">
        <v>49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61"/>
      <c r="AG41" s="67">
        <v>69</v>
      </c>
      <c r="AH41" s="54">
        <f t="shared" si="2"/>
        <v>0</v>
      </c>
      <c r="AI41" s="55">
        <f t="shared" si="3"/>
        <v>0</v>
      </c>
      <c r="AK41" s="56"/>
    </row>
    <row r="42" spans="1:88" x14ac:dyDescent="0.25">
      <c r="A42" s="66" t="s">
        <v>50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61"/>
      <c r="AG42" s="67">
        <v>60</v>
      </c>
      <c r="AH42" s="54">
        <f t="shared" si="2"/>
        <v>0</v>
      </c>
      <c r="AI42" s="55">
        <f t="shared" si="3"/>
        <v>0</v>
      </c>
      <c r="AK42" s="56"/>
    </row>
    <row r="43" spans="1:88" x14ac:dyDescent="0.25">
      <c r="A43" s="66" t="s">
        <v>51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3"/>
      <c r="AA43" s="73"/>
      <c r="AB43" s="73"/>
      <c r="AC43" s="73"/>
      <c r="AD43" s="73"/>
      <c r="AE43" s="73"/>
      <c r="AF43" s="61"/>
      <c r="AG43" s="67">
        <v>30</v>
      </c>
      <c r="AH43" s="54">
        <f t="shared" si="2"/>
        <v>0</v>
      </c>
      <c r="AI43" s="55">
        <f t="shared" si="3"/>
        <v>0</v>
      </c>
      <c r="AK43" s="56"/>
    </row>
    <row r="44" spans="1:88" x14ac:dyDescent="0.25">
      <c r="A44" s="66" t="s">
        <v>52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61"/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61"/>
      <c r="AG45" s="67">
        <v>24</v>
      </c>
      <c r="AH45" s="54">
        <f t="shared" si="2"/>
        <v>0</v>
      </c>
      <c r="AI45" s="55">
        <f t="shared" si="3"/>
        <v>0</v>
      </c>
      <c r="AK45" s="56"/>
    </row>
    <row r="46" spans="1:88" x14ac:dyDescent="0.25">
      <c r="A46" s="66" t="s">
        <v>54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61"/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61"/>
      <c r="AG47" s="67">
        <v>14.1</v>
      </c>
      <c r="AH47" s="54">
        <f t="shared" si="2"/>
        <v>0</v>
      </c>
      <c r="AI47" s="55">
        <f t="shared" si="3"/>
        <v>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61"/>
      <c r="AG48" s="67">
        <v>14</v>
      </c>
      <c r="AH48" s="54">
        <f t="shared" si="2"/>
        <v>0</v>
      </c>
      <c r="AI48" s="55">
        <f t="shared" si="3"/>
        <v>0</v>
      </c>
      <c r="AK48" s="56"/>
    </row>
    <row r="49" spans="1:37" x14ac:dyDescent="0.25">
      <c r="A49" s="66" t="s">
        <v>57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61"/>
      <c r="AG49" s="67">
        <v>10.050000000000001</v>
      </c>
      <c r="AH49" s="54">
        <f t="shared" si="2"/>
        <v>0</v>
      </c>
      <c r="AI49" s="55">
        <f t="shared" si="3"/>
        <v>0</v>
      </c>
      <c r="AK49" s="56"/>
    </row>
    <row r="50" spans="1:37" x14ac:dyDescent="0.25">
      <c r="A50" s="66" t="s">
        <v>58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61"/>
      <c r="AG50" s="67">
        <v>6.2</v>
      </c>
      <c r="AH50" s="54">
        <f t="shared" si="2"/>
        <v>0</v>
      </c>
      <c r="AI50" s="55">
        <f t="shared" si="3"/>
        <v>0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3.54</v>
      </c>
      <c r="C52" s="72">
        <f t="shared" ref="C52:AF52" si="6">SUM(C39:C51)</f>
        <v>3.54</v>
      </c>
      <c r="D52" s="72">
        <f t="shared" si="6"/>
        <v>3.54</v>
      </c>
      <c r="E52" s="72">
        <f t="shared" si="6"/>
        <v>3.54</v>
      </c>
      <c r="F52" s="72">
        <f t="shared" si="6"/>
        <v>3.54</v>
      </c>
      <c r="G52" s="72">
        <f t="shared" si="6"/>
        <v>3.54</v>
      </c>
      <c r="H52" s="72">
        <f t="shared" si="6"/>
        <v>3.54</v>
      </c>
      <c r="I52" s="72">
        <f t="shared" si="6"/>
        <v>3.54</v>
      </c>
      <c r="J52" s="72">
        <f t="shared" si="6"/>
        <v>3.54</v>
      </c>
      <c r="K52" s="72">
        <f t="shared" si="6"/>
        <v>3.54</v>
      </c>
      <c r="L52" s="72">
        <f t="shared" si="6"/>
        <v>3.54</v>
      </c>
      <c r="M52" s="72">
        <f t="shared" si="6"/>
        <v>3.54</v>
      </c>
      <c r="N52" s="72">
        <f t="shared" si="6"/>
        <v>3.54</v>
      </c>
      <c r="O52" s="72">
        <f t="shared" si="6"/>
        <v>3.54</v>
      </c>
      <c r="P52" s="72">
        <f t="shared" si="6"/>
        <v>3.54</v>
      </c>
      <c r="Q52" s="72">
        <f t="shared" si="6"/>
        <v>3.54</v>
      </c>
      <c r="R52" s="72">
        <f t="shared" si="6"/>
        <v>3.54</v>
      </c>
      <c r="S52" s="72">
        <f t="shared" si="6"/>
        <v>3.54</v>
      </c>
      <c r="T52" s="72">
        <f t="shared" si="6"/>
        <v>3.54</v>
      </c>
      <c r="U52" s="72">
        <f t="shared" si="6"/>
        <v>3.54</v>
      </c>
      <c r="V52" s="72">
        <f t="shared" si="6"/>
        <v>3.54</v>
      </c>
      <c r="W52" s="72">
        <f t="shared" si="6"/>
        <v>3.54</v>
      </c>
      <c r="X52" s="72">
        <f t="shared" si="6"/>
        <v>3.54</v>
      </c>
      <c r="Y52" s="72">
        <f t="shared" si="6"/>
        <v>3.54</v>
      </c>
      <c r="Z52" s="72">
        <f t="shared" si="6"/>
        <v>3.54</v>
      </c>
      <c r="AA52" s="72">
        <f t="shared" si="6"/>
        <v>3.54</v>
      </c>
      <c r="AB52" s="72">
        <f t="shared" si="6"/>
        <v>3.54</v>
      </c>
      <c r="AC52" s="72">
        <f t="shared" si="6"/>
        <v>3.54</v>
      </c>
      <c r="AD52" s="72">
        <f t="shared" si="6"/>
        <v>3.54</v>
      </c>
      <c r="AE52" s="72">
        <f t="shared" si="6"/>
        <v>3.54</v>
      </c>
      <c r="AF52" s="72">
        <f t="shared" si="6"/>
        <v>3.54</v>
      </c>
      <c r="AG52" s="78">
        <f>SUM(AG39:AG51)</f>
        <v>489.91</v>
      </c>
      <c r="AH52" s="54">
        <f t="shared" si="2"/>
        <v>3.54</v>
      </c>
      <c r="AI52" s="55">
        <f t="shared" si="3"/>
        <v>3.54</v>
      </c>
      <c r="AK52" s="56"/>
    </row>
    <row r="53" spans="1:37" x14ac:dyDescent="0.25">
      <c r="A53" s="57" t="s">
        <v>61</v>
      </c>
      <c r="B53" s="5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79"/>
      <c r="N53" s="79"/>
      <c r="O53" s="79"/>
      <c r="P53" s="79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62">
        <v>60</v>
      </c>
      <c r="AH53" s="54">
        <f t="shared" si="2"/>
        <v>0</v>
      </c>
      <c r="AI53" s="55">
        <f t="shared" si="3"/>
        <v>0</v>
      </c>
      <c r="AK53" s="56"/>
    </row>
    <row r="54" spans="1:37" x14ac:dyDescent="0.25">
      <c r="A54" s="66" t="s">
        <v>62</v>
      </c>
      <c r="B54" s="73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79"/>
      <c r="N54" s="79"/>
      <c r="O54" s="79"/>
      <c r="P54" s="79"/>
      <c r="Q54" s="73"/>
      <c r="R54" s="73"/>
      <c r="S54" s="50"/>
      <c r="T54" s="50"/>
      <c r="U54" s="50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67">
        <v>32</v>
      </c>
      <c r="AH54" s="54">
        <f t="shared" si="2"/>
        <v>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81"/>
      <c r="N55" s="81"/>
      <c r="O55" s="81"/>
      <c r="P55" s="81"/>
      <c r="Q55" s="80"/>
      <c r="R55" s="80"/>
      <c r="S55" s="50"/>
      <c r="T55" s="50"/>
      <c r="U55" s="5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2">
        <v>14</v>
      </c>
      <c r="AH55" s="54">
        <f t="shared" si="2"/>
        <v>0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0</v>
      </c>
      <c r="M56" s="72">
        <f t="shared" si="7"/>
        <v>0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0</v>
      </c>
      <c r="Y56" s="72">
        <f t="shared" si="7"/>
        <v>0</v>
      </c>
      <c r="Z56" s="72">
        <f t="shared" si="7"/>
        <v>0</v>
      </c>
      <c r="AA56" s="72">
        <f t="shared" si="7"/>
        <v>0</v>
      </c>
      <c r="AB56" s="72">
        <f t="shared" si="7"/>
        <v>0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0</v>
      </c>
      <c r="AI56" s="55">
        <f t="shared" si="3"/>
        <v>0</v>
      </c>
      <c r="AK56" s="56"/>
    </row>
    <row r="57" spans="1:37" x14ac:dyDescent="0.25">
      <c r="A57" s="57" t="s">
        <v>65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62"/>
      <c r="AH57" s="54">
        <f t="shared" si="2"/>
        <v>0</v>
      </c>
      <c r="AI57" s="55">
        <f t="shared" si="3"/>
        <v>0</v>
      </c>
      <c r="AK57" s="56"/>
    </row>
    <row r="58" spans="1:37" x14ac:dyDescent="0.25">
      <c r="A58" s="66" t="s">
        <v>66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83"/>
      <c r="Y58" s="83"/>
      <c r="Z58" s="83"/>
      <c r="AA58" s="83"/>
      <c r="AB58" s="73"/>
      <c r="AC58" s="73"/>
      <c r="AD58" s="73"/>
      <c r="AE58" s="73"/>
      <c r="AF58" s="73"/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/>
      <c r="C59" s="73"/>
      <c r="D59" s="73"/>
      <c r="E59" s="73"/>
      <c r="F59" s="73"/>
      <c r="G59" s="73"/>
      <c r="H59" s="50"/>
      <c r="I59" s="50"/>
      <c r="J59" s="50"/>
      <c r="K59" s="50"/>
      <c r="L59" s="50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84"/>
      <c r="Y59" s="84"/>
      <c r="Z59" s="84"/>
      <c r="AA59" s="84"/>
      <c r="AB59" s="73"/>
      <c r="AC59" s="73"/>
      <c r="AD59" s="73"/>
      <c r="AE59" s="73"/>
      <c r="AF59" s="73"/>
      <c r="AG59" s="85"/>
      <c r="AH59" s="54">
        <f t="shared" si="2"/>
        <v>0</v>
      </c>
      <c r="AI59" s="55">
        <f t="shared" si="3"/>
        <v>0</v>
      </c>
      <c r="AK59" s="56"/>
    </row>
    <row r="60" spans="1:37" x14ac:dyDescent="0.25">
      <c r="A60" s="66" t="s">
        <v>68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58"/>
      <c r="AG60" s="85"/>
      <c r="AH60" s="54">
        <f t="shared" si="2"/>
        <v>0</v>
      </c>
      <c r="AI60" s="55">
        <f t="shared" si="3"/>
        <v>0</v>
      </c>
      <c r="AK60" s="56"/>
    </row>
    <row r="61" spans="1:37" x14ac:dyDescent="0.25">
      <c r="A61" s="66" t="s">
        <v>69</v>
      </c>
      <c r="B61" s="50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85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6" t="s">
        <v>70</v>
      </c>
      <c r="B62" s="60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/>
      <c r="C63" s="58"/>
      <c r="D63" s="58"/>
      <c r="E63" s="58"/>
      <c r="F63" s="58"/>
      <c r="G63" s="58"/>
      <c r="H63" s="58"/>
      <c r="I63" s="50"/>
      <c r="J63" s="50"/>
      <c r="K63" s="50"/>
      <c r="L63" s="50"/>
      <c r="M63" s="5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/>
      <c r="C66" s="58"/>
      <c r="D66" s="58"/>
      <c r="E66" s="58"/>
      <c r="F66" s="58"/>
      <c r="G66" s="58"/>
      <c r="H66" s="58"/>
      <c r="I66" s="73"/>
      <c r="J66" s="73"/>
      <c r="K66" s="73"/>
      <c r="L66" s="73"/>
      <c r="M66" s="7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/>
      <c r="C67" s="58"/>
      <c r="D67" s="58"/>
      <c r="E67" s="58"/>
      <c r="F67" s="58"/>
      <c r="G67" s="58"/>
      <c r="H67" s="58"/>
      <c r="I67" s="50"/>
      <c r="J67" s="50"/>
      <c r="K67" s="50"/>
      <c r="L67" s="50"/>
      <c r="M67" s="50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0</v>
      </c>
      <c r="C68" s="72">
        <f>SUM(C57:C67)</f>
        <v>0</v>
      </c>
      <c r="D68" s="72">
        <f t="shared" ref="D68:AF68" si="8">SUM(D57:D67)</f>
        <v>0</v>
      </c>
      <c r="E68" s="72">
        <f t="shared" si="8"/>
        <v>0</v>
      </c>
      <c r="F68" s="72">
        <f t="shared" si="8"/>
        <v>0</v>
      </c>
      <c r="G68" s="72">
        <f t="shared" si="8"/>
        <v>0</v>
      </c>
      <c r="H68" s="72">
        <f t="shared" si="8"/>
        <v>0</v>
      </c>
      <c r="I68" s="72">
        <f t="shared" si="8"/>
        <v>0</v>
      </c>
      <c r="J68" s="72">
        <f t="shared" si="8"/>
        <v>0</v>
      </c>
      <c r="K68" s="72">
        <f t="shared" si="8"/>
        <v>0</v>
      </c>
      <c r="L68" s="72">
        <f t="shared" si="8"/>
        <v>0</v>
      </c>
      <c r="M68" s="72">
        <f t="shared" si="8"/>
        <v>0</v>
      </c>
      <c r="N68" s="72">
        <f t="shared" si="8"/>
        <v>0</v>
      </c>
      <c r="O68" s="72">
        <f t="shared" si="8"/>
        <v>0</v>
      </c>
      <c r="P68" s="72">
        <f t="shared" si="8"/>
        <v>0</v>
      </c>
      <c r="Q68" s="72">
        <f t="shared" si="8"/>
        <v>0</v>
      </c>
      <c r="R68" s="72">
        <f t="shared" si="8"/>
        <v>0</v>
      </c>
      <c r="S68" s="72">
        <f t="shared" si="8"/>
        <v>0</v>
      </c>
      <c r="T68" s="72">
        <f t="shared" si="8"/>
        <v>0</v>
      </c>
      <c r="U68" s="72">
        <f t="shared" si="8"/>
        <v>0</v>
      </c>
      <c r="V68" s="72">
        <f t="shared" si="8"/>
        <v>0</v>
      </c>
      <c r="W68" s="72">
        <f t="shared" si="8"/>
        <v>0</v>
      </c>
      <c r="X68" s="72">
        <f t="shared" si="8"/>
        <v>0</v>
      </c>
      <c r="Y68" s="72">
        <f t="shared" si="8"/>
        <v>0</v>
      </c>
      <c r="Z68" s="72">
        <f t="shared" si="8"/>
        <v>0</v>
      </c>
      <c r="AA68" s="72">
        <f t="shared" si="8"/>
        <v>0</v>
      </c>
      <c r="AB68" s="72">
        <f t="shared" si="8"/>
        <v>0</v>
      </c>
      <c r="AC68" s="72">
        <f t="shared" si="8"/>
        <v>0</v>
      </c>
      <c r="AD68" s="72">
        <f t="shared" si="8"/>
        <v>0</v>
      </c>
      <c r="AE68" s="72">
        <f t="shared" si="8"/>
        <v>0</v>
      </c>
      <c r="AF68" s="72">
        <f t="shared" si="8"/>
        <v>0</v>
      </c>
      <c r="AG68" s="78">
        <f>SUM(AG57:AG67)</f>
        <v>0</v>
      </c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3.54</v>
      </c>
      <c r="C73" s="89">
        <f>C68+C56+C52+C38+C72</f>
        <v>3.54</v>
      </c>
      <c r="D73" s="89">
        <f t="shared" ref="D73:AG73" si="10">D68+D56+D52+D38+D72</f>
        <v>3.54</v>
      </c>
      <c r="E73" s="89">
        <f t="shared" si="10"/>
        <v>3.54</v>
      </c>
      <c r="F73" s="89">
        <f t="shared" si="10"/>
        <v>3.54</v>
      </c>
      <c r="G73" s="89">
        <f t="shared" si="10"/>
        <v>3.54</v>
      </c>
      <c r="H73" s="89">
        <f t="shared" si="10"/>
        <v>3.54</v>
      </c>
      <c r="I73" s="89">
        <f t="shared" si="10"/>
        <v>3.54</v>
      </c>
      <c r="J73" s="89">
        <f t="shared" si="10"/>
        <v>3.54</v>
      </c>
      <c r="K73" s="89">
        <f t="shared" si="10"/>
        <v>3.54</v>
      </c>
      <c r="L73" s="89">
        <f t="shared" si="10"/>
        <v>3.54</v>
      </c>
      <c r="M73" s="89">
        <f t="shared" si="10"/>
        <v>3.54</v>
      </c>
      <c r="N73" s="89">
        <f t="shared" si="10"/>
        <v>3.54</v>
      </c>
      <c r="O73" s="89">
        <f t="shared" si="10"/>
        <v>3.54</v>
      </c>
      <c r="P73" s="89">
        <f t="shared" si="10"/>
        <v>3.54</v>
      </c>
      <c r="Q73" s="89">
        <f t="shared" si="10"/>
        <v>3.54</v>
      </c>
      <c r="R73" s="89">
        <f t="shared" si="10"/>
        <v>3.54</v>
      </c>
      <c r="S73" s="89">
        <f t="shared" si="10"/>
        <v>3.54</v>
      </c>
      <c r="T73" s="89">
        <f t="shared" si="10"/>
        <v>3.54</v>
      </c>
      <c r="U73" s="89">
        <f t="shared" si="10"/>
        <v>3.54</v>
      </c>
      <c r="V73" s="89">
        <f t="shared" si="10"/>
        <v>3.54</v>
      </c>
      <c r="W73" s="89">
        <f t="shared" si="10"/>
        <v>3.54</v>
      </c>
      <c r="X73" s="89">
        <f t="shared" si="10"/>
        <v>3.54</v>
      </c>
      <c r="Y73" s="89">
        <f t="shared" si="10"/>
        <v>3.54</v>
      </c>
      <c r="Z73" s="89">
        <f t="shared" si="10"/>
        <v>3.54</v>
      </c>
      <c r="AA73" s="89">
        <f t="shared" si="10"/>
        <v>3.54</v>
      </c>
      <c r="AB73" s="89">
        <f t="shared" si="10"/>
        <v>3.54</v>
      </c>
      <c r="AC73" s="89">
        <f t="shared" si="10"/>
        <v>3.54</v>
      </c>
      <c r="AD73" s="89">
        <f t="shared" si="10"/>
        <v>3.54</v>
      </c>
      <c r="AE73" s="89">
        <f t="shared" si="10"/>
        <v>3.54</v>
      </c>
      <c r="AF73" s="89">
        <f t="shared" si="10"/>
        <v>3.54</v>
      </c>
      <c r="AG73" s="89">
        <f t="shared" si="10"/>
        <v>2144.14</v>
      </c>
      <c r="AH73" s="54">
        <f t="shared" si="2"/>
        <v>3.54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3.54</v>
      </c>
      <c r="C75" s="89">
        <f>C73+C74</f>
        <v>3.54</v>
      </c>
      <c r="D75" s="89">
        <f t="shared" ref="D75:AF75" si="11">D72+D68+D56+D52+D38+D74</f>
        <v>3.54</v>
      </c>
      <c r="E75" s="89">
        <f t="shared" si="11"/>
        <v>3.54</v>
      </c>
      <c r="F75" s="89">
        <f t="shared" si="11"/>
        <v>3.54</v>
      </c>
      <c r="G75" s="89">
        <f t="shared" si="11"/>
        <v>3.54</v>
      </c>
      <c r="H75" s="89">
        <f t="shared" si="11"/>
        <v>3.54</v>
      </c>
      <c r="I75" s="89">
        <f t="shared" si="11"/>
        <v>3.54</v>
      </c>
      <c r="J75" s="89">
        <f t="shared" si="11"/>
        <v>3.54</v>
      </c>
      <c r="K75" s="89">
        <f t="shared" si="11"/>
        <v>3.54</v>
      </c>
      <c r="L75" s="89">
        <f t="shared" si="11"/>
        <v>3.54</v>
      </c>
      <c r="M75" s="89">
        <f t="shared" si="11"/>
        <v>3.54</v>
      </c>
      <c r="N75" s="89">
        <f t="shared" si="11"/>
        <v>3.54</v>
      </c>
      <c r="O75" s="89">
        <f t="shared" si="11"/>
        <v>3.54</v>
      </c>
      <c r="P75" s="89">
        <f t="shared" si="11"/>
        <v>3.54</v>
      </c>
      <c r="Q75" s="89">
        <f t="shared" si="11"/>
        <v>3.54</v>
      </c>
      <c r="R75" s="89">
        <f t="shared" si="11"/>
        <v>3.54</v>
      </c>
      <c r="S75" s="89">
        <f t="shared" si="11"/>
        <v>3.54</v>
      </c>
      <c r="T75" s="89">
        <f t="shared" si="11"/>
        <v>3.54</v>
      </c>
      <c r="U75" s="89">
        <f t="shared" si="11"/>
        <v>3.54</v>
      </c>
      <c r="V75" s="89">
        <f t="shared" si="11"/>
        <v>3.54</v>
      </c>
      <c r="W75" s="89">
        <f t="shared" si="11"/>
        <v>3.54</v>
      </c>
      <c r="X75" s="89">
        <f t="shared" si="11"/>
        <v>3.54</v>
      </c>
      <c r="Y75" s="89">
        <f t="shared" si="11"/>
        <v>3.54</v>
      </c>
      <c r="Z75" s="89">
        <f t="shared" si="11"/>
        <v>3.54</v>
      </c>
      <c r="AA75" s="89">
        <f t="shared" si="11"/>
        <v>3.54</v>
      </c>
      <c r="AB75" s="89">
        <f t="shared" si="11"/>
        <v>3.54</v>
      </c>
      <c r="AC75" s="89">
        <f t="shared" si="11"/>
        <v>3.54</v>
      </c>
      <c r="AD75" s="89">
        <f t="shared" si="11"/>
        <v>3.54</v>
      </c>
      <c r="AE75" s="89">
        <f t="shared" si="11"/>
        <v>3.54</v>
      </c>
      <c r="AF75" s="89">
        <f t="shared" si="11"/>
        <v>3.54</v>
      </c>
      <c r="AG75" s="78">
        <f>AG72+AG68+AG56+AG52+AG38+AG74</f>
        <v>2144.14</v>
      </c>
      <c r="AH75" s="54">
        <f t="shared" si="2"/>
        <v>3.54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7.08</v>
      </c>
      <c r="C83" s="72">
        <f t="shared" ref="C83:AG83" si="20">SUM(C70:C82)</f>
        <v>7.08</v>
      </c>
      <c r="D83" s="72">
        <f t="shared" si="20"/>
        <v>7.08</v>
      </c>
      <c r="E83" s="72">
        <f t="shared" si="20"/>
        <v>7.08</v>
      </c>
      <c r="F83" s="72">
        <f t="shared" si="20"/>
        <v>7.08</v>
      </c>
      <c r="G83" s="72">
        <f t="shared" si="20"/>
        <v>7.08</v>
      </c>
      <c r="H83" s="72">
        <f t="shared" si="20"/>
        <v>7.08</v>
      </c>
      <c r="I83" s="72">
        <f t="shared" si="20"/>
        <v>7.08</v>
      </c>
      <c r="J83" s="72">
        <f t="shared" si="20"/>
        <v>7.08</v>
      </c>
      <c r="K83" s="72">
        <f t="shared" si="20"/>
        <v>7.08</v>
      </c>
      <c r="L83" s="72">
        <f t="shared" si="20"/>
        <v>7.08</v>
      </c>
      <c r="M83" s="72">
        <f t="shared" si="20"/>
        <v>7.08</v>
      </c>
      <c r="N83" s="72">
        <f t="shared" si="20"/>
        <v>7.08</v>
      </c>
      <c r="O83" s="72">
        <f t="shared" si="20"/>
        <v>7.08</v>
      </c>
      <c r="P83" s="72">
        <f t="shared" si="20"/>
        <v>7.08</v>
      </c>
      <c r="Q83" s="72">
        <f t="shared" si="20"/>
        <v>7.08</v>
      </c>
      <c r="R83" s="72">
        <f t="shared" si="20"/>
        <v>7.08</v>
      </c>
      <c r="S83" s="72">
        <f t="shared" si="20"/>
        <v>7.08</v>
      </c>
      <c r="T83" s="72">
        <f t="shared" si="20"/>
        <v>7.08</v>
      </c>
      <c r="U83" s="72">
        <f t="shared" si="20"/>
        <v>7.08</v>
      </c>
      <c r="V83" s="72">
        <f t="shared" si="20"/>
        <v>7.08</v>
      </c>
      <c r="W83" s="72">
        <f t="shared" si="20"/>
        <v>7.08</v>
      </c>
      <c r="X83" s="72">
        <f t="shared" si="20"/>
        <v>7.08</v>
      </c>
      <c r="Y83" s="72">
        <f t="shared" si="20"/>
        <v>7.08</v>
      </c>
      <c r="Z83" s="72">
        <f t="shared" si="20"/>
        <v>7.08</v>
      </c>
      <c r="AA83" s="72">
        <f t="shared" si="20"/>
        <v>7.08</v>
      </c>
      <c r="AB83" s="72">
        <f t="shared" si="20"/>
        <v>7.08</v>
      </c>
      <c r="AC83" s="72">
        <f t="shared" si="20"/>
        <v>7.08</v>
      </c>
      <c r="AD83" s="72">
        <f t="shared" si="20"/>
        <v>7.08</v>
      </c>
      <c r="AE83" s="72">
        <f t="shared" si="20"/>
        <v>7.08</v>
      </c>
      <c r="AF83" s="72">
        <f t="shared" si="20"/>
        <v>7.08</v>
      </c>
      <c r="AG83" s="78">
        <f t="shared" si="20"/>
        <v>4360.08</v>
      </c>
      <c r="AH83" s="54">
        <f t="shared" si="13"/>
        <v>7.08</v>
      </c>
      <c r="AI83" s="55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171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6"/>
      <c r="AH84" s="54">
        <f t="shared" si="13"/>
        <v>0</v>
      </c>
      <c r="AI84" s="55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1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98"/>
      <c r="V85" s="98"/>
      <c r="W85" s="98"/>
      <c r="X85" s="98"/>
      <c r="Y85" s="98"/>
      <c r="Z85" s="98"/>
      <c r="AA85" s="98"/>
      <c r="AB85" s="73"/>
      <c r="AC85" s="73"/>
      <c r="AD85" s="73"/>
      <c r="AE85" s="73"/>
      <c r="AF85" s="73"/>
      <c r="AG85" s="99"/>
      <c r="AH85" s="54">
        <f t="shared" si="13"/>
        <v>0</v>
      </c>
      <c r="AI85" s="55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1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98"/>
      <c r="V86" s="98"/>
      <c r="W86" s="98"/>
      <c r="X86" s="98"/>
      <c r="Y86" s="98"/>
      <c r="Z86" s="98"/>
      <c r="AA86" s="98"/>
      <c r="AB86" s="73"/>
      <c r="AC86" s="73"/>
      <c r="AD86" s="73"/>
      <c r="AE86" s="73"/>
      <c r="AF86" s="73"/>
      <c r="AG86" s="99"/>
      <c r="AH86" s="54">
        <f t="shared" si="13"/>
        <v>0</v>
      </c>
      <c r="AI86" s="55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1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98"/>
      <c r="Y87" s="98"/>
      <c r="Z87" s="98"/>
      <c r="AA87" s="98"/>
      <c r="AB87" s="73"/>
      <c r="AC87" s="73"/>
      <c r="AD87" s="73"/>
      <c r="AE87" s="73"/>
      <c r="AF87" s="73"/>
      <c r="AG87" s="99"/>
      <c r="AH87" s="54">
        <f t="shared" si="13"/>
        <v>0</v>
      </c>
      <c r="AI87" s="55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0" t="s">
        <v>93</v>
      </c>
      <c r="B88" s="1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98"/>
      <c r="Y88" s="98"/>
      <c r="Z88" s="98"/>
      <c r="AA88" s="98"/>
      <c r="AB88" s="73"/>
      <c r="AC88" s="73"/>
      <c r="AD88" s="73"/>
      <c r="AE88" s="73"/>
      <c r="AF88" s="73"/>
      <c r="AG88" s="99"/>
      <c r="AH88" s="54">
        <f t="shared" si="13"/>
        <v>0</v>
      </c>
      <c r="AI88" s="55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0" t="s">
        <v>94</v>
      </c>
      <c r="B89" s="173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98"/>
      <c r="Y89" s="98"/>
      <c r="Z89" s="98"/>
      <c r="AA89" s="98"/>
      <c r="AB89" s="101"/>
      <c r="AC89" s="101"/>
      <c r="AD89" s="101"/>
      <c r="AE89" s="101"/>
      <c r="AF89" s="101"/>
      <c r="AG89" s="102"/>
      <c r="AH89" s="54">
        <f t="shared" si="13"/>
        <v>0</v>
      </c>
      <c r="AI89" s="55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1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98"/>
      <c r="Y90" s="98"/>
      <c r="Z90" s="98"/>
      <c r="AA90" s="98"/>
      <c r="AB90" s="73"/>
      <c r="AC90" s="73"/>
      <c r="AD90" s="73"/>
      <c r="AE90" s="73"/>
      <c r="AF90" s="73"/>
      <c r="AG90" s="99"/>
      <c r="AH90" s="54">
        <f t="shared" si="13"/>
        <v>0</v>
      </c>
      <c r="AI90" s="55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74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4"/>
      <c r="AH91" s="54">
        <f t="shared" si="13"/>
        <v>0</v>
      </c>
      <c r="AI91" s="55">
        <f t="shared" si="14"/>
        <v>0</v>
      </c>
    </row>
    <row r="92" spans="1:88" ht="15.75" thickBot="1" x14ac:dyDescent="0.3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7"/>
      <c r="AH92" s="54"/>
      <c r="AI92" s="55"/>
    </row>
    <row r="93" spans="1:88" ht="15.75" thickBot="1" x14ac:dyDescent="0.3">
      <c r="A93" s="108" t="s">
        <v>97</v>
      </c>
      <c r="B93" s="109">
        <f>SUM(B15,B18,B21:B22,B42,B44:B45,B47,B49,B94:B97,B102,B108,B114,B123,B125,B137,B144,B147:B148,B155,B157,B159,B163:B165,B167:B169,B174,B180:B181,B183:B185,B193,B198)</f>
        <v>34.840000000000003</v>
      </c>
      <c r="C93" s="110">
        <f>SUM(C15,C18,C21:C22,C42,C44:C45,C47,C49,C94:C97,C102,C108,C114,C123,C125,C137,C144,C147:C148,C155,C157,C159,C163:C165,C167:C169,C174,C180:C181,C183:C185,C193,C198)</f>
        <v>34.840000000000003</v>
      </c>
      <c r="D93" s="110">
        <f t="shared" ref="D93:AF93" si="21">SUM(D15,D18,D21:D22,D42,D44:D45,D47,D49,D94:D97,D102,D108,D114,D123,D125,D137,D144,D147:D148,D155,D157,D159,D163:D165,D167:D169,D174,D180:D181,D183:D185,D193,D198)</f>
        <v>34.840000000000003</v>
      </c>
      <c r="E93" s="110">
        <f t="shared" si="21"/>
        <v>34.840000000000003</v>
      </c>
      <c r="F93" s="110">
        <f t="shared" si="21"/>
        <v>34.840000000000003</v>
      </c>
      <c r="G93" s="109">
        <f t="shared" si="21"/>
        <v>34.840000000000003</v>
      </c>
      <c r="H93" s="109">
        <f t="shared" si="21"/>
        <v>34.840000000000003</v>
      </c>
      <c r="I93" s="109">
        <f t="shared" si="21"/>
        <v>34.840000000000003</v>
      </c>
      <c r="J93" s="109">
        <f t="shared" si="21"/>
        <v>34.840000000000003</v>
      </c>
      <c r="K93" s="109">
        <f t="shared" si="21"/>
        <v>34.840000000000003</v>
      </c>
      <c r="L93" s="109">
        <f t="shared" si="21"/>
        <v>34.840000000000003</v>
      </c>
      <c r="M93" s="109">
        <f t="shared" si="21"/>
        <v>34.840000000000003</v>
      </c>
      <c r="N93" s="109">
        <f t="shared" si="21"/>
        <v>34.840000000000003</v>
      </c>
      <c r="O93" s="109">
        <f t="shared" si="21"/>
        <v>34.840000000000003</v>
      </c>
      <c r="P93" s="109">
        <f t="shared" si="21"/>
        <v>34.840000000000003</v>
      </c>
      <c r="Q93" s="109">
        <f t="shared" si="21"/>
        <v>34.840000000000003</v>
      </c>
      <c r="R93" s="109">
        <f t="shared" si="21"/>
        <v>34.840000000000003</v>
      </c>
      <c r="S93" s="109">
        <f t="shared" si="21"/>
        <v>34.840000000000003</v>
      </c>
      <c r="T93" s="109">
        <f t="shared" si="21"/>
        <v>34.840000000000003</v>
      </c>
      <c r="U93" s="109">
        <f t="shared" si="21"/>
        <v>34.840000000000003</v>
      </c>
      <c r="V93" s="109">
        <f t="shared" si="21"/>
        <v>34.840000000000003</v>
      </c>
      <c r="W93" s="109">
        <f t="shared" si="21"/>
        <v>34.840000000000003</v>
      </c>
      <c r="X93" s="109">
        <f t="shared" si="21"/>
        <v>34.840000000000003</v>
      </c>
      <c r="Y93" s="109">
        <f t="shared" si="21"/>
        <v>34.840000000000003</v>
      </c>
      <c r="Z93" s="109">
        <f t="shared" si="21"/>
        <v>34.840000000000003</v>
      </c>
      <c r="AA93" s="109">
        <f t="shared" si="21"/>
        <v>34.840000000000003</v>
      </c>
      <c r="AB93" s="109">
        <f t="shared" si="21"/>
        <v>34.840000000000003</v>
      </c>
      <c r="AC93" s="109">
        <f t="shared" si="21"/>
        <v>34.840000000000003</v>
      </c>
      <c r="AD93" s="109">
        <f t="shared" si="21"/>
        <v>34.840000000000003</v>
      </c>
      <c r="AE93" s="109">
        <f t="shared" si="21"/>
        <v>34.840000000000003</v>
      </c>
      <c r="AF93" s="109">
        <f t="shared" si="21"/>
        <v>34.840000000000003</v>
      </c>
      <c r="AG93" s="111"/>
      <c r="AH93" s="54">
        <f>MAX(C93:AF93)</f>
        <v>34.840000000000003</v>
      </c>
      <c r="AI93" s="55">
        <f>MIN(C93:AF93)</f>
        <v>34.840000000000003</v>
      </c>
    </row>
    <row r="94" spans="1:88" x14ac:dyDescent="0.25">
      <c r="A94" s="112" t="s">
        <v>98</v>
      </c>
      <c r="B94" s="175"/>
      <c r="C94" s="58"/>
      <c r="D94" s="58"/>
      <c r="E94" s="58"/>
      <c r="F94" s="58"/>
      <c r="G94" s="114"/>
      <c r="H94" s="114"/>
      <c r="I94" s="114"/>
      <c r="J94" s="114"/>
      <c r="K94" s="114"/>
      <c r="L94" s="114"/>
      <c r="M94" s="113"/>
      <c r="N94" s="114"/>
      <c r="O94" s="114"/>
      <c r="P94" s="114"/>
      <c r="Q94" s="114"/>
      <c r="R94" s="114"/>
      <c r="S94" s="114"/>
      <c r="T94" s="114"/>
      <c r="U94" s="113"/>
      <c r="V94" s="113"/>
      <c r="W94" s="113"/>
      <c r="X94" s="114"/>
      <c r="Y94" s="114"/>
      <c r="Z94" s="114"/>
      <c r="AA94" s="114"/>
      <c r="AB94" s="113"/>
      <c r="AC94" s="113"/>
      <c r="AD94" s="113"/>
      <c r="AE94" s="113"/>
      <c r="AF94" s="113"/>
      <c r="AG94" s="115">
        <v>75</v>
      </c>
      <c r="AH94" s="54">
        <f>IF(ABS(MAX(C94:AF94))&gt;ABS(MIN(C94:AF94)),MAX(C94:AF94),MIN(C94:AF94))</f>
        <v>0</v>
      </c>
      <c r="AI94" s="116" t="e">
        <f>INDEX($C$9:$AF$9,1,MATCH(AH94,C94:AF94,0))</f>
        <v>#N/A</v>
      </c>
    </row>
    <row r="95" spans="1:88" x14ac:dyDescent="0.25">
      <c r="A95" s="117" t="s">
        <v>99</v>
      </c>
      <c r="B95" s="176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73"/>
      <c r="AC95" s="73"/>
      <c r="AD95" s="73"/>
      <c r="AE95" s="73"/>
      <c r="AF95" s="73"/>
      <c r="AG95" s="115">
        <v>240</v>
      </c>
      <c r="AH95" s="54">
        <f>IF(ABS(MAX(C95:AF95))&gt;ABS(MIN(C95:AF95)),MAX(C95:AF95),MIN(C95:AF95))</f>
        <v>0</v>
      </c>
      <c r="AI95" s="116" t="e">
        <f>INDEX($C$9:$AF$9,1,MATCH(AH95,C95:AF95,0))</f>
        <v>#N/A</v>
      </c>
    </row>
    <row r="96" spans="1:88" x14ac:dyDescent="0.25">
      <c r="A96" s="117" t="s">
        <v>100</v>
      </c>
      <c r="B96" s="176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73"/>
      <c r="AC96" s="73"/>
      <c r="AD96" s="73"/>
      <c r="AE96" s="73"/>
      <c r="AF96" s="73"/>
      <c r="AG96" s="115">
        <v>60</v>
      </c>
      <c r="AH96" s="54">
        <f>IF(ABS(MAX(C96:AF96))&gt;ABS(MIN(C96:AF96)),MAX(C96:AF96),MIN(C96:AF96))</f>
        <v>0</v>
      </c>
      <c r="AI96" s="116" t="e">
        <f>INDEX($C$9:$AF$9,1,MATCH(AH96,C96:AF96,0))</f>
        <v>#N/A</v>
      </c>
    </row>
    <row r="97" spans="1:37" x14ac:dyDescent="0.25">
      <c r="A97" s="118" t="s">
        <v>101</v>
      </c>
      <c r="B97" s="177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119"/>
      <c r="AC97" s="119"/>
      <c r="AD97" s="119"/>
      <c r="AE97" s="119"/>
      <c r="AF97" s="119"/>
      <c r="AG97" s="120">
        <v>120</v>
      </c>
      <c r="AH97" s="54">
        <f>IF(ABS(MAX(C97:AF97))&gt;ABS(MIN(C97:AF97)),MAX(C97:AF97),MIN(C97:AF97))</f>
        <v>0</v>
      </c>
      <c r="AI97" s="116" t="e">
        <f>INDEX($C$9:$AF$9,1,MATCH(AH97,C97:AF97,0))</f>
        <v>#N/A</v>
      </c>
    </row>
    <row r="98" spans="1:37" x14ac:dyDescent="0.25">
      <c r="A98" s="118" t="s">
        <v>102</v>
      </c>
      <c r="B98" s="177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119"/>
      <c r="AC98" s="119"/>
      <c r="AD98" s="119"/>
      <c r="AE98" s="119"/>
      <c r="AF98" s="119"/>
      <c r="AG98" s="120"/>
      <c r="AH98" s="54">
        <f>IF(ABS(MAX(C98:AF98))&gt;ABS(MIN(C98:AF98)),MAX(C98:AF98),MIN(C98:AF98))</f>
        <v>0</v>
      </c>
      <c r="AI98" s="116" t="e">
        <f>INDEX($C$9:$AF$9,1,MATCH(AH98,C98:AF98,0))</f>
        <v>#N/A</v>
      </c>
    </row>
    <row r="99" spans="1:37" ht="15.75" thickBot="1" x14ac:dyDescent="0.3">
      <c r="A99" s="118" t="s">
        <v>217</v>
      </c>
      <c r="B99" s="177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119"/>
      <c r="AC99" s="119"/>
      <c r="AD99" s="119"/>
      <c r="AE99" s="119"/>
      <c r="AF99" s="119"/>
      <c r="AG99" s="121"/>
      <c r="AH99" s="54"/>
      <c r="AI99" s="116"/>
    </row>
    <row r="100" spans="1:37" ht="15.75" thickBot="1" x14ac:dyDescent="0.3">
      <c r="A100" s="122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4"/>
      <c r="AH100" s="125"/>
      <c r="AI100" s="55"/>
      <c r="AK100" s="56"/>
    </row>
    <row r="101" spans="1:37" x14ac:dyDescent="0.25">
      <c r="A101" s="126" t="s">
        <v>104</v>
      </c>
      <c r="B101" s="127">
        <f t="shared" ref="B101:B106" si="22">AF101</f>
        <v>9.9</v>
      </c>
      <c r="C101" s="53">
        <v>9.9</v>
      </c>
      <c r="D101" s="127">
        <f t="shared" ref="D101:S106" si="23">C101</f>
        <v>9.9</v>
      </c>
      <c r="E101" s="127">
        <f t="shared" si="23"/>
        <v>9.9</v>
      </c>
      <c r="F101" s="127">
        <f t="shared" si="23"/>
        <v>9.9</v>
      </c>
      <c r="G101" s="127">
        <f t="shared" si="23"/>
        <v>9.9</v>
      </c>
      <c r="H101" s="127">
        <f t="shared" si="23"/>
        <v>9.9</v>
      </c>
      <c r="I101" s="127">
        <f t="shared" si="23"/>
        <v>9.9</v>
      </c>
      <c r="J101" s="127">
        <f t="shared" si="23"/>
        <v>9.9</v>
      </c>
      <c r="K101" s="127">
        <f t="shared" si="23"/>
        <v>9.9</v>
      </c>
      <c r="L101" s="127">
        <f t="shared" si="23"/>
        <v>9.9</v>
      </c>
      <c r="M101" s="127">
        <f t="shared" si="23"/>
        <v>9.9</v>
      </c>
      <c r="N101" s="127">
        <f t="shared" si="23"/>
        <v>9.9</v>
      </c>
      <c r="O101" s="127">
        <f t="shared" si="23"/>
        <v>9.9</v>
      </c>
      <c r="P101" s="127">
        <f t="shared" si="23"/>
        <v>9.9</v>
      </c>
      <c r="Q101" s="127">
        <f t="shared" si="23"/>
        <v>9.9</v>
      </c>
      <c r="R101" s="127">
        <f t="shared" si="23"/>
        <v>9.9</v>
      </c>
      <c r="S101" s="127">
        <f t="shared" si="23"/>
        <v>9.9</v>
      </c>
      <c r="T101" s="127">
        <f t="shared" ref="T101:AF106" si="24">S101</f>
        <v>9.9</v>
      </c>
      <c r="U101" s="127">
        <f t="shared" si="24"/>
        <v>9.9</v>
      </c>
      <c r="V101" s="127">
        <f t="shared" si="24"/>
        <v>9.9</v>
      </c>
      <c r="W101" s="127">
        <f t="shared" si="24"/>
        <v>9.9</v>
      </c>
      <c r="X101" s="127">
        <f t="shared" si="24"/>
        <v>9.9</v>
      </c>
      <c r="Y101" s="127">
        <f t="shared" si="24"/>
        <v>9.9</v>
      </c>
      <c r="Z101" s="127">
        <f t="shared" si="24"/>
        <v>9.9</v>
      </c>
      <c r="AA101" s="127">
        <f t="shared" si="24"/>
        <v>9.9</v>
      </c>
      <c r="AB101" s="127">
        <f t="shared" si="24"/>
        <v>9.9</v>
      </c>
      <c r="AC101" s="127">
        <f t="shared" si="24"/>
        <v>9.9</v>
      </c>
      <c r="AD101" s="127">
        <f t="shared" si="24"/>
        <v>9.9</v>
      </c>
      <c r="AE101" s="127">
        <f t="shared" si="24"/>
        <v>9.9</v>
      </c>
      <c r="AF101" s="127">
        <f t="shared" si="24"/>
        <v>9.9</v>
      </c>
      <c r="AG101" s="128">
        <v>9.94</v>
      </c>
      <c r="AH101" s="54"/>
      <c r="AI101" s="55"/>
      <c r="AK101" s="56"/>
    </row>
    <row r="102" spans="1:37" x14ac:dyDescent="0.25">
      <c r="A102" s="117" t="s">
        <v>105</v>
      </c>
      <c r="B102" s="129">
        <f t="shared" si="22"/>
        <v>9.6</v>
      </c>
      <c r="C102" s="130">
        <v>9.6</v>
      </c>
      <c r="D102" s="129">
        <f t="shared" si="23"/>
        <v>9.6</v>
      </c>
      <c r="E102" s="129">
        <f t="shared" si="23"/>
        <v>9.6</v>
      </c>
      <c r="F102" s="129">
        <f t="shared" si="23"/>
        <v>9.6</v>
      </c>
      <c r="G102" s="129">
        <f t="shared" si="23"/>
        <v>9.6</v>
      </c>
      <c r="H102" s="129">
        <f t="shared" si="23"/>
        <v>9.6</v>
      </c>
      <c r="I102" s="129">
        <f t="shared" si="23"/>
        <v>9.6</v>
      </c>
      <c r="J102" s="129">
        <f t="shared" si="23"/>
        <v>9.6</v>
      </c>
      <c r="K102" s="129">
        <f t="shared" si="23"/>
        <v>9.6</v>
      </c>
      <c r="L102" s="129">
        <f t="shared" si="23"/>
        <v>9.6</v>
      </c>
      <c r="M102" s="129">
        <f t="shared" si="23"/>
        <v>9.6</v>
      </c>
      <c r="N102" s="129">
        <f t="shared" si="23"/>
        <v>9.6</v>
      </c>
      <c r="O102" s="129">
        <f t="shared" si="23"/>
        <v>9.6</v>
      </c>
      <c r="P102" s="129">
        <f t="shared" si="23"/>
        <v>9.6</v>
      </c>
      <c r="Q102" s="129">
        <f t="shared" si="23"/>
        <v>9.6</v>
      </c>
      <c r="R102" s="129">
        <f t="shared" si="23"/>
        <v>9.6</v>
      </c>
      <c r="S102" s="129">
        <f t="shared" si="23"/>
        <v>9.6</v>
      </c>
      <c r="T102" s="129">
        <f t="shared" si="24"/>
        <v>9.6</v>
      </c>
      <c r="U102" s="129">
        <f t="shared" si="24"/>
        <v>9.6</v>
      </c>
      <c r="V102" s="129">
        <f t="shared" si="24"/>
        <v>9.6</v>
      </c>
      <c r="W102" s="129">
        <f t="shared" si="24"/>
        <v>9.6</v>
      </c>
      <c r="X102" s="129">
        <f t="shared" si="24"/>
        <v>9.6</v>
      </c>
      <c r="Y102" s="129">
        <f t="shared" si="24"/>
        <v>9.6</v>
      </c>
      <c r="Z102" s="129">
        <f t="shared" si="24"/>
        <v>9.6</v>
      </c>
      <c r="AA102" s="129">
        <f t="shared" si="24"/>
        <v>9.6</v>
      </c>
      <c r="AB102" s="129">
        <f t="shared" si="24"/>
        <v>9.6</v>
      </c>
      <c r="AC102" s="129">
        <f t="shared" si="24"/>
        <v>9.6</v>
      </c>
      <c r="AD102" s="129">
        <f t="shared" si="24"/>
        <v>9.6</v>
      </c>
      <c r="AE102" s="129">
        <f t="shared" si="24"/>
        <v>9.6</v>
      </c>
      <c r="AF102" s="129">
        <f t="shared" si="24"/>
        <v>9.6</v>
      </c>
      <c r="AG102" s="131">
        <v>9.9</v>
      </c>
      <c r="AH102" s="54"/>
      <c r="AI102" s="55"/>
      <c r="AK102" s="56"/>
    </row>
    <row r="103" spans="1:37" x14ac:dyDescent="0.25">
      <c r="A103" s="118" t="s">
        <v>106</v>
      </c>
      <c r="B103" s="129">
        <f t="shared" si="22"/>
        <v>9.98</v>
      </c>
      <c r="C103" s="130">
        <v>9.98</v>
      </c>
      <c r="D103" s="129">
        <f t="shared" si="23"/>
        <v>9.98</v>
      </c>
      <c r="E103" s="129">
        <f t="shared" si="23"/>
        <v>9.98</v>
      </c>
      <c r="F103" s="129">
        <f t="shared" si="23"/>
        <v>9.98</v>
      </c>
      <c r="G103" s="129">
        <f t="shared" si="23"/>
        <v>9.98</v>
      </c>
      <c r="H103" s="129">
        <f t="shared" si="23"/>
        <v>9.98</v>
      </c>
      <c r="I103" s="129">
        <f t="shared" si="23"/>
        <v>9.98</v>
      </c>
      <c r="J103" s="129">
        <f t="shared" si="23"/>
        <v>9.98</v>
      </c>
      <c r="K103" s="129">
        <f t="shared" si="23"/>
        <v>9.98</v>
      </c>
      <c r="L103" s="129">
        <f t="shared" si="23"/>
        <v>9.98</v>
      </c>
      <c r="M103" s="129">
        <f t="shared" si="23"/>
        <v>9.98</v>
      </c>
      <c r="N103" s="129">
        <f t="shared" si="23"/>
        <v>9.98</v>
      </c>
      <c r="O103" s="129">
        <f t="shared" si="23"/>
        <v>9.98</v>
      </c>
      <c r="P103" s="129">
        <f t="shared" si="23"/>
        <v>9.98</v>
      </c>
      <c r="Q103" s="129">
        <f t="shared" si="23"/>
        <v>9.98</v>
      </c>
      <c r="R103" s="129">
        <f t="shared" si="23"/>
        <v>9.98</v>
      </c>
      <c r="S103" s="129">
        <f t="shared" si="23"/>
        <v>9.98</v>
      </c>
      <c r="T103" s="129">
        <f t="shared" si="24"/>
        <v>9.98</v>
      </c>
      <c r="U103" s="129">
        <f t="shared" si="24"/>
        <v>9.98</v>
      </c>
      <c r="V103" s="129">
        <f t="shared" si="24"/>
        <v>9.98</v>
      </c>
      <c r="W103" s="129">
        <f t="shared" si="24"/>
        <v>9.98</v>
      </c>
      <c r="X103" s="129">
        <f t="shared" si="24"/>
        <v>9.98</v>
      </c>
      <c r="Y103" s="129">
        <f t="shared" si="24"/>
        <v>9.98</v>
      </c>
      <c r="Z103" s="129">
        <f t="shared" si="24"/>
        <v>9.98</v>
      </c>
      <c r="AA103" s="129">
        <f t="shared" si="24"/>
        <v>9.98</v>
      </c>
      <c r="AB103" s="129">
        <f t="shared" si="24"/>
        <v>9.98</v>
      </c>
      <c r="AC103" s="129">
        <f t="shared" si="24"/>
        <v>9.98</v>
      </c>
      <c r="AD103" s="129">
        <f t="shared" si="24"/>
        <v>9.98</v>
      </c>
      <c r="AE103" s="129">
        <f t="shared" si="24"/>
        <v>9.98</v>
      </c>
      <c r="AF103" s="129">
        <f t="shared" si="24"/>
        <v>9.98</v>
      </c>
      <c r="AG103" s="132">
        <v>9.6579999999999995</v>
      </c>
      <c r="AH103" s="54"/>
      <c r="AI103" s="55"/>
      <c r="AK103" s="56"/>
    </row>
    <row r="104" spans="1:37" x14ac:dyDescent="0.25">
      <c r="A104" s="118" t="s">
        <v>107</v>
      </c>
      <c r="B104" s="129">
        <f t="shared" si="22"/>
        <v>9.1</v>
      </c>
      <c r="C104" s="130">
        <v>9.1</v>
      </c>
      <c r="D104" s="129">
        <f t="shared" si="23"/>
        <v>9.1</v>
      </c>
      <c r="E104" s="129">
        <f t="shared" si="23"/>
        <v>9.1</v>
      </c>
      <c r="F104" s="129">
        <f t="shared" si="23"/>
        <v>9.1</v>
      </c>
      <c r="G104" s="129">
        <f t="shared" si="23"/>
        <v>9.1</v>
      </c>
      <c r="H104" s="129">
        <f t="shared" si="23"/>
        <v>9.1</v>
      </c>
      <c r="I104" s="129">
        <f t="shared" si="23"/>
        <v>9.1</v>
      </c>
      <c r="J104" s="129">
        <f t="shared" si="23"/>
        <v>9.1</v>
      </c>
      <c r="K104" s="129">
        <f t="shared" si="23"/>
        <v>9.1</v>
      </c>
      <c r="L104" s="129">
        <f t="shared" si="23"/>
        <v>9.1</v>
      </c>
      <c r="M104" s="129">
        <f t="shared" si="23"/>
        <v>9.1</v>
      </c>
      <c r="N104" s="129">
        <f t="shared" si="23"/>
        <v>9.1</v>
      </c>
      <c r="O104" s="129">
        <f t="shared" si="23"/>
        <v>9.1</v>
      </c>
      <c r="P104" s="129">
        <f t="shared" si="23"/>
        <v>9.1</v>
      </c>
      <c r="Q104" s="129">
        <f t="shared" si="23"/>
        <v>9.1</v>
      </c>
      <c r="R104" s="129">
        <f t="shared" si="23"/>
        <v>9.1</v>
      </c>
      <c r="S104" s="129">
        <f t="shared" si="23"/>
        <v>9.1</v>
      </c>
      <c r="T104" s="129">
        <f t="shared" si="24"/>
        <v>9.1</v>
      </c>
      <c r="U104" s="129">
        <f t="shared" si="24"/>
        <v>9.1</v>
      </c>
      <c r="V104" s="129">
        <f t="shared" si="24"/>
        <v>9.1</v>
      </c>
      <c r="W104" s="129">
        <f t="shared" si="24"/>
        <v>9.1</v>
      </c>
      <c r="X104" s="129">
        <f t="shared" si="24"/>
        <v>9.1</v>
      </c>
      <c r="Y104" s="129">
        <f t="shared" si="24"/>
        <v>9.1</v>
      </c>
      <c r="Z104" s="129">
        <f t="shared" si="24"/>
        <v>9.1</v>
      </c>
      <c r="AA104" s="129">
        <f t="shared" si="24"/>
        <v>9.1</v>
      </c>
      <c r="AB104" s="129">
        <f t="shared" si="24"/>
        <v>9.1</v>
      </c>
      <c r="AC104" s="129">
        <f t="shared" si="24"/>
        <v>9.1</v>
      </c>
      <c r="AD104" s="129">
        <f t="shared" si="24"/>
        <v>9.1</v>
      </c>
      <c r="AE104" s="129">
        <f t="shared" si="24"/>
        <v>9.1</v>
      </c>
      <c r="AF104" s="129">
        <f t="shared" si="24"/>
        <v>9.1</v>
      </c>
      <c r="AG104" s="132">
        <v>9.6</v>
      </c>
      <c r="AH104" s="54"/>
      <c r="AI104" s="55"/>
      <c r="AK104" s="56"/>
    </row>
    <row r="105" spans="1:37" x14ac:dyDescent="0.25">
      <c r="A105" s="118" t="s">
        <v>108</v>
      </c>
      <c r="B105" s="129">
        <f t="shared" si="22"/>
        <v>9.18</v>
      </c>
      <c r="C105" s="130">
        <v>9.18</v>
      </c>
      <c r="D105" s="129">
        <f t="shared" si="23"/>
        <v>9.18</v>
      </c>
      <c r="E105" s="129">
        <f t="shared" si="23"/>
        <v>9.18</v>
      </c>
      <c r="F105" s="129">
        <f t="shared" si="23"/>
        <v>9.18</v>
      </c>
      <c r="G105" s="129">
        <f t="shared" si="23"/>
        <v>9.18</v>
      </c>
      <c r="H105" s="129">
        <f t="shared" si="23"/>
        <v>9.18</v>
      </c>
      <c r="I105" s="129">
        <f t="shared" si="23"/>
        <v>9.18</v>
      </c>
      <c r="J105" s="129">
        <f t="shared" si="23"/>
        <v>9.18</v>
      </c>
      <c r="K105" s="129">
        <f t="shared" si="23"/>
        <v>9.18</v>
      </c>
      <c r="L105" s="129">
        <f t="shared" si="23"/>
        <v>9.18</v>
      </c>
      <c r="M105" s="129">
        <f t="shared" si="23"/>
        <v>9.18</v>
      </c>
      <c r="N105" s="129">
        <f t="shared" si="23"/>
        <v>9.18</v>
      </c>
      <c r="O105" s="129">
        <f t="shared" si="23"/>
        <v>9.18</v>
      </c>
      <c r="P105" s="129">
        <f t="shared" si="23"/>
        <v>9.18</v>
      </c>
      <c r="Q105" s="129">
        <f t="shared" si="23"/>
        <v>9.18</v>
      </c>
      <c r="R105" s="129">
        <f t="shared" si="23"/>
        <v>9.18</v>
      </c>
      <c r="S105" s="129">
        <f t="shared" si="23"/>
        <v>9.18</v>
      </c>
      <c r="T105" s="129">
        <f t="shared" si="24"/>
        <v>9.18</v>
      </c>
      <c r="U105" s="129">
        <f t="shared" si="24"/>
        <v>9.18</v>
      </c>
      <c r="V105" s="129">
        <f t="shared" si="24"/>
        <v>9.18</v>
      </c>
      <c r="W105" s="129">
        <f t="shared" si="24"/>
        <v>9.18</v>
      </c>
      <c r="X105" s="129">
        <f t="shared" si="24"/>
        <v>9.18</v>
      </c>
      <c r="Y105" s="129">
        <f t="shared" si="24"/>
        <v>9.18</v>
      </c>
      <c r="Z105" s="129">
        <f t="shared" si="24"/>
        <v>9.18</v>
      </c>
      <c r="AA105" s="129">
        <f t="shared" si="24"/>
        <v>9.18</v>
      </c>
      <c r="AB105" s="129">
        <f t="shared" si="24"/>
        <v>9.18</v>
      </c>
      <c r="AC105" s="129">
        <f t="shared" si="24"/>
        <v>9.18</v>
      </c>
      <c r="AD105" s="129">
        <f t="shared" si="24"/>
        <v>9.18</v>
      </c>
      <c r="AE105" s="129">
        <f t="shared" si="24"/>
        <v>9.18</v>
      </c>
      <c r="AF105" s="129">
        <f t="shared" si="24"/>
        <v>9.18</v>
      </c>
      <c r="AG105" s="132">
        <v>9.51</v>
      </c>
      <c r="AH105" s="54"/>
      <c r="AI105" s="55"/>
      <c r="AK105" s="56"/>
    </row>
    <row r="106" spans="1:37" x14ac:dyDescent="0.25">
      <c r="A106" s="118" t="s">
        <v>109</v>
      </c>
      <c r="B106" s="129">
        <f t="shared" si="22"/>
        <v>7</v>
      </c>
      <c r="C106" s="130">
        <v>7</v>
      </c>
      <c r="D106" s="129">
        <f t="shared" si="23"/>
        <v>7</v>
      </c>
      <c r="E106" s="129">
        <f t="shared" si="23"/>
        <v>7</v>
      </c>
      <c r="F106" s="129">
        <f t="shared" si="23"/>
        <v>7</v>
      </c>
      <c r="G106" s="129">
        <f t="shared" si="23"/>
        <v>7</v>
      </c>
      <c r="H106" s="129">
        <f t="shared" si="23"/>
        <v>7</v>
      </c>
      <c r="I106" s="129">
        <f t="shared" si="23"/>
        <v>7</v>
      </c>
      <c r="J106" s="129">
        <f t="shared" si="23"/>
        <v>7</v>
      </c>
      <c r="K106" s="129">
        <f t="shared" si="23"/>
        <v>7</v>
      </c>
      <c r="L106" s="129">
        <f t="shared" si="23"/>
        <v>7</v>
      </c>
      <c r="M106" s="129">
        <f t="shared" si="23"/>
        <v>7</v>
      </c>
      <c r="N106" s="129">
        <f t="shared" si="23"/>
        <v>7</v>
      </c>
      <c r="O106" s="129">
        <f t="shared" si="23"/>
        <v>7</v>
      </c>
      <c r="P106" s="129">
        <f t="shared" si="23"/>
        <v>7</v>
      </c>
      <c r="Q106" s="129">
        <f t="shared" si="23"/>
        <v>7</v>
      </c>
      <c r="R106" s="129">
        <f t="shared" si="23"/>
        <v>7</v>
      </c>
      <c r="S106" s="129">
        <f t="shared" si="23"/>
        <v>7</v>
      </c>
      <c r="T106" s="129">
        <f t="shared" si="24"/>
        <v>7</v>
      </c>
      <c r="U106" s="129">
        <f t="shared" si="24"/>
        <v>7</v>
      </c>
      <c r="V106" s="129">
        <f t="shared" si="24"/>
        <v>7</v>
      </c>
      <c r="W106" s="129">
        <f t="shared" si="24"/>
        <v>7</v>
      </c>
      <c r="X106" s="129">
        <f t="shared" si="24"/>
        <v>7</v>
      </c>
      <c r="Y106" s="129">
        <f t="shared" si="24"/>
        <v>7</v>
      </c>
      <c r="Z106" s="129">
        <f t="shared" si="24"/>
        <v>7</v>
      </c>
      <c r="AA106" s="129">
        <f t="shared" si="24"/>
        <v>7</v>
      </c>
      <c r="AB106" s="129">
        <f t="shared" si="24"/>
        <v>7</v>
      </c>
      <c r="AC106" s="129">
        <f t="shared" si="24"/>
        <v>7</v>
      </c>
      <c r="AD106" s="129">
        <f t="shared" si="24"/>
        <v>7</v>
      </c>
      <c r="AE106" s="129">
        <f t="shared" si="24"/>
        <v>7</v>
      </c>
      <c r="AF106" s="129">
        <f t="shared" si="24"/>
        <v>7</v>
      </c>
      <c r="AG106" s="132">
        <v>9.4</v>
      </c>
      <c r="AH106" s="54"/>
      <c r="AI106" s="55"/>
      <c r="AK106" s="56"/>
    </row>
    <row r="107" spans="1:37" x14ac:dyDescent="0.25">
      <c r="A107" s="118" t="s">
        <v>110</v>
      </c>
      <c r="B107" s="129"/>
      <c r="C107" s="130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32">
        <v>8.8000000000000007</v>
      </c>
      <c r="AH107" s="54"/>
      <c r="AI107" s="55"/>
      <c r="AK107" s="56"/>
    </row>
    <row r="108" spans="1:37" x14ac:dyDescent="0.25">
      <c r="A108" s="118" t="s">
        <v>111</v>
      </c>
      <c r="B108" s="129">
        <f>AF108</f>
        <v>2.25</v>
      </c>
      <c r="C108" s="130">
        <v>2.25</v>
      </c>
      <c r="D108" s="129">
        <f t="shared" ref="D108:S109" si="25">C108</f>
        <v>2.25</v>
      </c>
      <c r="E108" s="129">
        <f t="shared" si="25"/>
        <v>2.25</v>
      </c>
      <c r="F108" s="129">
        <f t="shared" si="25"/>
        <v>2.25</v>
      </c>
      <c r="G108" s="129">
        <f t="shared" si="25"/>
        <v>2.25</v>
      </c>
      <c r="H108" s="129">
        <f t="shared" si="25"/>
        <v>2.25</v>
      </c>
      <c r="I108" s="129">
        <f t="shared" si="25"/>
        <v>2.25</v>
      </c>
      <c r="J108" s="129">
        <f t="shared" si="25"/>
        <v>2.25</v>
      </c>
      <c r="K108" s="129">
        <f t="shared" si="25"/>
        <v>2.25</v>
      </c>
      <c r="L108" s="129">
        <f t="shared" si="25"/>
        <v>2.25</v>
      </c>
      <c r="M108" s="129">
        <f t="shared" si="25"/>
        <v>2.25</v>
      </c>
      <c r="N108" s="129">
        <f t="shared" si="25"/>
        <v>2.25</v>
      </c>
      <c r="O108" s="129">
        <f t="shared" si="25"/>
        <v>2.25</v>
      </c>
      <c r="P108" s="129">
        <f t="shared" si="25"/>
        <v>2.25</v>
      </c>
      <c r="Q108" s="129">
        <f t="shared" si="25"/>
        <v>2.25</v>
      </c>
      <c r="R108" s="129">
        <f t="shared" si="25"/>
        <v>2.25</v>
      </c>
      <c r="S108" s="129">
        <f t="shared" si="25"/>
        <v>2.25</v>
      </c>
      <c r="T108" s="129">
        <f t="shared" ref="T108:AF109" si="26">S108</f>
        <v>2.25</v>
      </c>
      <c r="U108" s="129">
        <f t="shared" si="26"/>
        <v>2.25</v>
      </c>
      <c r="V108" s="129">
        <f t="shared" si="26"/>
        <v>2.25</v>
      </c>
      <c r="W108" s="129">
        <f t="shared" si="26"/>
        <v>2.25</v>
      </c>
      <c r="X108" s="129">
        <f t="shared" si="26"/>
        <v>2.25</v>
      </c>
      <c r="Y108" s="129">
        <f t="shared" si="26"/>
        <v>2.25</v>
      </c>
      <c r="Z108" s="129">
        <f t="shared" si="26"/>
        <v>2.25</v>
      </c>
      <c r="AA108" s="129">
        <f t="shared" si="26"/>
        <v>2.25</v>
      </c>
      <c r="AB108" s="129">
        <f t="shared" si="26"/>
        <v>2.25</v>
      </c>
      <c r="AC108" s="129">
        <f t="shared" si="26"/>
        <v>2.25</v>
      </c>
      <c r="AD108" s="129">
        <f t="shared" si="26"/>
        <v>2.25</v>
      </c>
      <c r="AE108" s="129">
        <f t="shared" si="26"/>
        <v>2.25</v>
      </c>
      <c r="AF108" s="129">
        <f t="shared" si="26"/>
        <v>2.25</v>
      </c>
      <c r="AG108" s="132">
        <v>8.5</v>
      </c>
      <c r="AH108" s="54"/>
      <c r="AI108" s="55"/>
      <c r="AK108" s="56"/>
    </row>
    <row r="109" spans="1:37" x14ac:dyDescent="0.25">
      <c r="A109" s="118" t="s">
        <v>112</v>
      </c>
      <c r="B109" s="129">
        <f>AF109</f>
        <v>1.64</v>
      </c>
      <c r="C109" s="130">
        <v>1.64</v>
      </c>
      <c r="D109" s="129">
        <f t="shared" si="25"/>
        <v>1.64</v>
      </c>
      <c r="E109" s="129">
        <f t="shared" si="25"/>
        <v>1.64</v>
      </c>
      <c r="F109" s="129">
        <f t="shared" si="25"/>
        <v>1.64</v>
      </c>
      <c r="G109" s="129">
        <f t="shared" si="25"/>
        <v>1.64</v>
      </c>
      <c r="H109" s="129">
        <f t="shared" si="25"/>
        <v>1.64</v>
      </c>
      <c r="I109" s="129">
        <f t="shared" si="25"/>
        <v>1.64</v>
      </c>
      <c r="J109" s="129">
        <f t="shared" si="25"/>
        <v>1.64</v>
      </c>
      <c r="K109" s="129">
        <f t="shared" si="25"/>
        <v>1.64</v>
      </c>
      <c r="L109" s="129">
        <f t="shared" si="25"/>
        <v>1.64</v>
      </c>
      <c r="M109" s="129">
        <f t="shared" si="25"/>
        <v>1.64</v>
      </c>
      <c r="N109" s="129">
        <f t="shared" si="25"/>
        <v>1.64</v>
      </c>
      <c r="O109" s="129">
        <f t="shared" si="25"/>
        <v>1.64</v>
      </c>
      <c r="P109" s="129">
        <f t="shared" si="25"/>
        <v>1.64</v>
      </c>
      <c r="Q109" s="129">
        <f t="shared" si="25"/>
        <v>1.64</v>
      </c>
      <c r="R109" s="129">
        <f t="shared" si="25"/>
        <v>1.64</v>
      </c>
      <c r="S109" s="129">
        <f t="shared" si="25"/>
        <v>1.64</v>
      </c>
      <c r="T109" s="129">
        <f t="shared" si="26"/>
        <v>1.64</v>
      </c>
      <c r="U109" s="129">
        <f t="shared" si="26"/>
        <v>1.64</v>
      </c>
      <c r="V109" s="129">
        <f t="shared" si="26"/>
        <v>1.64</v>
      </c>
      <c r="W109" s="129">
        <f t="shared" si="26"/>
        <v>1.64</v>
      </c>
      <c r="X109" s="129">
        <f t="shared" si="26"/>
        <v>1.64</v>
      </c>
      <c r="Y109" s="129">
        <f t="shared" si="26"/>
        <v>1.64</v>
      </c>
      <c r="Z109" s="129">
        <f t="shared" si="26"/>
        <v>1.64</v>
      </c>
      <c r="AA109" s="129">
        <f t="shared" si="26"/>
        <v>1.64</v>
      </c>
      <c r="AB109" s="129">
        <f t="shared" si="26"/>
        <v>1.64</v>
      </c>
      <c r="AC109" s="129">
        <f t="shared" si="26"/>
        <v>1.64</v>
      </c>
      <c r="AD109" s="129">
        <f t="shared" si="26"/>
        <v>1.64</v>
      </c>
      <c r="AE109" s="129">
        <f t="shared" si="26"/>
        <v>1.64</v>
      </c>
      <c r="AF109" s="129">
        <f t="shared" si="26"/>
        <v>1.64</v>
      </c>
      <c r="AG109" s="132">
        <v>8.5</v>
      </c>
      <c r="AH109" s="54"/>
      <c r="AI109" s="55"/>
      <c r="AK109" s="56"/>
    </row>
    <row r="110" spans="1:37" x14ac:dyDescent="0.25">
      <c r="A110" s="118" t="s">
        <v>113</v>
      </c>
      <c r="B110" s="129"/>
      <c r="C110" s="130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32">
        <v>8.4</v>
      </c>
      <c r="AH110" s="54"/>
      <c r="AI110" s="55"/>
      <c r="AK110" s="56"/>
    </row>
    <row r="111" spans="1:37" x14ac:dyDescent="0.25">
      <c r="A111" s="118" t="s">
        <v>114</v>
      </c>
      <c r="B111" s="129">
        <f t="shared" ref="B111:B128" si="27">AF111</f>
        <v>1.62</v>
      </c>
      <c r="C111" s="130">
        <v>1.62</v>
      </c>
      <c r="D111" s="129">
        <f t="shared" ref="D111:S118" si="28">C111</f>
        <v>1.62</v>
      </c>
      <c r="E111" s="129">
        <f t="shared" si="28"/>
        <v>1.62</v>
      </c>
      <c r="F111" s="129">
        <f t="shared" si="28"/>
        <v>1.62</v>
      </c>
      <c r="G111" s="129">
        <f t="shared" si="28"/>
        <v>1.62</v>
      </c>
      <c r="H111" s="129">
        <f t="shared" si="28"/>
        <v>1.62</v>
      </c>
      <c r="I111" s="129">
        <f t="shared" si="28"/>
        <v>1.62</v>
      </c>
      <c r="J111" s="129">
        <f t="shared" si="28"/>
        <v>1.62</v>
      </c>
      <c r="K111" s="129">
        <f t="shared" si="28"/>
        <v>1.62</v>
      </c>
      <c r="L111" s="129">
        <f t="shared" si="28"/>
        <v>1.62</v>
      </c>
      <c r="M111" s="129">
        <f t="shared" si="28"/>
        <v>1.62</v>
      </c>
      <c r="N111" s="129">
        <f t="shared" si="28"/>
        <v>1.62</v>
      </c>
      <c r="O111" s="129">
        <f t="shared" si="28"/>
        <v>1.62</v>
      </c>
      <c r="P111" s="129">
        <f t="shared" si="28"/>
        <v>1.62</v>
      </c>
      <c r="Q111" s="129">
        <f t="shared" si="28"/>
        <v>1.62</v>
      </c>
      <c r="R111" s="129">
        <f t="shared" si="28"/>
        <v>1.62</v>
      </c>
      <c r="S111" s="129">
        <f t="shared" si="28"/>
        <v>1.62</v>
      </c>
      <c r="T111" s="129">
        <f t="shared" ref="T111:AF126" si="29">S111</f>
        <v>1.62</v>
      </c>
      <c r="U111" s="129">
        <f t="shared" si="29"/>
        <v>1.62</v>
      </c>
      <c r="V111" s="129">
        <f t="shared" si="29"/>
        <v>1.62</v>
      </c>
      <c r="W111" s="129">
        <f t="shared" si="29"/>
        <v>1.62</v>
      </c>
      <c r="X111" s="129">
        <f t="shared" si="29"/>
        <v>1.62</v>
      </c>
      <c r="Y111" s="129">
        <f t="shared" si="29"/>
        <v>1.62</v>
      </c>
      <c r="Z111" s="129">
        <f t="shared" si="29"/>
        <v>1.62</v>
      </c>
      <c r="AA111" s="129">
        <f t="shared" si="29"/>
        <v>1.62</v>
      </c>
      <c r="AB111" s="129">
        <f t="shared" si="29"/>
        <v>1.62</v>
      </c>
      <c r="AC111" s="129">
        <f t="shared" si="29"/>
        <v>1.62</v>
      </c>
      <c r="AD111" s="129">
        <f t="shared" si="29"/>
        <v>1.62</v>
      </c>
      <c r="AE111" s="129">
        <f t="shared" si="29"/>
        <v>1.62</v>
      </c>
      <c r="AF111" s="129">
        <f t="shared" si="29"/>
        <v>1.62</v>
      </c>
      <c r="AG111" s="132">
        <v>8</v>
      </c>
      <c r="AH111" s="54"/>
      <c r="AI111" s="55"/>
      <c r="AK111" s="56"/>
    </row>
    <row r="112" spans="1:37" x14ac:dyDescent="0.25">
      <c r="A112" s="118" t="s">
        <v>115</v>
      </c>
      <c r="B112" s="129">
        <f t="shared" si="27"/>
        <v>8.36</v>
      </c>
      <c r="C112" s="130">
        <v>8.36</v>
      </c>
      <c r="D112" s="129">
        <f t="shared" si="28"/>
        <v>8.36</v>
      </c>
      <c r="E112" s="129">
        <f t="shared" si="28"/>
        <v>8.36</v>
      </c>
      <c r="F112" s="129">
        <f t="shared" si="28"/>
        <v>8.36</v>
      </c>
      <c r="G112" s="129">
        <f t="shared" si="28"/>
        <v>8.36</v>
      </c>
      <c r="H112" s="129">
        <f t="shared" si="28"/>
        <v>8.36</v>
      </c>
      <c r="I112" s="129">
        <f t="shared" si="28"/>
        <v>8.36</v>
      </c>
      <c r="J112" s="129">
        <f t="shared" si="28"/>
        <v>8.36</v>
      </c>
      <c r="K112" s="129">
        <f t="shared" si="28"/>
        <v>8.36</v>
      </c>
      <c r="L112" s="129">
        <f t="shared" si="28"/>
        <v>8.36</v>
      </c>
      <c r="M112" s="129">
        <f t="shared" si="28"/>
        <v>8.36</v>
      </c>
      <c r="N112" s="129">
        <f t="shared" si="28"/>
        <v>8.36</v>
      </c>
      <c r="O112" s="129">
        <f t="shared" si="28"/>
        <v>8.36</v>
      </c>
      <c r="P112" s="129">
        <f t="shared" si="28"/>
        <v>8.36</v>
      </c>
      <c r="Q112" s="129">
        <f t="shared" si="28"/>
        <v>8.36</v>
      </c>
      <c r="R112" s="129">
        <f t="shared" si="28"/>
        <v>8.36</v>
      </c>
      <c r="S112" s="129">
        <f t="shared" si="28"/>
        <v>8.36</v>
      </c>
      <c r="T112" s="129">
        <f t="shared" si="29"/>
        <v>8.36</v>
      </c>
      <c r="U112" s="129">
        <f t="shared" si="29"/>
        <v>8.36</v>
      </c>
      <c r="V112" s="129">
        <f t="shared" si="29"/>
        <v>8.36</v>
      </c>
      <c r="W112" s="129">
        <f t="shared" si="29"/>
        <v>8.36</v>
      </c>
      <c r="X112" s="129">
        <f t="shared" si="29"/>
        <v>8.36</v>
      </c>
      <c r="Y112" s="129">
        <f t="shared" si="29"/>
        <v>8.36</v>
      </c>
      <c r="Z112" s="129">
        <f t="shared" si="29"/>
        <v>8.36</v>
      </c>
      <c r="AA112" s="129">
        <f t="shared" si="29"/>
        <v>8.36</v>
      </c>
      <c r="AB112" s="129">
        <f t="shared" si="29"/>
        <v>8.36</v>
      </c>
      <c r="AC112" s="129">
        <f t="shared" si="29"/>
        <v>8.36</v>
      </c>
      <c r="AD112" s="129">
        <f t="shared" si="29"/>
        <v>8.36</v>
      </c>
      <c r="AE112" s="129">
        <f t="shared" si="29"/>
        <v>8.36</v>
      </c>
      <c r="AF112" s="129">
        <f t="shared" si="29"/>
        <v>8.36</v>
      </c>
      <c r="AG112" s="132">
        <v>8</v>
      </c>
      <c r="AH112" s="54"/>
      <c r="AI112" s="55"/>
      <c r="AK112" s="56"/>
    </row>
    <row r="113" spans="1:37" x14ac:dyDescent="0.25">
      <c r="A113" s="118" t="s">
        <v>116</v>
      </c>
      <c r="B113" s="129">
        <f t="shared" si="27"/>
        <v>5.4</v>
      </c>
      <c r="C113" s="130"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v>5.4</v>
      </c>
      <c r="K113" s="129">
        <f t="shared" si="28"/>
        <v>5.4</v>
      </c>
      <c r="L113" s="129">
        <f t="shared" si="28"/>
        <v>5.4</v>
      </c>
      <c r="M113" s="129">
        <f t="shared" si="28"/>
        <v>5.4</v>
      </c>
      <c r="N113" s="129">
        <f t="shared" si="28"/>
        <v>5.4</v>
      </c>
      <c r="O113" s="129">
        <f t="shared" si="28"/>
        <v>5.4</v>
      </c>
      <c r="P113" s="129">
        <f t="shared" si="28"/>
        <v>5.4</v>
      </c>
      <c r="Q113" s="129">
        <f t="shared" si="28"/>
        <v>5.4</v>
      </c>
      <c r="R113" s="129">
        <f t="shared" si="28"/>
        <v>5.4</v>
      </c>
      <c r="S113" s="129">
        <f t="shared" si="28"/>
        <v>5.4</v>
      </c>
      <c r="T113" s="129">
        <f t="shared" si="29"/>
        <v>5.4</v>
      </c>
      <c r="U113" s="129">
        <f t="shared" si="29"/>
        <v>5.4</v>
      </c>
      <c r="V113" s="129">
        <f t="shared" si="29"/>
        <v>5.4</v>
      </c>
      <c r="W113" s="129">
        <f t="shared" si="29"/>
        <v>5.4</v>
      </c>
      <c r="X113" s="129">
        <f t="shared" si="29"/>
        <v>5.4</v>
      </c>
      <c r="Y113" s="129">
        <f t="shared" si="29"/>
        <v>5.4</v>
      </c>
      <c r="Z113" s="129">
        <f t="shared" si="29"/>
        <v>5.4</v>
      </c>
      <c r="AA113" s="129">
        <f t="shared" si="29"/>
        <v>5.4</v>
      </c>
      <c r="AB113" s="129">
        <f t="shared" si="29"/>
        <v>5.4</v>
      </c>
      <c r="AC113" s="129">
        <f t="shared" si="29"/>
        <v>5.4</v>
      </c>
      <c r="AD113" s="129">
        <f t="shared" si="29"/>
        <v>5.4</v>
      </c>
      <c r="AE113" s="129">
        <f t="shared" si="29"/>
        <v>5.4</v>
      </c>
      <c r="AF113" s="129">
        <f t="shared" si="29"/>
        <v>5.4</v>
      </c>
      <c r="AG113" s="132">
        <v>8</v>
      </c>
      <c r="AH113" s="54"/>
      <c r="AI113" s="55"/>
      <c r="AK113" s="56"/>
    </row>
    <row r="114" spans="1:37" x14ac:dyDescent="0.25">
      <c r="A114" s="118" t="s">
        <v>117</v>
      </c>
      <c r="B114" s="129">
        <f t="shared" si="27"/>
        <v>6.57</v>
      </c>
      <c r="C114" s="130">
        <v>6.57</v>
      </c>
      <c r="D114" s="129">
        <f t="shared" si="28"/>
        <v>6.57</v>
      </c>
      <c r="E114" s="129">
        <f t="shared" si="28"/>
        <v>6.57</v>
      </c>
      <c r="F114" s="129">
        <f t="shared" si="28"/>
        <v>6.57</v>
      </c>
      <c r="G114" s="129">
        <f t="shared" si="28"/>
        <v>6.57</v>
      </c>
      <c r="H114" s="129">
        <f t="shared" si="28"/>
        <v>6.57</v>
      </c>
      <c r="I114" s="129">
        <f t="shared" si="28"/>
        <v>6.57</v>
      </c>
      <c r="J114" s="129">
        <f t="shared" si="28"/>
        <v>6.57</v>
      </c>
      <c r="K114" s="129">
        <f t="shared" si="28"/>
        <v>6.57</v>
      </c>
      <c r="L114" s="129">
        <f t="shared" si="28"/>
        <v>6.57</v>
      </c>
      <c r="M114" s="129">
        <f t="shared" si="28"/>
        <v>6.57</v>
      </c>
      <c r="N114" s="129">
        <f t="shared" si="28"/>
        <v>6.57</v>
      </c>
      <c r="O114" s="129">
        <f t="shared" si="28"/>
        <v>6.57</v>
      </c>
      <c r="P114" s="129">
        <f t="shared" si="28"/>
        <v>6.57</v>
      </c>
      <c r="Q114" s="129">
        <f t="shared" si="28"/>
        <v>6.57</v>
      </c>
      <c r="R114" s="129">
        <f t="shared" si="28"/>
        <v>6.57</v>
      </c>
      <c r="S114" s="129">
        <f t="shared" si="28"/>
        <v>6.57</v>
      </c>
      <c r="T114" s="129">
        <f t="shared" si="29"/>
        <v>6.57</v>
      </c>
      <c r="U114" s="129">
        <f t="shared" si="29"/>
        <v>6.57</v>
      </c>
      <c r="V114" s="129">
        <f t="shared" si="29"/>
        <v>6.57</v>
      </c>
      <c r="W114" s="129">
        <f t="shared" si="29"/>
        <v>6.57</v>
      </c>
      <c r="X114" s="129">
        <f t="shared" si="29"/>
        <v>6.57</v>
      </c>
      <c r="Y114" s="129">
        <f t="shared" si="29"/>
        <v>6.57</v>
      </c>
      <c r="Z114" s="129">
        <f t="shared" si="29"/>
        <v>6.57</v>
      </c>
      <c r="AA114" s="129">
        <f t="shared" si="29"/>
        <v>6.57</v>
      </c>
      <c r="AB114" s="129">
        <f t="shared" si="29"/>
        <v>6.57</v>
      </c>
      <c r="AC114" s="129">
        <f t="shared" si="29"/>
        <v>6.57</v>
      </c>
      <c r="AD114" s="129">
        <f t="shared" si="29"/>
        <v>6.57</v>
      </c>
      <c r="AE114" s="129">
        <f t="shared" si="29"/>
        <v>6.57</v>
      </c>
      <c r="AF114" s="129">
        <f t="shared" si="29"/>
        <v>6.57</v>
      </c>
      <c r="AG114" s="132">
        <v>7.8</v>
      </c>
      <c r="AH114" s="54"/>
      <c r="AI114" s="55"/>
      <c r="AK114" s="56"/>
    </row>
    <row r="115" spans="1:37" x14ac:dyDescent="0.25">
      <c r="A115" s="118" t="s">
        <v>118</v>
      </c>
      <c r="B115" s="129">
        <f t="shared" si="27"/>
        <v>3.43</v>
      </c>
      <c r="C115" s="130">
        <v>3.43</v>
      </c>
      <c r="D115" s="129">
        <f t="shared" si="28"/>
        <v>3.43</v>
      </c>
      <c r="E115" s="129">
        <f t="shared" si="28"/>
        <v>3.43</v>
      </c>
      <c r="F115" s="129">
        <f t="shared" si="28"/>
        <v>3.43</v>
      </c>
      <c r="G115" s="129">
        <f t="shared" si="28"/>
        <v>3.43</v>
      </c>
      <c r="H115" s="129">
        <f t="shared" si="28"/>
        <v>3.43</v>
      </c>
      <c r="I115" s="129">
        <f t="shared" si="28"/>
        <v>3.43</v>
      </c>
      <c r="J115" s="129">
        <f t="shared" si="28"/>
        <v>3.43</v>
      </c>
      <c r="K115" s="129">
        <f t="shared" si="28"/>
        <v>3.43</v>
      </c>
      <c r="L115" s="129">
        <f t="shared" si="28"/>
        <v>3.43</v>
      </c>
      <c r="M115" s="129">
        <f t="shared" si="28"/>
        <v>3.43</v>
      </c>
      <c r="N115" s="129">
        <f t="shared" si="28"/>
        <v>3.43</v>
      </c>
      <c r="O115" s="129">
        <f t="shared" si="28"/>
        <v>3.43</v>
      </c>
      <c r="P115" s="129">
        <f t="shared" si="28"/>
        <v>3.43</v>
      </c>
      <c r="Q115" s="129">
        <f t="shared" si="28"/>
        <v>3.43</v>
      </c>
      <c r="R115" s="129">
        <f t="shared" si="28"/>
        <v>3.43</v>
      </c>
      <c r="S115" s="129">
        <f t="shared" si="28"/>
        <v>3.43</v>
      </c>
      <c r="T115" s="129">
        <f t="shared" si="29"/>
        <v>3.43</v>
      </c>
      <c r="U115" s="129">
        <f t="shared" si="29"/>
        <v>3.43</v>
      </c>
      <c r="V115" s="129">
        <f t="shared" si="29"/>
        <v>3.43</v>
      </c>
      <c r="W115" s="129">
        <f t="shared" si="29"/>
        <v>3.43</v>
      </c>
      <c r="X115" s="129">
        <f t="shared" si="29"/>
        <v>3.43</v>
      </c>
      <c r="Y115" s="129">
        <f t="shared" si="29"/>
        <v>3.43</v>
      </c>
      <c r="Z115" s="129">
        <f t="shared" si="29"/>
        <v>3.43</v>
      </c>
      <c r="AA115" s="129">
        <f t="shared" si="29"/>
        <v>3.43</v>
      </c>
      <c r="AB115" s="129">
        <f t="shared" si="29"/>
        <v>3.43</v>
      </c>
      <c r="AC115" s="129">
        <f t="shared" si="29"/>
        <v>3.43</v>
      </c>
      <c r="AD115" s="129">
        <f t="shared" si="29"/>
        <v>3.43</v>
      </c>
      <c r="AE115" s="129">
        <f t="shared" si="29"/>
        <v>3.43</v>
      </c>
      <c r="AF115" s="129">
        <f t="shared" si="29"/>
        <v>3.43</v>
      </c>
      <c r="AG115" s="132">
        <v>7.6</v>
      </c>
      <c r="AH115" s="54"/>
      <c r="AI115" s="55"/>
      <c r="AK115" s="56"/>
    </row>
    <row r="116" spans="1:37" x14ac:dyDescent="0.25">
      <c r="A116" s="118" t="s">
        <v>119</v>
      </c>
      <c r="B116" s="129">
        <f t="shared" si="27"/>
        <v>2.96</v>
      </c>
      <c r="C116" s="130">
        <v>2.96</v>
      </c>
      <c r="D116" s="129">
        <f t="shared" si="28"/>
        <v>2.96</v>
      </c>
      <c r="E116" s="129">
        <f t="shared" si="28"/>
        <v>2.96</v>
      </c>
      <c r="F116" s="129">
        <f t="shared" si="28"/>
        <v>2.96</v>
      </c>
      <c r="G116" s="129">
        <f t="shared" si="28"/>
        <v>2.96</v>
      </c>
      <c r="H116" s="129">
        <f t="shared" si="28"/>
        <v>2.96</v>
      </c>
      <c r="I116" s="129">
        <f t="shared" si="28"/>
        <v>2.96</v>
      </c>
      <c r="J116" s="129">
        <f t="shared" si="28"/>
        <v>2.96</v>
      </c>
      <c r="K116" s="129">
        <f t="shared" si="28"/>
        <v>2.96</v>
      </c>
      <c r="L116" s="129">
        <f t="shared" si="28"/>
        <v>2.96</v>
      </c>
      <c r="M116" s="129">
        <f t="shared" si="28"/>
        <v>2.96</v>
      </c>
      <c r="N116" s="129">
        <f t="shared" si="28"/>
        <v>2.96</v>
      </c>
      <c r="O116" s="129">
        <f t="shared" si="28"/>
        <v>2.96</v>
      </c>
      <c r="P116" s="129">
        <f t="shared" si="28"/>
        <v>2.96</v>
      </c>
      <c r="Q116" s="129">
        <f t="shared" si="28"/>
        <v>2.96</v>
      </c>
      <c r="R116" s="129">
        <f t="shared" si="28"/>
        <v>2.96</v>
      </c>
      <c r="S116" s="129">
        <f t="shared" si="28"/>
        <v>2.96</v>
      </c>
      <c r="T116" s="129">
        <f t="shared" si="29"/>
        <v>2.96</v>
      </c>
      <c r="U116" s="129">
        <f t="shared" si="29"/>
        <v>2.96</v>
      </c>
      <c r="V116" s="129">
        <f t="shared" si="29"/>
        <v>2.96</v>
      </c>
      <c r="W116" s="129">
        <f t="shared" si="29"/>
        <v>2.96</v>
      </c>
      <c r="X116" s="129">
        <f t="shared" si="29"/>
        <v>2.96</v>
      </c>
      <c r="Y116" s="129">
        <f t="shared" si="29"/>
        <v>2.96</v>
      </c>
      <c r="Z116" s="129">
        <f t="shared" si="29"/>
        <v>2.96</v>
      </c>
      <c r="AA116" s="129">
        <f t="shared" si="29"/>
        <v>2.96</v>
      </c>
      <c r="AB116" s="129">
        <f t="shared" si="29"/>
        <v>2.96</v>
      </c>
      <c r="AC116" s="129">
        <f t="shared" si="29"/>
        <v>2.96</v>
      </c>
      <c r="AD116" s="129">
        <f t="shared" si="29"/>
        <v>2.96</v>
      </c>
      <c r="AE116" s="129">
        <f t="shared" si="29"/>
        <v>2.96</v>
      </c>
      <c r="AF116" s="129">
        <f t="shared" si="29"/>
        <v>2.96</v>
      </c>
      <c r="AG116" s="132">
        <v>7.5</v>
      </c>
      <c r="AH116" s="54"/>
      <c r="AI116" s="55"/>
      <c r="AK116" s="56"/>
    </row>
    <row r="117" spans="1:37" x14ac:dyDescent="0.25">
      <c r="A117" s="118" t="s">
        <v>120</v>
      </c>
      <c r="B117" s="129">
        <f t="shared" si="27"/>
        <v>8</v>
      </c>
      <c r="C117" s="130">
        <v>8</v>
      </c>
      <c r="D117" s="129">
        <f t="shared" si="28"/>
        <v>8</v>
      </c>
      <c r="E117" s="129">
        <f t="shared" si="28"/>
        <v>8</v>
      </c>
      <c r="F117" s="129">
        <f t="shared" si="28"/>
        <v>8</v>
      </c>
      <c r="G117" s="129">
        <f t="shared" si="28"/>
        <v>8</v>
      </c>
      <c r="H117" s="129">
        <f t="shared" si="28"/>
        <v>8</v>
      </c>
      <c r="I117" s="129">
        <f t="shared" si="28"/>
        <v>8</v>
      </c>
      <c r="J117" s="129">
        <f t="shared" si="28"/>
        <v>8</v>
      </c>
      <c r="K117" s="129">
        <f t="shared" si="28"/>
        <v>8</v>
      </c>
      <c r="L117" s="129">
        <f t="shared" si="28"/>
        <v>8</v>
      </c>
      <c r="M117" s="129">
        <f t="shared" si="28"/>
        <v>8</v>
      </c>
      <c r="N117" s="129">
        <f t="shared" si="28"/>
        <v>8</v>
      </c>
      <c r="O117" s="129">
        <f t="shared" si="28"/>
        <v>8</v>
      </c>
      <c r="P117" s="129">
        <f t="shared" si="28"/>
        <v>8</v>
      </c>
      <c r="Q117" s="129">
        <f t="shared" si="28"/>
        <v>8</v>
      </c>
      <c r="R117" s="129">
        <f t="shared" si="28"/>
        <v>8</v>
      </c>
      <c r="S117" s="129">
        <f t="shared" si="28"/>
        <v>8</v>
      </c>
      <c r="T117" s="129">
        <f t="shared" si="29"/>
        <v>8</v>
      </c>
      <c r="U117" s="129">
        <f t="shared" si="29"/>
        <v>8</v>
      </c>
      <c r="V117" s="129">
        <f t="shared" si="29"/>
        <v>8</v>
      </c>
      <c r="W117" s="129">
        <f t="shared" si="29"/>
        <v>8</v>
      </c>
      <c r="X117" s="129">
        <f t="shared" si="29"/>
        <v>8</v>
      </c>
      <c r="Y117" s="129">
        <f t="shared" si="29"/>
        <v>8</v>
      </c>
      <c r="Z117" s="129">
        <f t="shared" si="29"/>
        <v>8</v>
      </c>
      <c r="AA117" s="129">
        <f t="shared" si="29"/>
        <v>8</v>
      </c>
      <c r="AB117" s="129">
        <f t="shared" si="29"/>
        <v>8</v>
      </c>
      <c r="AC117" s="129">
        <f t="shared" si="29"/>
        <v>8</v>
      </c>
      <c r="AD117" s="129">
        <f t="shared" si="29"/>
        <v>8</v>
      </c>
      <c r="AE117" s="129">
        <f t="shared" si="29"/>
        <v>8</v>
      </c>
      <c r="AF117" s="129">
        <f t="shared" si="29"/>
        <v>8</v>
      </c>
      <c r="AG117" s="132">
        <v>7.5</v>
      </c>
      <c r="AH117" s="54"/>
      <c r="AI117" s="55"/>
      <c r="AK117" s="56"/>
    </row>
    <row r="118" spans="1:37" x14ac:dyDescent="0.25">
      <c r="A118" s="118" t="s">
        <v>121</v>
      </c>
      <c r="B118" s="129">
        <f t="shared" si="27"/>
        <v>7</v>
      </c>
      <c r="C118" s="130">
        <v>7</v>
      </c>
      <c r="D118" s="129">
        <f>C118</f>
        <v>7</v>
      </c>
      <c r="E118" s="129">
        <f t="shared" si="28"/>
        <v>7</v>
      </c>
      <c r="F118" s="129">
        <f t="shared" si="28"/>
        <v>7</v>
      </c>
      <c r="G118" s="129">
        <f t="shared" si="28"/>
        <v>7</v>
      </c>
      <c r="H118" s="129">
        <f t="shared" si="28"/>
        <v>7</v>
      </c>
      <c r="I118" s="129">
        <f t="shared" si="28"/>
        <v>7</v>
      </c>
      <c r="J118" s="129">
        <f t="shared" si="28"/>
        <v>7</v>
      </c>
      <c r="K118" s="129">
        <f t="shared" si="28"/>
        <v>7</v>
      </c>
      <c r="L118" s="129">
        <f t="shared" si="28"/>
        <v>7</v>
      </c>
      <c r="M118" s="129">
        <f t="shared" si="28"/>
        <v>7</v>
      </c>
      <c r="N118" s="129">
        <f t="shared" si="28"/>
        <v>7</v>
      </c>
      <c r="O118" s="129">
        <f t="shared" si="28"/>
        <v>7</v>
      </c>
      <c r="P118" s="129">
        <f t="shared" si="28"/>
        <v>7</v>
      </c>
      <c r="Q118" s="129">
        <f t="shared" si="28"/>
        <v>7</v>
      </c>
      <c r="R118" s="129">
        <f t="shared" si="28"/>
        <v>7</v>
      </c>
      <c r="S118" s="129">
        <f t="shared" si="28"/>
        <v>7</v>
      </c>
      <c r="T118" s="129">
        <f t="shared" si="29"/>
        <v>7</v>
      </c>
      <c r="U118" s="129">
        <f t="shared" si="29"/>
        <v>7</v>
      </c>
      <c r="V118" s="129">
        <f t="shared" si="29"/>
        <v>7</v>
      </c>
      <c r="W118" s="129">
        <f t="shared" si="29"/>
        <v>7</v>
      </c>
      <c r="X118" s="129">
        <f t="shared" si="29"/>
        <v>7</v>
      </c>
      <c r="Y118" s="129">
        <f t="shared" si="29"/>
        <v>7</v>
      </c>
      <c r="Z118" s="129">
        <f t="shared" si="29"/>
        <v>7</v>
      </c>
      <c r="AA118" s="129">
        <f t="shared" si="29"/>
        <v>7</v>
      </c>
      <c r="AB118" s="129">
        <f t="shared" si="29"/>
        <v>7</v>
      </c>
      <c r="AC118" s="129">
        <f t="shared" si="29"/>
        <v>7</v>
      </c>
      <c r="AD118" s="129">
        <f t="shared" si="29"/>
        <v>7</v>
      </c>
      <c r="AE118" s="129">
        <f t="shared" si="29"/>
        <v>7</v>
      </c>
      <c r="AF118" s="129">
        <f t="shared" si="29"/>
        <v>7</v>
      </c>
      <c r="AG118" s="132">
        <v>7</v>
      </c>
      <c r="AH118" s="54"/>
      <c r="AI118" s="55"/>
      <c r="AK118" s="56"/>
    </row>
    <row r="119" spans="1:37" x14ac:dyDescent="0.25">
      <c r="A119" s="118" t="s">
        <v>122</v>
      </c>
      <c r="B119" s="129">
        <f t="shared" si="27"/>
        <v>3.47</v>
      </c>
      <c r="C119" s="130">
        <v>3.47</v>
      </c>
      <c r="D119" s="129">
        <f t="shared" ref="D119:S128" si="30">C119</f>
        <v>3.47</v>
      </c>
      <c r="E119" s="129">
        <f t="shared" si="30"/>
        <v>3.47</v>
      </c>
      <c r="F119" s="129">
        <f t="shared" si="30"/>
        <v>3.47</v>
      </c>
      <c r="G119" s="129">
        <f t="shared" si="30"/>
        <v>3.47</v>
      </c>
      <c r="H119" s="129">
        <f t="shared" si="30"/>
        <v>3.47</v>
      </c>
      <c r="I119" s="129">
        <f t="shared" si="30"/>
        <v>3.47</v>
      </c>
      <c r="J119" s="129">
        <f t="shared" si="30"/>
        <v>3.47</v>
      </c>
      <c r="K119" s="129">
        <f t="shared" si="30"/>
        <v>3.47</v>
      </c>
      <c r="L119" s="129">
        <f t="shared" si="30"/>
        <v>3.47</v>
      </c>
      <c r="M119" s="129">
        <f t="shared" si="30"/>
        <v>3.47</v>
      </c>
      <c r="N119" s="129">
        <f t="shared" si="30"/>
        <v>3.47</v>
      </c>
      <c r="O119" s="129">
        <f t="shared" si="30"/>
        <v>3.47</v>
      </c>
      <c r="P119" s="129">
        <f t="shared" si="30"/>
        <v>3.47</v>
      </c>
      <c r="Q119" s="129">
        <f t="shared" si="30"/>
        <v>3.47</v>
      </c>
      <c r="R119" s="129">
        <f t="shared" si="30"/>
        <v>3.47</v>
      </c>
      <c r="S119" s="129">
        <f t="shared" si="30"/>
        <v>3.47</v>
      </c>
      <c r="T119" s="129">
        <f t="shared" si="29"/>
        <v>3.47</v>
      </c>
      <c r="U119" s="129">
        <f t="shared" si="29"/>
        <v>3.47</v>
      </c>
      <c r="V119" s="129">
        <f t="shared" si="29"/>
        <v>3.47</v>
      </c>
      <c r="W119" s="129">
        <f t="shared" si="29"/>
        <v>3.47</v>
      </c>
      <c r="X119" s="129">
        <f t="shared" si="29"/>
        <v>3.47</v>
      </c>
      <c r="Y119" s="129">
        <f t="shared" si="29"/>
        <v>3.47</v>
      </c>
      <c r="Z119" s="129">
        <f t="shared" si="29"/>
        <v>3.47</v>
      </c>
      <c r="AA119" s="129">
        <f t="shared" si="29"/>
        <v>3.47</v>
      </c>
      <c r="AB119" s="129">
        <f t="shared" si="29"/>
        <v>3.47</v>
      </c>
      <c r="AC119" s="129">
        <f t="shared" si="29"/>
        <v>3.47</v>
      </c>
      <c r="AD119" s="129">
        <f t="shared" si="29"/>
        <v>3.47</v>
      </c>
      <c r="AE119" s="129">
        <f t="shared" si="29"/>
        <v>3.47</v>
      </c>
      <c r="AF119" s="129">
        <f t="shared" si="29"/>
        <v>3.47</v>
      </c>
      <c r="AG119" s="132">
        <v>7</v>
      </c>
      <c r="AH119" s="54"/>
      <c r="AI119" s="55"/>
      <c r="AK119" s="56"/>
    </row>
    <row r="120" spans="1:37" x14ac:dyDescent="0.25">
      <c r="A120" s="118" t="s">
        <v>123</v>
      </c>
      <c r="B120" s="129">
        <f t="shared" si="27"/>
        <v>2.1</v>
      </c>
      <c r="C120" s="130">
        <v>2.1</v>
      </c>
      <c r="D120" s="129">
        <f t="shared" si="30"/>
        <v>2.1</v>
      </c>
      <c r="E120" s="129">
        <f t="shared" si="30"/>
        <v>2.1</v>
      </c>
      <c r="F120" s="129">
        <f t="shared" si="30"/>
        <v>2.1</v>
      </c>
      <c r="G120" s="129">
        <f t="shared" si="30"/>
        <v>2.1</v>
      </c>
      <c r="H120" s="129">
        <f t="shared" si="30"/>
        <v>2.1</v>
      </c>
      <c r="I120" s="129">
        <f t="shared" si="30"/>
        <v>2.1</v>
      </c>
      <c r="J120" s="129">
        <f t="shared" si="30"/>
        <v>2.1</v>
      </c>
      <c r="K120" s="129">
        <f t="shared" si="30"/>
        <v>2.1</v>
      </c>
      <c r="L120" s="129">
        <f t="shared" si="30"/>
        <v>2.1</v>
      </c>
      <c r="M120" s="129">
        <f t="shared" si="30"/>
        <v>2.1</v>
      </c>
      <c r="N120" s="129">
        <f t="shared" si="30"/>
        <v>2.1</v>
      </c>
      <c r="O120" s="129">
        <f t="shared" si="30"/>
        <v>2.1</v>
      </c>
      <c r="P120" s="129">
        <f t="shared" si="30"/>
        <v>2.1</v>
      </c>
      <c r="Q120" s="129">
        <f t="shared" si="30"/>
        <v>2.1</v>
      </c>
      <c r="R120" s="129">
        <f t="shared" si="30"/>
        <v>2.1</v>
      </c>
      <c r="S120" s="129">
        <f t="shared" si="30"/>
        <v>2.1</v>
      </c>
      <c r="T120" s="129">
        <f t="shared" si="29"/>
        <v>2.1</v>
      </c>
      <c r="U120" s="129">
        <f t="shared" si="29"/>
        <v>2.1</v>
      </c>
      <c r="V120" s="129">
        <f t="shared" si="29"/>
        <v>2.1</v>
      </c>
      <c r="W120" s="129">
        <f t="shared" si="29"/>
        <v>2.1</v>
      </c>
      <c r="X120" s="129">
        <f t="shared" si="29"/>
        <v>2.1</v>
      </c>
      <c r="Y120" s="129">
        <f t="shared" si="29"/>
        <v>2.1</v>
      </c>
      <c r="Z120" s="129">
        <f t="shared" si="29"/>
        <v>2.1</v>
      </c>
      <c r="AA120" s="129">
        <f t="shared" si="29"/>
        <v>2.1</v>
      </c>
      <c r="AB120" s="129">
        <f t="shared" si="29"/>
        <v>2.1</v>
      </c>
      <c r="AC120" s="129">
        <f t="shared" si="29"/>
        <v>2.1</v>
      </c>
      <c r="AD120" s="129">
        <f t="shared" si="29"/>
        <v>2.1</v>
      </c>
      <c r="AE120" s="129">
        <f t="shared" si="29"/>
        <v>2.1</v>
      </c>
      <c r="AF120" s="129">
        <f t="shared" si="29"/>
        <v>2.1</v>
      </c>
      <c r="AG120" s="132">
        <v>7</v>
      </c>
      <c r="AH120" s="54"/>
      <c r="AI120" s="55"/>
      <c r="AK120" s="56"/>
    </row>
    <row r="121" spans="1:37" x14ac:dyDescent="0.25">
      <c r="A121" s="118" t="s">
        <v>124</v>
      </c>
      <c r="B121" s="129">
        <f t="shared" si="27"/>
        <v>9.3000000000000007</v>
      </c>
      <c r="C121" s="130">
        <v>9.3000000000000007</v>
      </c>
      <c r="D121" s="129">
        <f t="shared" si="30"/>
        <v>9.3000000000000007</v>
      </c>
      <c r="E121" s="129">
        <f t="shared" si="30"/>
        <v>9.3000000000000007</v>
      </c>
      <c r="F121" s="129">
        <f t="shared" si="30"/>
        <v>9.3000000000000007</v>
      </c>
      <c r="G121" s="129">
        <f t="shared" si="30"/>
        <v>9.3000000000000007</v>
      </c>
      <c r="H121" s="129">
        <f t="shared" si="30"/>
        <v>9.3000000000000007</v>
      </c>
      <c r="I121" s="129">
        <f t="shared" si="30"/>
        <v>9.3000000000000007</v>
      </c>
      <c r="J121" s="129">
        <f t="shared" si="30"/>
        <v>9.3000000000000007</v>
      </c>
      <c r="K121" s="129">
        <f t="shared" si="30"/>
        <v>9.3000000000000007</v>
      </c>
      <c r="L121" s="129">
        <f t="shared" si="30"/>
        <v>9.3000000000000007</v>
      </c>
      <c r="M121" s="129">
        <f t="shared" si="30"/>
        <v>9.3000000000000007</v>
      </c>
      <c r="N121" s="129">
        <f t="shared" si="30"/>
        <v>9.3000000000000007</v>
      </c>
      <c r="O121" s="129">
        <f t="shared" si="30"/>
        <v>9.3000000000000007</v>
      </c>
      <c r="P121" s="129">
        <f t="shared" si="30"/>
        <v>9.3000000000000007</v>
      </c>
      <c r="Q121" s="129">
        <f t="shared" si="30"/>
        <v>9.3000000000000007</v>
      </c>
      <c r="R121" s="129">
        <f t="shared" si="30"/>
        <v>9.3000000000000007</v>
      </c>
      <c r="S121" s="129">
        <f t="shared" si="30"/>
        <v>9.3000000000000007</v>
      </c>
      <c r="T121" s="129">
        <f t="shared" si="29"/>
        <v>9.3000000000000007</v>
      </c>
      <c r="U121" s="129">
        <f t="shared" si="29"/>
        <v>9.3000000000000007</v>
      </c>
      <c r="V121" s="129">
        <f t="shared" si="29"/>
        <v>9.3000000000000007</v>
      </c>
      <c r="W121" s="129">
        <f t="shared" si="29"/>
        <v>9.3000000000000007</v>
      </c>
      <c r="X121" s="129">
        <f t="shared" si="29"/>
        <v>9.3000000000000007</v>
      </c>
      <c r="Y121" s="129">
        <f t="shared" si="29"/>
        <v>9.3000000000000007</v>
      </c>
      <c r="Z121" s="129">
        <f t="shared" si="29"/>
        <v>9.3000000000000007</v>
      </c>
      <c r="AA121" s="129">
        <f t="shared" si="29"/>
        <v>9.3000000000000007</v>
      </c>
      <c r="AB121" s="129">
        <f t="shared" si="29"/>
        <v>9.3000000000000007</v>
      </c>
      <c r="AC121" s="129">
        <f t="shared" si="29"/>
        <v>9.3000000000000007</v>
      </c>
      <c r="AD121" s="129">
        <f t="shared" si="29"/>
        <v>9.3000000000000007</v>
      </c>
      <c r="AE121" s="129">
        <f t="shared" si="29"/>
        <v>9.3000000000000007</v>
      </c>
      <c r="AF121" s="129">
        <f t="shared" si="29"/>
        <v>9.3000000000000007</v>
      </c>
      <c r="AG121" s="132">
        <v>7</v>
      </c>
      <c r="AH121" s="54"/>
      <c r="AI121" s="55"/>
      <c r="AK121" s="56"/>
    </row>
    <row r="122" spans="1:37" x14ac:dyDescent="0.25">
      <c r="A122" s="118" t="s">
        <v>125</v>
      </c>
      <c r="B122" s="129">
        <f t="shared" si="27"/>
        <v>0</v>
      </c>
      <c r="C122" s="130">
        <v>0</v>
      </c>
      <c r="D122" s="129">
        <f t="shared" si="30"/>
        <v>0</v>
      </c>
      <c r="E122" s="129">
        <f t="shared" si="30"/>
        <v>0</v>
      </c>
      <c r="F122" s="129">
        <f t="shared" si="30"/>
        <v>0</v>
      </c>
      <c r="G122" s="129">
        <f t="shared" si="30"/>
        <v>0</v>
      </c>
      <c r="H122" s="129">
        <f t="shared" si="30"/>
        <v>0</v>
      </c>
      <c r="I122" s="129">
        <f t="shared" si="30"/>
        <v>0</v>
      </c>
      <c r="J122" s="129">
        <f t="shared" si="30"/>
        <v>0</v>
      </c>
      <c r="K122" s="129">
        <f t="shared" si="30"/>
        <v>0</v>
      </c>
      <c r="L122" s="129">
        <f t="shared" si="30"/>
        <v>0</v>
      </c>
      <c r="M122" s="129">
        <f t="shared" si="30"/>
        <v>0</v>
      </c>
      <c r="N122" s="129">
        <f t="shared" si="30"/>
        <v>0</v>
      </c>
      <c r="O122" s="129">
        <f t="shared" si="30"/>
        <v>0</v>
      </c>
      <c r="P122" s="129">
        <f t="shared" si="30"/>
        <v>0</v>
      </c>
      <c r="Q122" s="129">
        <f t="shared" si="30"/>
        <v>0</v>
      </c>
      <c r="R122" s="129">
        <f t="shared" si="30"/>
        <v>0</v>
      </c>
      <c r="S122" s="129">
        <f t="shared" si="30"/>
        <v>0</v>
      </c>
      <c r="T122" s="129">
        <f t="shared" si="29"/>
        <v>0</v>
      </c>
      <c r="U122" s="129">
        <f t="shared" si="29"/>
        <v>0</v>
      </c>
      <c r="V122" s="129">
        <f t="shared" si="29"/>
        <v>0</v>
      </c>
      <c r="W122" s="129">
        <f t="shared" si="29"/>
        <v>0</v>
      </c>
      <c r="X122" s="129">
        <f t="shared" si="29"/>
        <v>0</v>
      </c>
      <c r="Y122" s="129">
        <f t="shared" si="29"/>
        <v>0</v>
      </c>
      <c r="Z122" s="129">
        <f t="shared" si="29"/>
        <v>0</v>
      </c>
      <c r="AA122" s="129">
        <f t="shared" si="29"/>
        <v>0</v>
      </c>
      <c r="AB122" s="129">
        <f t="shared" si="29"/>
        <v>0</v>
      </c>
      <c r="AC122" s="129">
        <f t="shared" si="29"/>
        <v>0</v>
      </c>
      <c r="AD122" s="129">
        <f t="shared" si="29"/>
        <v>0</v>
      </c>
      <c r="AE122" s="129">
        <f t="shared" si="29"/>
        <v>0</v>
      </c>
      <c r="AF122" s="129">
        <f t="shared" si="29"/>
        <v>0</v>
      </c>
      <c r="AG122" s="132">
        <v>6.6</v>
      </c>
      <c r="AH122" s="54"/>
      <c r="AI122" s="55"/>
      <c r="AK122" s="56"/>
    </row>
    <row r="123" spans="1:37" x14ac:dyDescent="0.25">
      <c r="A123" s="118" t="s">
        <v>126</v>
      </c>
      <c r="B123" s="129">
        <f t="shared" si="27"/>
        <v>0</v>
      </c>
      <c r="C123" s="130">
        <v>0</v>
      </c>
      <c r="D123" s="129">
        <f t="shared" si="30"/>
        <v>0</v>
      </c>
      <c r="E123" s="129">
        <f t="shared" si="30"/>
        <v>0</v>
      </c>
      <c r="F123" s="129">
        <f t="shared" si="30"/>
        <v>0</v>
      </c>
      <c r="G123" s="129">
        <f t="shared" si="30"/>
        <v>0</v>
      </c>
      <c r="H123" s="129">
        <f t="shared" si="30"/>
        <v>0</v>
      </c>
      <c r="I123" s="129">
        <f t="shared" si="30"/>
        <v>0</v>
      </c>
      <c r="J123" s="129">
        <f t="shared" si="30"/>
        <v>0</v>
      </c>
      <c r="K123" s="129">
        <f t="shared" si="30"/>
        <v>0</v>
      </c>
      <c r="L123" s="129">
        <f t="shared" si="30"/>
        <v>0</v>
      </c>
      <c r="M123" s="129">
        <f t="shared" si="30"/>
        <v>0</v>
      </c>
      <c r="N123" s="129">
        <f t="shared" si="30"/>
        <v>0</v>
      </c>
      <c r="O123" s="129">
        <f t="shared" si="30"/>
        <v>0</v>
      </c>
      <c r="P123" s="129">
        <f t="shared" si="30"/>
        <v>0</v>
      </c>
      <c r="Q123" s="129">
        <f t="shared" si="30"/>
        <v>0</v>
      </c>
      <c r="R123" s="129">
        <f t="shared" si="30"/>
        <v>0</v>
      </c>
      <c r="S123" s="129">
        <f t="shared" si="30"/>
        <v>0</v>
      </c>
      <c r="T123" s="129">
        <f t="shared" si="29"/>
        <v>0</v>
      </c>
      <c r="U123" s="129">
        <f t="shared" si="29"/>
        <v>0</v>
      </c>
      <c r="V123" s="129">
        <f t="shared" si="29"/>
        <v>0</v>
      </c>
      <c r="W123" s="129">
        <f t="shared" si="29"/>
        <v>0</v>
      </c>
      <c r="X123" s="129">
        <f t="shared" si="29"/>
        <v>0</v>
      </c>
      <c r="Y123" s="129">
        <f t="shared" si="29"/>
        <v>0</v>
      </c>
      <c r="Z123" s="129">
        <f t="shared" si="29"/>
        <v>0</v>
      </c>
      <c r="AA123" s="129">
        <f t="shared" si="29"/>
        <v>0</v>
      </c>
      <c r="AB123" s="129">
        <f t="shared" si="29"/>
        <v>0</v>
      </c>
      <c r="AC123" s="129">
        <f t="shared" si="29"/>
        <v>0</v>
      </c>
      <c r="AD123" s="129">
        <f t="shared" si="29"/>
        <v>0</v>
      </c>
      <c r="AE123" s="129">
        <f t="shared" si="29"/>
        <v>0</v>
      </c>
      <c r="AF123" s="129">
        <f t="shared" si="29"/>
        <v>0</v>
      </c>
      <c r="AG123" s="132">
        <v>6.6</v>
      </c>
      <c r="AH123" s="54"/>
      <c r="AI123" s="55"/>
      <c r="AK123" s="56"/>
    </row>
    <row r="124" spans="1:37" x14ac:dyDescent="0.25">
      <c r="A124" s="118" t="s">
        <v>127</v>
      </c>
      <c r="B124" s="129">
        <f t="shared" si="27"/>
        <v>5</v>
      </c>
      <c r="C124" s="130">
        <v>5</v>
      </c>
      <c r="D124" s="129">
        <f t="shared" si="30"/>
        <v>5</v>
      </c>
      <c r="E124" s="129">
        <f t="shared" si="30"/>
        <v>5</v>
      </c>
      <c r="F124" s="129">
        <f t="shared" si="30"/>
        <v>5</v>
      </c>
      <c r="G124" s="129">
        <f t="shared" si="30"/>
        <v>5</v>
      </c>
      <c r="H124" s="129">
        <f t="shared" si="30"/>
        <v>5</v>
      </c>
      <c r="I124" s="129">
        <f t="shared" si="30"/>
        <v>5</v>
      </c>
      <c r="J124" s="129">
        <f t="shared" si="30"/>
        <v>5</v>
      </c>
      <c r="K124" s="129">
        <f t="shared" si="30"/>
        <v>5</v>
      </c>
      <c r="L124" s="129">
        <f t="shared" si="30"/>
        <v>5</v>
      </c>
      <c r="M124" s="129">
        <f t="shared" si="30"/>
        <v>5</v>
      </c>
      <c r="N124" s="129">
        <f t="shared" si="30"/>
        <v>5</v>
      </c>
      <c r="O124" s="129">
        <f t="shared" si="30"/>
        <v>5</v>
      </c>
      <c r="P124" s="129">
        <f t="shared" si="30"/>
        <v>5</v>
      </c>
      <c r="Q124" s="129">
        <f t="shared" si="30"/>
        <v>5</v>
      </c>
      <c r="R124" s="129">
        <f t="shared" si="30"/>
        <v>5</v>
      </c>
      <c r="S124" s="129">
        <f t="shared" si="30"/>
        <v>5</v>
      </c>
      <c r="T124" s="129">
        <f t="shared" si="29"/>
        <v>5</v>
      </c>
      <c r="U124" s="129">
        <f t="shared" si="29"/>
        <v>5</v>
      </c>
      <c r="V124" s="129">
        <f t="shared" si="29"/>
        <v>5</v>
      </c>
      <c r="W124" s="129">
        <f t="shared" si="29"/>
        <v>5</v>
      </c>
      <c r="X124" s="129">
        <f t="shared" si="29"/>
        <v>5</v>
      </c>
      <c r="Y124" s="129">
        <f t="shared" si="29"/>
        <v>5</v>
      </c>
      <c r="Z124" s="129">
        <f t="shared" si="29"/>
        <v>5</v>
      </c>
      <c r="AA124" s="129">
        <f t="shared" si="29"/>
        <v>5</v>
      </c>
      <c r="AB124" s="129">
        <f t="shared" si="29"/>
        <v>5</v>
      </c>
      <c r="AC124" s="129">
        <f t="shared" si="29"/>
        <v>5</v>
      </c>
      <c r="AD124" s="129">
        <f t="shared" si="29"/>
        <v>5</v>
      </c>
      <c r="AE124" s="129">
        <f t="shared" si="29"/>
        <v>5</v>
      </c>
      <c r="AF124" s="129">
        <f t="shared" si="29"/>
        <v>5</v>
      </c>
      <c r="AG124" s="132">
        <v>6.4</v>
      </c>
      <c r="AH124" s="54"/>
      <c r="AI124" s="55"/>
      <c r="AK124" s="56"/>
    </row>
    <row r="125" spans="1:37" x14ac:dyDescent="0.25">
      <c r="A125" s="118" t="s">
        <v>128</v>
      </c>
      <c r="B125" s="129">
        <f t="shared" si="27"/>
        <v>1</v>
      </c>
      <c r="C125" s="130">
        <v>1</v>
      </c>
      <c r="D125" s="129">
        <f t="shared" si="30"/>
        <v>1</v>
      </c>
      <c r="E125" s="129">
        <f t="shared" si="30"/>
        <v>1</v>
      </c>
      <c r="F125" s="129">
        <f t="shared" si="30"/>
        <v>1</v>
      </c>
      <c r="G125" s="129">
        <f t="shared" si="30"/>
        <v>1</v>
      </c>
      <c r="H125" s="129">
        <f t="shared" si="30"/>
        <v>1</v>
      </c>
      <c r="I125" s="129">
        <f t="shared" si="30"/>
        <v>1</v>
      </c>
      <c r="J125" s="129">
        <f t="shared" si="30"/>
        <v>1</v>
      </c>
      <c r="K125" s="129">
        <f t="shared" si="30"/>
        <v>1</v>
      </c>
      <c r="L125" s="129">
        <f t="shared" si="30"/>
        <v>1</v>
      </c>
      <c r="M125" s="129">
        <f t="shared" si="30"/>
        <v>1</v>
      </c>
      <c r="N125" s="129">
        <f t="shared" si="30"/>
        <v>1</v>
      </c>
      <c r="O125" s="129">
        <f t="shared" si="30"/>
        <v>1</v>
      </c>
      <c r="P125" s="129">
        <f t="shared" si="30"/>
        <v>1</v>
      </c>
      <c r="Q125" s="129">
        <f t="shared" si="30"/>
        <v>1</v>
      </c>
      <c r="R125" s="129">
        <f t="shared" si="30"/>
        <v>1</v>
      </c>
      <c r="S125" s="129">
        <f t="shared" si="30"/>
        <v>1</v>
      </c>
      <c r="T125" s="129">
        <f t="shared" si="29"/>
        <v>1</v>
      </c>
      <c r="U125" s="129">
        <f t="shared" si="29"/>
        <v>1</v>
      </c>
      <c r="V125" s="129">
        <f t="shared" si="29"/>
        <v>1</v>
      </c>
      <c r="W125" s="129">
        <f t="shared" si="29"/>
        <v>1</v>
      </c>
      <c r="X125" s="129">
        <f t="shared" si="29"/>
        <v>1</v>
      </c>
      <c r="Y125" s="129">
        <f t="shared" si="29"/>
        <v>1</v>
      </c>
      <c r="Z125" s="129">
        <f t="shared" si="29"/>
        <v>1</v>
      </c>
      <c r="AA125" s="129">
        <f t="shared" si="29"/>
        <v>1</v>
      </c>
      <c r="AB125" s="129">
        <f t="shared" si="29"/>
        <v>1</v>
      </c>
      <c r="AC125" s="129">
        <f t="shared" si="29"/>
        <v>1</v>
      </c>
      <c r="AD125" s="129">
        <f t="shared" si="29"/>
        <v>1</v>
      </c>
      <c r="AE125" s="129">
        <f t="shared" si="29"/>
        <v>1</v>
      </c>
      <c r="AF125" s="129">
        <f t="shared" si="29"/>
        <v>1</v>
      </c>
      <c r="AG125" s="132">
        <v>6</v>
      </c>
      <c r="AH125" s="54"/>
      <c r="AI125" s="55"/>
      <c r="AK125" s="56"/>
    </row>
    <row r="126" spans="1:37" x14ac:dyDescent="0.25">
      <c r="A126" s="118" t="s">
        <v>129</v>
      </c>
      <c r="B126" s="129">
        <f t="shared" si="27"/>
        <v>1.58</v>
      </c>
      <c r="C126" s="130">
        <v>1.58</v>
      </c>
      <c r="D126" s="129">
        <f t="shared" si="30"/>
        <v>1.58</v>
      </c>
      <c r="E126" s="129">
        <f t="shared" si="30"/>
        <v>1.58</v>
      </c>
      <c r="F126" s="129">
        <f t="shared" si="30"/>
        <v>1.58</v>
      </c>
      <c r="G126" s="129">
        <f t="shared" si="30"/>
        <v>1.58</v>
      </c>
      <c r="H126" s="129">
        <f t="shared" si="30"/>
        <v>1.58</v>
      </c>
      <c r="I126" s="129">
        <f t="shared" si="30"/>
        <v>1.58</v>
      </c>
      <c r="J126" s="129">
        <f t="shared" si="30"/>
        <v>1.58</v>
      </c>
      <c r="K126" s="129">
        <f t="shared" si="30"/>
        <v>1.58</v>
      </c>
      <c r="L126" s="129">
        <f t="shared" si="30"/>
        <v>1.58</v>
      </c>
      <c r="M126" s="129">
        <f t="shared" si="30"/>
        <v>1.58</v>
      </c>
      <c r="N126" s="129">
        <f t="shared" si="30"/>
        <v>1.58</v>
      </c>
      <c r="O126" s="129">
        <f t="shared" si="30"/>
        <v>1.58</v>
      </c>
      <c r="P126" s="129">
        <f t="shared" si="30"/>
        <v>1.58</v>
      </c>
      <c r="Q126" s="129">
        <f t="shared" si="30"/>
        <v>1.58</v>
      </c>
      <c r="R126" s="129">
        <f t="shared" si="30"/>
        <v>1.58</v>
      </c>
      <c r="S126" s="129">
        <f t="shared" si="30"/>
        <v>1.58</v>
      </c>
      <c r="T126" s="129">
        <f t="shared" si="29"/>
        <v>1.58</v>
      </c>
      <c r="U126" s="129">
        <f t="shared" si="29"/>
        <v>1.58</v>
      </c>
      <c r="V126" s="129">
        <f t="shared" si="29"/>
        <v>1.58</v>
      </c>
      <c r="W126" s="129">
        <f t="shared" si="29"/>
        <v>1.58</v>
      </c>
      <c r="X126" s="129">
        <f t="shared" si="29"/>
        <v>1.58</v>
      </c>
      <c r="Y126" s="129">
        <f t="shared" si="29"/>
        <v>1.58</v>
      </c>
      <c r="Z126" s="129">
        <f t="shared" si="29"/>
        <v>1.58</v>
      </c>
      <c r="AA126" s="129">
        <f t="shared" si="29"/>
        <v>1.58</v>
      </c>
      <c r="AB126" s="129">
        <f t="shared" si="29"/>
        <v>1.58</v>
      </c>
      <c r="AC126" s="129">
        <f t="shared" si="29"/>
        <v>1.58</v>
      </c>
      <c r="AD126" s="129">
        <f t="shared" si="29"/>
        <v>1.58</v>
      </c>
      <c r="AE126" s="129">
        <f t="shared" si="29"/>
        <v>1.58</v>
      </c>
      <c r="AF126" s="129">
        <f t="shared" si="29"/>
        <v>1.58</v>
      </c>
      <c r="AG126" s="132">
        <v>5.0999999999999996</v>
      </c>
      <c r="AH126" s="54"/>
      <c r="AI126" s="55"/>
      <c r="AK126" s="56"/>
    </row>
    <row r="127" spans="1:37" x14ac:dyDescent="0.25">
      <c r="A127" s="118" t="s">
        <v>130</v>
      </c>
      <c r="B127" s="129">
        <f t="shared" si="27"/>
        <v>1.46</v>
      </c>
      <c r="C127" s="130">
        <v>1.46</v>
      </c>
      <c r="D127" s="129">
        <f t="shared" si="30"/>
        <v>1.46</v>
      </c>
      <c r="E127" s="129">
        <f t="shared" si="30"/>
        <v>1.46</v>
      </c>
      <c r="F127" s="129">
        <f t="shared" si="30"/>
        <v>1.46</v>
      </c>
      <c r="G127" s="129">
        <f t="shared" si="30"/>
        <v>1.46</v>
      </c>
      <c r="H127" s="129">
        <f t="shared" si="30"/>
        <v>1.46</v>
      </c>
      <c r="I127" s="129">
        <f t="shared" si="30"/>
        <v>1.46</v>
      </c>
      <c r="J127" s="129">
        <f t="shared" si="30"/>
        <v>1.46</v>
      </c>
      <c r="K127" s="129">
        <f t="shared" si="30"/>
        <v>1.46</v>
      </c>
      <c r="L127" s="129">
        <f t="shared" si="30"/>
        <v>1.46</v>
      </c>
      <c r="M127" s="129">
        <f t="shared" si="30"/>
        <v>1.46</v>
      </c>
      <c r="N127" s="129">
        <f t="shared" si="30"/>
        <v>1.46</v>
      </c>
      <c r="O127" s="129">
        <f t="shared" si="30"/>
        <v>1.46</v>
      </c>
      <c r="P127" s="129">
        <f t="shared" si="30"/>
        <v>1.46</v>
      </c>
      <c r="Q127" s="129">
        <f t="shared" si="30"/>
        <v>1.46</v>
      </c>
      <c r="R127" s="129">
        <f t="shared" si="30"/>
        <v>1.46</v>
      </c>
      <c r="S127" s="129">
        <f t="shared" si="30"/>
        <v>1.46</v>
      </c>
      <c r="T127" s="129">
        <f t="shared" ref="T127:AF128" si="31">S127</f>
        <v>1.46</v>
      </c>
      <c r="U127" s="129">
        <f t="shared" si="31"/>
        <v>1.46</v>
      </c>
      <c r="V127" s="129">
        <f t="shared" si="31"/>
        <v>1.46</v>
      </c>
      <c r="W127" s="129">
        <f t="shared" si="31"/>
        <v>1.46</v>
      </c>
      <c r="X127" s="129">
        <f t="shared" si="31"/>
        <v>1.46</v>
      </c>
      <c r="Y127" s="129">
        <f t="shared" si="31"/>
        <v>1.46</v>
      </c>
      <c r="Z127" s="129">
        <f t="shared" si="31"/>
        <v>1.46</v>
      </c>
      <c r="AA127" s="129">
        <f t="shared" si="31"/>
        <v>1.46</v>
      </c>
      <c r="AB127" s="129">
        <f t="shared" si="31"/>
        <v>1.46</v>
      </c>
      <c r="AC127" s="129">
        <f t="shared" si="31"/>
        <v>1.46</v>
      </c>
      <c r="AD127" s="129">
        <f t="shared" si="31"/>
        <v>1.46</v>
      </c>
      <c r="AE127" s="129">
        <f t="shared" si="31"/>
        <v>1.46</v>
      </c>
      <c r="AF127" s="129">
        <f t="shared" si="31"/>
        <v>1.46</v>
      </c>
      <c r="AG127" s="132">
        <v>5</v>
      </c>
      <c r="AH127" s="54"/>
      <c r="AI127" s="55"/>
      <c r="AK127" s="56"/>
    </row>
    <row r="128" spans="1:37" x14ac:dyDescent="0.25">
      <c r="A128" s="117" t="s">
        <v>131</v>
      </c>
      <c r="B128" s="129">
        <f t="shared" si="27"/>
        <v>1.48</v>
      </c>
      <c r="C128" s="130">
        <v>1.48</v>
      </c>
      <c r="D128" s="129">
        <f t="shared" si="30"/>
        <v>1.48</v>
      </c>
      <c r="E128" s="129">
        <f t="shared" si="30"/>
        <v>1.48</v>
      </c>
      <c r="F128" s="129">
        <f t="shared" si="30"/>
        <v>1.48</v>
      </c>
      <c r="G128" s="129">
        <f t="shared" si="30"/>
        <v>1.48</v>
      </c>
      <c r="H128" s="129">
        <f t="shared" si="30"/>
        <v>1.48</v>
      </c>
      <c r="I128" s="129">
        <f t="shared" si="30"/>
        <v>1.48</v>
      </c>
      <c r="J128" s="129">
        <f t="shared" si="30"/>
        <v>1.48</v>
      </c>
      <c r="K128" s="129">
        <f t="shared" si="30"/>
        <v>1.48</v>
      </c>
      <c r="L128" s="129">
        <f t="shared" si="30"/>
        <v>1.48</v>
      </c>
      <c r="M128" s="129">
        <f t="shared" si="30"/>
        <v>1.48</v>
      </c>
      <c r="N128" s="129">
        <f t="shared" si="30"/>
        <v>1.48</v>
      </c>
      <c r="O128" s="129">
        <f t="shared" si="30"/>
        <v>1.48</v>
      </c>
      <c r="P128" s="129">
        <f t="shared" si="30"/>
        <v>1.48</v>
      </c>
      <c r="Q128" s="129">
        <f t="shared" si="30"/>
        <v>1.48</v>
      </c>
      <c r="R128" s="129">
        <f t="shared" si="30"/>
        <v>1.48</v>
      </c>
      <c r="S128" s="129">
        <f t="shared" si="30"/>
        <v>1.48</v>
      </c>
      <c r="T128" s="129">
        <f t="shared" si="31"/>
        <v>1.48</v>
      </c>
      <c r="U128" s="129">
        <f t="shared" si="31"/>
        <v>1.48</v>
      </c>
      <c r="V128" s="129">
        <f t="shared" si="31"/>
        <v>1.48</v>
      </c>
      <c r="W128" s="129">
        <f t="shared" si="31"/>
        <v>1.48</v>
      </c>
      <c r="X128" s="129">
        <f t="shared" si="31"/>
        <v>1.48</v>
      </c>
      <c r="Y128" s="129">
        <f t="shared" si="31"/>
        <v>1.48</v>
      </c>
      <c r="Z128" s="129">
        <f t="shared" si="31"/>
        <v>1.48</v>
      </c>
      <c r="AA128" s="129">
        <f t="shared" si="31"/>
        <v>1.48</v>
      </c>
      <c r="AB128" s="129">
        <f t="shared" si="31"/>
        <v>1.48</v>
      </c>
      <c r="AC128" s="129">
        <f t="shared" si="31"/>
        <v>1.48</v>
      </c>
      <c r="AD128" s="129">
        <f t="shared" si="31"/>
        <v>1.48</v>
      </c>
      <c r="AE128" s="129">
        <f t="shared" si="31"/>
        <v>1.48</v>
      </c>
      <c r="AF128" s="129">
        <f t="shared" si="31"/>
        <v>1.48</v>
      </c>
      <c r="AG128" s="131">
        <v>5</v>
      </c>
      <c r="AH128" s="54"/>
      <c r="AI128" s="55"/>
      <c r="AK128" s="56"/>
    </row>
    <row r="129" spans="1:37" x14ac:dyDescent="0.25">
      <c r="A129" s="118" t="s">
        <v>132</v>
      </c>
      <c r="B129" s="129"/>
      <c r="C129" s="130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32">
        <v>5</v>
      </c>
      <c r="AH129" s="54"/>
      <c r="AI129" s="55"/>
      <c r="AK129" s="56"/>
    </row>
    <row r="130" spans="1:37" x14ac:dyDescent="0.25">
      <c r="A130" s="118" t="s">
        <v>133</v>
      </c>
      <c r="B130" s="129">
        <f t="shared" ref="B130:B137" si="32">AF130</f>
        <v>2.2000000000000002</v>
      </c>
      <c r="C130" s="130">
        <v>2.2000000000000002</v>
      </c>
      <c r="D130" s="129">
        <f t="shared" ref="D130:S137" si="33">C130</f>
        <v>2.2000000000000002</v>
      </c>
      <c r="E130" s="129">
        <f t="shared" si="33"/>
        <v>2.2000000000000002</v>
      </c>
      <c r="F130" s="129">
        <f t="shared" si="33"/>
        <v>2.2000000000000002</v>
      </c>
      <c r="G130" s="129">
        <f t="shared" si="33"/>
        <v>2.2000000000000002</v>
      </c>
      <c r="H130" s="129">
        <f t="shared" si="33"/>
        <v>2.2000000000000002</v>
      </c>
      <c r="I130" s="129">
        <f t="shared" si="33"/>
        <v>2.2000000000000002</v>
      </c>
      <c r="J130" s="129">
        <f t="shared" si="33"/>
        <v>2.2000000000000002</v>
      </c>
      <c r="K130" s="129">
        <f t="shared" si="33"/>
        <v>2.2000000000000002</v>
      </c>
      <c r="L130" s="129">
        <f t="shared" si="33"/>
        <v>2.2000000000000002</v>
      </c>
      <c r="M130" s="129">
        <f t="shared" si="33"/>
        <v>2.2000000000000002</v>
      </c>
      <c r="N130" s="129">
        <f t="shared" si="33"/>
        <v>2.2000000000000002</v>
      </c>
      <c r="O130" s="129">
        <f t="shared" si="33"/>
        <v>2.2000000000000002</v>
      </c>
      <c r="P130" s="129">
        <f t="shared" si="33"/>
        <v>2.2000000000000002</v>
      </c>
      <c r="Q130" s="129">
        <f t="shared" si="33"/>
        <v>2.2000000000000002</v>
      </c>
      <c r="R130" s="129">
        <f t="shared" si="33"/>
        <v>2.2000000000000002</v>
      </c>
      <c r="S130" s="129">
        <f t="shared" si="33"/>
        <v>2.2000000000000002</v>
      </c>
      <c r="T130" s="129">
        <f t="shared" ref="T130:AF137" si="34">S130</f>
        <v>2.2000000000000002</v>
      </c>
      <c r="U130" s="129">
        <f t="shared" si="34"/>
        <v>2.2000000000000002</v>
      </c>
      <c r="V130" s="129">
        <f t="shared" si="34"/>
        <v>2.2000000000000002</v>
      </c>
      <c r="W130" s="129">
        <f t="shared" si="34"/>
        <v>2.2000000000000002</v>
      </c>
      <c r="X130" s="129">
        <f t="shared" si="34"/>
        <v>2.2000000000000002</v>
      </c>
      <c r="Y130" s="129">
        <f t="shared" si="34"/>
        <v>2.2000000000000002</v>
      </c>
      <c r="Z130" s="129">
        <f t="shared" si="34"/>
        <v>2.2000000000000002</v>
      </c>
      <c r="AA130" s="129">
        <f t="shared" si="34"/>
        <v>2.2000000000000002</v>
      </c>
      <c r="AB130" s="129">
        <f t="shared" si="34"/>
        <v>2.2000000000000002</v>
      </c>
      <c r="AC130" s="129">
        <f t="shared" si="34"/>
        <v>2.2000000000000002</v>
      </c>
      <c r="AD130" s="129">
        <f t="shared" si="34"/>
        <v>2.2000000000000002</v>
      </c>
      <c r="AE130" s="129">
        <f t="shared" si="34"/>
        <v>2.2000000000000002</v>
      </c>
      <c r="AF130" s="129">
        <f t="shared" si="34"/>
        <v>2.2000000000000002</v>
      </c>
      <c r="AG130" s="132">
        <v>5</v>
      </c>
      <c r="AH130" s="54"/>
      <c r="AI130" s="55"/>
      <c r="AK130" s="56"/>
    </row>
    <row r="131" spans="1:37" x14ac:dyDescent="0.25">
      <c r="A131" s="118" t="s">
        <v>134</v>
      </c>
      <c r="B131" s="129">
        <f t="shared" si="32"/>
        <v>2</v>
      </c>
      <c r="C131" s="130">
        <v>2</v>
      </c>
      <c r="D131" s="129">
        <f t="shared" si="33"/>
        <v>2</v>
      </c>
      <c r="E131" s="129">
        <f t="shared" si="33"/>
        <v>2</v>
      </c>
      <c r="F131" s="129">
        <f t="shared" si="33"/>
        <v>2</v>
      </c>
      <c r="G131" s="129">
        <f t="shared" si="33"/>
        <v>2</v>
      </c>
      <c r="H131" s="129">
        <f t="shared" si="33"/>
        <v>2</v>
      </c>
      <c r="I131" s="129">
        <f t="shared" si="33"/>
        <v>2</v>
      </c>
      <c r="J131" s="129">
        <f t="shared" si="33"/>
        <v>2</v>
      </c>
      <c r="K131" s="129">
        <f t="shared" si="33"/>
        <v>2</v>
      </c>
      <c r="L131" s="129">
        <f t="shared" si="33"/>
        <v>2</v>
      </c>
      <c r="M131" s="129">
        <f t="shared" si="33"/>
        <v>2</v>
      </c>
      <c r="N131" s="129">
        <f t="shared" si="33"/>
        <v>2</v>
      </c>
      <c r="O131" s="129">
        <f t="shared" si="33"/>
        <v>2</v>
      </c>
      <c r="P131" s="129">
        <f t="shared" si="33"/>
        <v>2</v>
      </c>
      <c r="Q131" s="129">
        <f t="shared" si="33"/>
        <v>2</v>
      </c>
      <c r="R131" s="129">
        <f t="shared" si="33"/>
        <v>2</v>
      </c>
      <c r="S131" s="129">
        <f t="shared" si="33"/>
        <v>2</v>
      </c>
      <c r="T131" s="129">
        <f t="shared" si="34"/>
        <v>2</v>
      </c>
      <c r="U131" s="129">
        <f t="shared" si="34"/>
        <v>2</v>
      </c>
      <c r="V131" s="129">
        <f t="shared" si="34"/>
        <v>2</v>
      </c>
      <c r="W131" s="129">
        <f t="shared" si="34"/>
        <v>2</v>
      </c>
      <c r="X131" s="129">
        <f t="shared" si="34"/>
        <v>2</v>
      </c>
      <c r="Y131" s="129">
        <f t="shared" si="34"/>
        <v>2</v>
      </c>
      <c r="Z131" s="129">
        <f t="shared" si="34"/>
        <v>2</v>
      </c>
      <c r="AA131" s="129">
        <f t="shared" si="34"/>
        <v>2</v>
      </c>
      <c r="AB131" s="129">
        <f t="shared" si="34"/>
        <v>2</v>
      </c>
      <c r="AC131" s="129">
        <f t="shared" si="34"/>
        <v>2</v>
      </c>
      <c r="AD131" s="129">
        <f t="shared" si="34"/>
        <v>2</v>
      </c>
      <c r="AE131" s="129">
        <f t="shared" si="34"/>
        <v>2</v>
      </c>
      <c r="AF131" s="129">
        <f t="shared" si="34"/>
        <v>2</v>
      </c>
      <c r="AG131" s="132">
        <v>5</v>
      </c>
      <c r="AH131" s="54"/>
      <c r="AI131" s="55"/>
      <c r="AK131" s="56"/>
    </row>
    <row r="132" spans="1:37" x14ac:dyDescent="0.25">
      <c r="A132" s="118" t="s">
        <v>135</v>
      </c>
      <c r="B132" s="129">
        <f t="shared" si="32"/>
        <v>1.25</v>
      </c>
      <c r="C132" s="130">
        <v>1.25</v>
      </c>
      <c r="D132" s="129">
        <f t="shared" si="33"/>
        <v>1.25</v>
      </c>
      <c r="E132" s="129">
        <f t="shared" si="33"/>
        <v>1.25</v>
      </c>
      <c r="F132" s="129">
        <f t="shared" si="33"/>
        <v>1.25</v>
      </c>
      <c r="G132" s="129">
        <f t="shared" si="33"/>
        <v>1.25</v>
      </c>
      <c r="H132" s="129">
        <f t="shared" si="33"/>
        <v>1.25</v>
      </c>
      <c r="I132" s="129">
        <f t="shared" si="33"/>
        <v>1.25</v>
      </c>
      <c r="J132" s="129">
        <f t="shared" si="33"/>
        <v>1.25</v>
      </c>
      <c r="K132" s="129">
        <f t="shared" si="33"/>
        <v>1.25</v>
      </c>
      <c r="L132" s="129">
        <f t="shared" si="33"/>
        <v>1.25</v>
      </c>
      <c r="M132" s="129">
        <f t="shared" si="33"/>
        <v>1.25</v>
      </c>
      <c r="N132" s="129">
        <f t="shared" si="33"/>
        <v>1.25</v>
      </c>
      <c r="O132" s="129">
        <f t="shared" si="33"/>
        <v>1.25</v>
      </c>
      <c r="P132" s="129">
        <f t="shared" si="33"/>
        <v>1.25</v>
      </c>
      <c r="Q132" s="129">
        <f t="shared" si="33"/>
        <v>1.25</v>
      </c>
      <c r="R132" s="129">
        <f t="shared" si="33"/>
        <v>1.25</v>
      </c>
      <c r="S132" s="129">
        <f t="shared" si="33"/>
        <v>1.25</v>
      </c>
      <c r="T132" s="129">
        <f t="shared" si="34"/>
        <v>1.25</v>
      </c>
      <c r="U132" s="129">
        <f t="shared" si="34"/>
        <v>1.25</v>
      </c>
      <c r="V132" s="129">
        <f t="shared" si="34"/>
        <v>1.25</v>
      </c>
      <c r="W132" s="129">
        <f t="shared" si="34"/>
        <v>1.25</v>
      </c>
      <c r="X132" s="129">
        <f t="shared" si="34"/>
        <v>1.25</v>
      </c>
      <c r="Y132" s="129">
        <f t="shared" si="34"/>
        <v>1.25</v>
      </c>
      <c r="Z132" s="129">
        <f t="shared" si="34"/>
        <v>1.25</v>
      </c>
      <c r="AA132" s="129">
        <f t="shared" si="34"/>
        <v>1.25</v>
      </c>
      <c r="AB132" s="129">
        <f t="shared" si="34"/>
        <v>1.25</v>
      </c>
      <c r="AC132" s="129">
        <f t="shared" si="34"/>
        <v>1.25</v>
      </c>
      <c r="AD132" s="129">
        <f t="shared" si="34"/>
        <v>1.25</v>
      </c>
      <c r="AE132" s="129">
        <f t="shared" si="34"/>
        <v>1.25</v>
      </c>
      <c r="AF132" s="129">
        <f t="shared" si="34"/>
        <v>1.25</v>
      </c>
      <c r="AG132" s="132">
        <v>5</v>
      </c>
      <c r="AH132" s="54"/>
      <c r="AI132" s="55"/>
      <c r="AK132" s="56"/>
    </row>
    <row r="133" spans="1:37" x14ac:dyDescent="0.25">
      <c r="A133" s="118" t="s">
        <v>136</v>
      </c>
      <c r="B133" s="129">
        <f t="shared" si="32"/>
        <v>1.1499999999999999</v>
      </c>
      <c r="C133" s="130">
        <v>1.1499999999999999</v>
      </c>
      <c r="D133" s="129">
        <f t="shared" si="33"/>
        <v>1.1499999999999999</v>
      </c>
      <c r="E133" s="129">
        <f t="shared" si="33"/>
        <v>1.1499999999999999</v>
      </c>
      <c r="F133" s="129">
        <f t="shared" si="33"/>
        <v>1.1499999999999999</v>
      </c>
      <c r="G133" s="129">
        <f t="shared" si="33"/>
        <v>1.1499999999999999</v>
      </c>
      <c r="H133" s="129">
        <f t="shared" si="33"/>
        <v>1.1499999999999999</v>
      </c>
      <c r="I133" s="129">
        <f t="shared" si="33"/>
        <v>1.1499999999999999</v>
      </c>
      <c r="J133" s="129">
        <f t="shared" si="33"/>
        <v>1.1499999999999999</v>
      </c>
      <c r="K133" s="129">
        <f t="shared" si="33"/>
        <v>1.1499999999999999</v>
      </c>
      <c r="L133" s="129">
        <f t="shared" si="33"/>
        <v>1.1499999999999999</v>
      </c>
      <c r="M133" s="129">
        <f t="shared" si="33"/>
        <v>1.1499999999999999</v>
      </c>
      <c r="N133" s="129">
        <f t="shared" si="33"/>
        <v>1.1499999999999999</v>
      </c>
      <c r="O133" s="129">
        <f t="shared" si="33"/>
        <v>1.1499999999999999</v>
      </c>
      <c r="P133" s="129">
        <f t="shared" si="33"/>
        <v>1.1499999999999999</v>
      </c>
      <c r="Q133" s="129">
        <f t="shared" si="33"/>
        <v>1.1499999999999999</v>
      </c>
      <c r="R133" s="129">
        <f t="shared" si="33"/>
        <v>1.1499999999999999</v>
      </c>
      <c r="S133" s="129">
        <f t="shared" si="33"/>
        <v>1.1499999999999999</v>
      </c>
      <c r="T133" s="129">
        <f t="shared" si="34"/>
        <v>1.1499999999999999</v>
      </c>
      <c r="U133" s="129">
        <f t="shared" si="34"/>
        <v>1.1499999999999999</v>
      </c>
      <c r="V133" s="129">
        <f t="shared" si="34"/>
        <v>1.1499999999999999</v>
      </c>
      <c r="W133" s="129">
        <f t="shared" si="34"/>
        <v>1.1499999999999999</v>
      </c>
      <c r="X133" s="129">
        <f t="shared" si="34"/>
        <v>1.1499999999999999</v>
      </c>
      <c r="Y133" s="129">
        <f t="shared" si="34"/>
        <v>1.1499999999999999</v>
      </c>
      <c r="Z133" s="129">
        <f t="shared" si="34"/>
        <v>1.1499999999999999</v>
      </c>
      <c r="AA133" s="129">
        <f t="shared" si="34"/>
        <v>1.1499999999999999</v>
      </c>
      <c r="AB133" s="129">
        <f t="shared" si="34"/>
        <v>1.1499999999999999</v>
      </c>
      <c r="AC133" s="129">
        <f t="shared" si="34"/>
        <v>1.1499999999999999</v>
      </c>
      <c r="AD133" s="129">
        <f t="shared" si="34"/>
        <v>1.1499999999999999</v>
      </c>
      <c r="AE133" s="129">
        <f t="shared" si="34"/>
        <v>1.1499999999999999</v>
      </c>
      <c r="AF133" s="129">
        <f t="shared" si="34"/>
        <v>1.1499999999999999</v>
      </c>
      <c r="AG133" s="132">
        <v>5</v>
      </c>
      <c r="AH133" s="54"/>
      <c r="AI133" s="55"/>
      <c r="AK133" s="56"/>
    </row>
    <row r="134" spans="1:37" x14ac:dyDescent="0.25">
      <c r="A134" s="118" t="s">
        <v>137</v>
      </c>
      <c r="B134" s="129">
        <f t="shared" si="32"/>
        <v>2.133</v>
      </c>
      <c r="C134" s="130">
        <v>2.133</v>
      </c>
      <c r="D134" s="129">
        <f t="shared" si="33"/>
        <v>2.133</v>
      </c>
      <c r="E134" s="129">
        <f t="shared" si="33"/>
        <v>2.133</v>
      </c>
      <c r="F134" s="129">
        <f t="shared" si="33"/>
        <v>2.133</v>
      </c>
      <c r="G134" s="129">
        <f t="shared" si="33"/>
        <v>2.133</v>
      </c>
      <c r="H134" s="129">
        <f t="shared" si="33"/>
        <v>2.133</v>
      </c>
      <c r="I134" s="129">
        <f t="shared" si="33"/>
        <v>2.133</v>
      </c>
      <c r="J134" s="129">
        <f t="shared" si="33"/>
        <v>2.133</v>
      </c>
      <c r="K134" s="129">
        <f t="shared" si="33"/>
        <v>2.133</v>
      </c>
      <c r="L134" s="129">
        <f t="shared" si="33"/>
        <v>2.133</v>
      </c>
      <c r="M134" s="129">
        <f t="shared" si="33"/>
        <v>2.133</v>
      </c>
      <c r="N134" s="129">
        <f t="shared" si="33"/>
        <v>2.133</v>
      </c>
      <c r="O134" s="129">
        <f t="shared" si="33"/>
        <v>2.133</v>
      </c>
      <c r="P134" s="129">
        <f t="shared" si="33"/>
        <v>2.133</v>
      </c>
      <c r="Q134" s="129">
        <f t="shared" si="33"/>
        <v>2.133</v>
      </c>
      <c r="R134" s="129">
        <f t="shared" si="33"/>
        <v>2.133</v>
      </c>
      <c r="S134" s="129">
        <f t="shared" si="33"/>
        <v>2.133</v>
      </c>
      <c r="T134" s="129">
        <f t="shared" si="34"/>
        <v>2.133</v>
      </c>
      <c r="U134" s="129">
        <f t="shared" si="34"/>
        <v>2.133</v>
      </c>
      <c r="V134" s="129">
        <f t="shared" si="34"/>
        <v>2.133</v>
      </c>
      <c r="W134" s="129">
        <f t="shared" si="34"/>
        <v>2.133</v>
      </c>
      <c r="X134" s="129">
        <f t="shared" si="34"/>
        <v>2.133</v>
      </c>
      <c r="Y134" s="129">
        <f t="shared" si="34"/>
        <v>2.133</v>
      </c>
      <c r="Z134" s="129">
        <f t="shared" si="34"/>
        <v>2.133</v>
      </c>
      <c r="AA134" s="129">
        <f t="shared" si="34"/>
        <v>2.133</v>
      </c>
      <c r="AB134" s="129">
        <f t="shared" si="34"/>
        <v>2.133</v>
      </c>
      <c r="AC134" s="129">
        <f t="shared" si="34"/>
        <v>2.133</v>
      </c>
      <c r="AD134" s="129">
        <f t="shared" si="34"/>
        <v>2.133</v>
      </c>
      <c r="AE134" s="129">
        <f t="shared" si="34"/>
        <v>2.133</v>
      </c>
      <c r="AF134" s="129">
        <f t="shared" si="34"/>
        <v>2.133</v>
      </c>
      <c r="AG134" s="132">
        <v>4.9930000000000003</v>
      </c>
      <c r="AH134" s="54"/>
      <c r="AI134" s="55"/>
      <c r="AK134" s="56"/>
    </row>
    <row r="135" spans="1:37" x14ac:dyDescent="0.25">
      <c r="A135" s="118" t="s">
        <v>138</v>
      </c>
      <c r="B135" s="129">
        <f t="shared" si="32"/>
        <v>2.09</v>
      </c>
      <c r="C135" s="130">
        <v>2.09</v>
      </c>
      <c r="D135" s="129">
        <f t="shared" si="33"/>
        <v>2.09</v>
      </c>
      <c r="E135" s="129">
        <f t="shared" si="33"/>
        <v>2.09</v>
      </c>
      <c r="F135" s="129">
        <f t="shared" si="33"/>
        <v>2.09</v>
      </c>
      <c r="G135" s="129">
        <f t="shared" si="33"/>
        <v>2.09</v>
      </c>
      <c r="H135" s="129">
        <f t="shared" si="33"/>
        <v>2.09</v>
      </c>
      <c r="I135" s="129">
        <f t="shared" si="33"/>
        <v>2.09</v>
      </c>
      <c r="J135" s="129">
        <f t="shared" si="33"/>
        <v>2.09</v>
      </c>
      <c r="K135" s="129">
        <f t="shared" si="33"/>
        <v>2.09</v>
      </c>
      <c r="L135" s="129">
        <f t="shared" si="33"/>
        <v>2.09</v>
      </c>
      <c r="M135" s="129">
        <f t="shared" si="33"/>
        <v>2.09</v>
      </c>
      <c r="N135" s="129">
        <f t="shared" si="33"/>
        <v>2.09</v>
      </c>
      <c r="O135" s="129">
        <f t="shared" si="33"/>
        <v>2.09</v>
      </c>
      <c r="P135" s="129">
        <f t="shared" si="33"/>
        <v>2.09</v>
      </c>
      <c r="Q135" s="129">
        <f t="shared" si="33"/>
        <v>2.09</v>
      </c>
      <c r="R135" s="129">
        <f t="shared" si="33"/>
        <v>2.09</v>
      </c>
      <c r="S135" s="129">
        <f t="shared" si="33"/>
        <v>2.09</v>
      </c>
      <c r="T135" s="129">
        <f t="shared" si="34"/>
        <v>2.09</v>
      </c>
      <c r="U135" s="129">
        <f t="shared" si="34"/>
        <v>2.09</v>
      </c>
      <c r="V135" s="129">
        <f t="shared" si="34"/>
        <v>2.09</v>
      </c>
      <c r="W135" s="129">
        <f t="shared" si="34"/>
        <v>2.09</v>
      </c>
      <c r="X135" s="129">
        <f t="shared" si="34"/>
        <v>2.09</v>
      </c>
      <c r="Y135" s="129">
        <f t="shared" si="34"/>
        <v>2.09</v>
      </c>
      <c r="Z135" s="129">
        <f t="shared" si="34"/>
        <v>2.09</v>
      </c>
      <c r="AA135" s="129">
        <f t="shared" si="34"/>
        <v>2.09</v>
      </c>
      <c r="AB135" s="129">
        <f t="shared" si="34"/>
        <v>2.09</v>
      </c>
      <c r="AC135" s="129">
        <f t="shared" si="34"/>
        <v>2.09</v>
      </c>
      <c r="AD135" s="129">
        <f t="shared" si="34"/>
        <v>2.09</v>
      </c>
      <c r="AE135" s="129">
        <f t="shared" si="34"/>
        <v>2.09</v>
      </c>
      <c r="AF135" s="129">
        <f t="shared" si="34"/>
        <v>2.09</v>
      </c>
      <c r="AG135" s="132">
        <v>4.9800000000000004</v>
      </c>
      <c r="AH135" s="54"/>
      <c r="AI135" s="55"/>
      <c r="AK135" s="56"/>
    </row>
    <row r="136" spans="1:37" x14ac:dyDescent="0.25">
      <c r="A136" s="118" t="s">
        <v>139</v>
      </c>
      <c r="B136" s="129">
        <f t="shared" si="32"/>
        <v>1.1399999999999999</v>
      </c>
      <c r="C136" s="130">
        <v>1.1399999999999999</v>
      </c>
      <c r="D136" s="129">
        <f t="shared" si="33"/>
        <v>1.1399999999999999</v>
      </c>
      <c r="E136" s="129">
        <f t="shared" si="33"/>
        <v>1.1399999999999999</v>
      </c>
      <c r="F136" s="129">
        <f t="shared" si="33"/>
        <v>1.1399999999999999</v>
      </c>
      <c r="G136" s="129">
        <f t="shared" si="33"/>
        <v>1.1399999999999999</v>
      </c>
      <c r="H136" s="129">
        <f t="shared" si="33"/>
        <v>1.1399999999999999</v>
      </c>
      <c r="I136" s="129">
        <f t="shared" si="33"/>
        <v>1.1399999999999999</v>
      </c>
      <c r="J136" s="129">
        <f t="shared" si="33"/>
        <v>1.1399999999999999</v>
      </c>
      <c r="K136" s="129">
        <f t="shared" si="33"/>
        <v>1.1399999999999999</v>
      </c>
      <c r="L136" s="129">
        <f t="shared" si="33"/>
        <v>1.1399999999999999</v>
      </c>
      <c r="M136" s="129">
        <f t="shared" si="33"/>
        <v>1.1399999999999999</v>
      </c>
      <c r="N136" s="129">
        <f t="shared" si="33"/>
        <v>1.1399999999999999</v>
      </c>
      <c r="O136" s="129">
        <f t="shared" si="33"/>
        <v>1.1399999999999999</v>
      </c>
      <c r="P136" s="129">
        <f t="shared" si="33"/>
        <v>1.1399999999999999</v>
      </c>
      <c r="Q136" s="129">
        <f t="shared" si="33"/>
        <v>1.1399999999999999</v>
      </c>
      <c r="R136" s="129">
        <f t="shared" si="33"/>
        <v>1.1399999999999999</v>
      </c>
      <c r="S136" s="129">
        <f t="shared" si="33"/>
        <v>1.1399999999999999</v>
      </c>
      <c r="T136" s="129">
        <f t="shared" si="34"/>
        <v>1.1399999999999999</v>
      </c>
      <c r="U136" s="129">
        <f t="shared" si="34"/>
        <v>1.1399999999999999</v>
      </c>
      <c r="V136" s="129">
        <f t="shared" si="34"/>
        <v>1.1399999999999999</v>
      </c>
      <c r="W136" s="129">
        <f t="shared" si="34"/>
        <v>1.1399999999999999</v>
      </c>
      <c r="X136" s="129">
        <f t="shared" si="34"/>
        <v>1.1399999999999999</v>
      </c>
      <c r="Y136" s="129">
        <f t="shared" si="34"/>
        <v>1.1399999999999999</v>
      </c>
      <c r="Z136" s="129">
        <f t="shared" si="34"/>
        <v>1.1399999999999999</v>
      </c>
      <c r="AA136" s="129">
        <f t="shared" si="34"/>
        <v>1.1399999999999999</v>
      </c>
      <c r="AB136" s="129">
        <f t="shared" si="34"/>
        <v>1.1399999999999999</v>
      </c>
      <c r="AC136" s="129">
        <f t="shared" si="34"/>
        <v>1.1399999999999999</v>
      </c>
      <c r="AD136" s="129">
        <f t="shared" si="34"/>
        <v>1.1399999999999999</v>
      </c>
      <c r="AE136" s="129">
        <f t="shared" si="34"/>
        <v>1.1399999999999999</v>
      </c>
      <c r="AF136" s="129">
        <f t="shared" si="34"/>
        <v>1.1399999999999999</v>
      </c>
      <c r="AG136" s="132">
        <v>4.95</v>
      </c>
      <c r="AH136" s="54"/>
      <c r="AI136" s="55"/>
      <c r="AK136" s="56"/>
    </row>
    <row r="137" spans="1:37" x14ac:dyDescent="0.25">
      <c r="A137" s="118" t="s">
        <v>140</v>
      </c>
      <c r="B137" s="129">
        <f t="shared" si="32"/>
        <v>0.82</v>
      </c>
      <c r="C137" s="130">
        <v>0.82</v>
      </c>
      <c r="D137" s="129">
        <f t="shared" si="33"/>
        <v>0.82</v>
      </c>
      <c r="E137" s="129">
        <f t="shared" si="33"/>
        <v>0.82</v>
      </c>
      <c r="F137" s="129">
        <f t="shared" si="33"/>
        <v>0.82</v>
      </c>
      <c r="G137" s="129">
        <f t="shared" si="33"/>
        <v>0.82</v>
      </c>
      <c r="H137" s="129">
        <f t="shared" si="33"/>
        <v>0.82</v>
      </c>
      <c r="I137" s="129">
        <f t="shared" si="33"/>
        <v>0.82</v>
      </c>
      <c r="J137" s="129">
        <f t="shared" si="33"/>
        <v>0.82</v>
      </c>
      <c r="K137" s="129">
        <f t="shared" si="33"/>
        <v>0.82</v>
      </c>
      <c r="L137" s="129">
        <f t="shared" si="33"/>
        <v>0.82</v>
      </c>
      <c r="M137" s="129">
        <f t="shared" si="33"/>
        <v>0.82</v>
      </c>
      <c r="N137" s="129">
        <f t="shared" si="33"/>
        <v>0.82</v>
      </c>
      <c r="O137" s="129">
        <f t="shared" si="33"/>
        <v>0.82</v>
      </c>
      <c r="P137" s="129">
        <f t="shared" si="33"/>
        <v>0.82</v>
      </c>
      <c r="Q137" s="129">
        <f t="shared" si="33"/>
        <v>0.82</v>
      </c>
      <c r="R137" s="129">
        <f t="shared" si="33"/>
        <v>0.82</v>
      </c>
      <c r="S137" s="129">
        <f t="shared" si="33"/>
        <v>0.82</v>
      </c>
      <c r="T137" s="129">
        <f t="shared" si="34"/>
        <v>0.82</v>
      </c>
      <c r="U137" s="129">
        <f t="shared" si="34"/>
        <v>0.82</v>
      </c>
      <c r="V137" s="129">
        <f t="shared" si="34"/>
        <v>0.82</v>
      </c>
      <c r="W137" s="129">
        <f t="shared" si="34"/>
        <v>0.82</v>
      </c>
      <c r="X137" s="129">
        <f t="shared" si="34"/>
        <v>0.82</v>
      </c>
      <c r="Y137" s="129">
        <f t="shared" si="34"/>
        <v>0.82</v>
      </c>
      <c r="Z137" s="129">
        <f t="shared" si="34"/>
        <v>0.82</v>
      </c>
      <c r="AA137" s="129">
        <f t="shared" si="34"/>
        <v>0.82</v>
      </c>
      <c r="AB137" s="129">
        <f t="shared" si="34"/>
        <v>0.82</v>
      </c>
      <c r="AC137" s="129">
        <f t="shared" si="34"/>
        <v>0.82</v>
      </c>
      <c r="AD137" s="129">
        <f t="shared" si="34"/>
        <v>0.82</v>
      </c>
      <c r="AE137" s="129">
        <f t="shared" si="34"/>
        <v>0.82</v>
      </c>
      <c r="AF137" s="129">
        <f t="shared" si="34"/>
        <v>0.82</v>
      </c>
      <c r="AG137" s="132">
        <v>4.95</v>
      </c>
      <c r="AH137" s="54"/>
      <c r="AI137" s="55"/>
      <c r="AK137" s="56"/>
    </row>
    <row r="138" spans="1:37" x14ac:dyDescent="0.25">
      <c r="A138" s="118" t="s">
        <v>141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2">
        <v>4.8</v>
      </c>
      <c r="AH138" s="54"/>
      <c r="AI138" s="55"/>
      <c r="AK138" s="56"/>
    </row>
    <row r="139" spans="1:37" x14ac:dyDescent="0.25">
      <c r="A139" s="118" t="s">
        <v>142</v>
      </c>
      <c r="B139" s="129">
        <f t="shared" ref="B139:B145" si="35">AF139</f>
        <v>2</v>
      </c>
      <c r="C139" s="130">
        <v>2</v>
      </c>
      <c r="D139" s="129">
        <f t="shared" ref="D139:S145" si="36">C139</f>
        <v>2</v>
      </c>
      <c r="E139" s="129">
        <f t="shared" si="36"/>
        <v>2</v>
      </c>
      <c r="F139" s="129">
        <f t="shared" si="36"/>
        <v>2</v>
      </c>
      <c r="G139" s="129">
        <f t="shared" si="36"/>
        <v>2</v>
      </c>
      <c r="H139" s="129">
        <f t="shared" si="36"/>
        <v>2</v>
      </c>
      <c r="I139" s="129">
        <f t="shared" si="36"/>
        <v>2</v>
      </c>
      <c r="J139" s="129">
        <f t="shared" si="36"/>
        <v>2</v>
      </c>
      <c r="K139" s="129">
        <f t="shared" si="36"/>
        <v>2</v>
      </c>
      <c r="L139" s="129">
        <f t="shared" si="36"/>
        <v>2</v>
      </c>
      <c r="M139" s="129">
        <f t="shared" si="36"/>
        <v>2</v>
      </c>
      <c r="N139" s="129">
        <f t="shared" si="36"/>
        <v>2</v>
      </c>
      <c r="O139" s="129">
        <f t="shared" si="36"/>
        <v>2</v>
      </c>
      <c r="P139" s="129">
        <f t="shared" si="36"/>
        <v>2</v>
      </c>
      <c r="Q139" s="129">
        <f t="shared" si="36"/>
        <v>2</v>
      </c>
      <c r="R139" s="129">
        <f t="shared" si="36"/>
        <v>2</v>
      </c>
      <c r="S139" s="129">
        <f t="shared" si="36"/>
        <v>2</v>
      </c>
      <c r="T139" s="129">
        <f t="shared" ref="T139:AF145" si="37">S139</f>
        <v>2</v>
      </c>
      <c r="U139" s="129">
        <f t="shared" si="37"/>
        <v>2</v>
      </c>
      <c r="V139" s="129">
        <f t="shared" si="37"/>
        <v>2</v>
      </c>
      <c r="W139" s="129">
        <f t="shared" si="37"/>
        <v>2</v>
      </c>
      <c r="X139" s="129">
        <f t="shared" si="37"/>
        <v>2</v>
      </c>
      <c r="Y139" s="129">
        <f t="shared" si="37"/>
        <v>2</v>
      </c>
      <c r="Z139" s="129">
        <f t="shared" si="37"/>
        <v>2</v>
      </c>
      <c r="AA139" s="129">
        <f t="shared" si="37"/>
        <v>2</v>
      </c>
      <c r="AB139" s="129">
        <f t="shared" si="37"/>
        <v>2</v>
      </c>
      <c r="AC139" s="129">
        <f t="shared" si="37"/>
        <v>2</v>
      </c>
      <c r="AD139" s="129">
        <f t="shared" si="37"/>
        <v>2</v>
      </c>
      <c r="AE139" s="129">
        <f t="shared" si="37"/>
        <v>2</v>
      </c>
      <c r="AF139" s="129">
        <f t="shared" si="37"/>
        <v>2</v>
      </c>
      <c r="AG139" s="132">
        <v>4.8</v>
      </c>
      <c r="AH139" s="54"/>
      <c r="AI139" s="55"/>
      <c r="AK139" s="56"/>
    </row>
    <row r="140" spans="1:37" x14ac:dyDescent="0.25">
      <c r="A140" s="118" t="s">
        <v>143</v>
      </c>
      <c r="B140" s="129">
        <f t="shared" si="35"/>
        <v>5.61</v>
      </c>
      <c r="C140" s="130">
        <v>5.61</v>
      </c>
      <c r="D140" s="129">
        <f t="shared" si="36"/>
        <v>5.61</v>
      </c>
      <c r="E140" s="129">
        <f t="shared" si="36"/>
        <v>5.61</v>
      </c>
      <c r="F140" s="129">
        <f t="shared" si="36"/>
        <v>5.61</v>
      </c>
      <c r="G140" s="129">
        <f t="shared" si="36"/>
        <v>5.61</v>
      </c>
      <c r="H140" s="129">
        <f t="shared" si="36"/>
        <v>5.61</v>
      </c>
      <c r="I140" s="129">
        <f t="shared" si="36"/>
        <v>5.61</v>
      </c>
      <c r="J140" s="129">
        <f t="shared" si="36"/>
        <v>5.61</v>
      </c>
      <c r="K140" s="129">
        <f t="shared" si="36"/>
        <v>5.61</v>
      </c>
      <c r="L140" s="129">
        <f t="shared" si="36"/>
        <v>5.61</v>
      </c>
      <c r="M140" s="129">
        <f t="shared" si="36"/>
        <v>5.61</v>
      </c>
      <c r="N140" s="129">
        <f t="shared" si="36"/>
        <v>5.61</v>
      </c>
      <c r="O140" s="129">
        <f t="shared" si="36"/>
        <v>5.61</v>
      </c>
      <c r="P140" s="129">
        <f t="shared" si="36"/>
        <v>5.61</v>
      </c>
      <c r="Q140" s="129">
        <f t="shared" si="36"/>
        <v>5.61</v>
      </c>
      <c r="R140" s="129">
        <f t="shared" si="36"/>
        <v>5.61</v>
      </c>
      <c r="S140" s="129">
        <f t="shared" si="36"/>
        <v>5.61</v>
      </c>
      <c r="T140" s="129">
        <f t="shared" si="37"/>
        <v>5.61</v>
      </c>
      <c r="U140" s="129">
        <f t="shared" si="37"/>
        <v>5.61</v>
      </c>
      <c r="V140" s="129">
        <f t="shared" si="37"/>
        <v>5.61</v>
      </c>
      <c r="W140" s="129">
        <f t="shared" si="37"/>
        <v>5.61</v>
      </c>
      <c r="X140" s="129">
        <f t="shared" si="37"/>
        <v>5.61</v>
      </c>
      <c r="Y140" s="129">
        <f t="shared" si="37"/>
        <v>5.61</v>
      </c>
      <c r="Z140" s="129">
        <f t="shared" si="37"/>
        <v>5.61</v>
      </c>
      <c r="AA140" s="129">
        <f t="shared" si="37"/>
        <v>5.61</v>
      </c>
      <c r="AB140" s="129">
        <f t="shared" si="37"/>
        <v>5.61</v>
      </c>
      <c r="AC140" s="129">
        <f t="shared" si="37"/>
        <v>5.61</v>
      </c>
      <c r="AD140" s="129">
        <f t="shared" si="37"/>
        <v>5.61</v>
      </c>
      <c r="AE140" s="129">
        <f t="shared" si="37"/>
        <v>5.61</v>
      </c>
      <c r="AF140" s="129">
        <f t="shared" si="37"/>
        <v>5.61</v>
      </c>
      <c r="AG140" s="132">
        <v>4.8</v>
      </c>
      <c r="AH140" s="54"/>
      <c r="AI140" s="55"/>
      <c r="AK140" s="56"/>
    </row>
    <row r="141" spans="1:37" x14ac:dyDescent="0.25">
      <c r="A141" s="118" t="s">
        <v>144</v>
      </c>
      <c r="B141" s="129">
        <f t="shared" si="35"/>
        <v>1.25</v>
      </c>
      <c r="C141" s="130">
        <v>1.25</v>
      </c>
      <c r="D141" s="129">
        <f t="shared" si="36"/>
        <v>1.25</v>
      </c>
      <c r="E141" s="129">
        <f t="shared" si="36"/>
        <v>1.25</v>
      </c>
      <c r="F141" s="129">
        <f t="shared" si="36"/>
        <v>1.25</v>
      </c>
      <c r="G141" s="129">
        <f t="shared" si="36"/>
        <v>1.25</v>
      </c>
      <c r="H141" s="129">
        <f t="shared" si="36"/>
        <v>1.25</v>
      </c>
      <c r="I141" s="129">
        <f t="shared" si="36"/>
        <v>1.25</v>
      </c>
      <c r="J141" s="129">
        <f t="shared" si="36"/>
        <v>1.25</v>
      </c>
      <c r="K141" s="129">
        <f t="shared" si="36"/>
        <v>1.25</v>
      </c>
      <c r="L141" s="129">
        <f t="shared" si="36"/>
        <v>1.25</v>
      </c>
      <c r="M141" s="129">
        <f t="shared" si="36"/>
        <v>1.25</v>
      </c>
      <c r="N141" s="129">
        <f t="shared" si="36"/>
        <v>1.25</v>
      </c>
      <c r="O141" s="129">
        <f t="shared" si="36"/>
        <v>1.25</v>
      </c>
      <c r="P141" s="129">
        <f t="shared" si="36"/>
        <v>1.25</v>
      </c>
      <c r="Q141" s="129">
        <f t="shared" si="36"/>
        <v>1.25</v>
      </c>
      <c r="R141" s="129">
        <f t="shared" si="36"/>
        <v>1.25</v>
      </c>
      <c r="S141" s="129">
        <f t="shared" si="36"/>
        <v>1.25</v>
      </c>
      <c r="T141" s="129">
        <f t="shared" si="37"/>
        <v>1.25</v>
      </c>
      <c r="U141" s="129">
        <f t="shared" si="37"/>
        <v>1.25</v>
      </c>
      <c r="V141" s="129">
        <f t="shared" si="37"/>
        <v>1.25</v>
      </c>
      <c r="W141" s="129">
        <f t="shared" si="37"/>
        <v>1.25</v>
      </c>
      <c r="X141" s="129">
        <f t="shared" si="37"/>
        <v>1.25</v>
      </c>
      <c r="Y141" s="129">
        <f t="shared" si="37"/>
        <v>1.25</v>
      </c>
      <c r="Z141" s="129">
        <f t="shared" si="37"/>
        <v>1.25</v>
      </c>
      <c r="AA141" s="129">
        <f t="shared" si="37"/>
        <v>1.25</v>
      </c>
      <c r="AB141" s="129">
        <f t="shared" si="37"/>
        <v>1.25</v>
      </c>
      <c r="AC141" s="129">
        <f t="shared" si="37"/>
        <v>1.25</v>
      </c>
      <c r="AD141" s="129">
        <f t="shared" si="37"/>
        <v>1.25</v>
      </c>
      <c r="AE141" s="129">
        <f t="shared" si="37"/>
        <v>1.25</v>
      </c>
      <c r="AF141" s="129">
        <f t="shared" si="37"/>
        <v>1.25</v>
      </c>
      <c r="AG141" s="132">
        <v>4.5</v>
      </c>
      <c r="AH141" s="54"/>
      <c r="AI141" s="55"/>
      <c r="AK141" s="56"/>
    </row>
    <row r="142" spans="1:37" x14ac:dyDescent="0.25">
      <c r="A142" s="118" t="s">
        <v>145</v>
      </c>
      <c r="B142" s="129">
        <f t="shared" si="35"/>
        <v>1.25</v>
      </c>
      <c r="C142" s="130">
        <v>1.25</v>
      </c>
      <c r="D142" s="129">
        <f t="shared" si="36"/>
        <v>1.25</v>
      </c>
      <c r="E142" s="129">
        <f t="shared" si="36"/>
        <v>1.25</v>
      </c>
      <c r="F142" s="129">
        <f t="shared" si="36"/>
        <v>1.25</v>
      </c>
      <c r="G142" s="129">
        <f t="shared" si="36"/>
        <v>1.25</v>
      </c>
      <c r="H142" s="129">
        <f t="shared" si="36"/>
        <v>1.25</v>
      </c>
      <c r="I142" s="129">
        <f t="shared" si="36"/>
        <v>1.25</v>
      </c>
      <c r="J142" s="129">
        <f t="shared" si="36"/>
        <v>1.25</v>
      </c>
      <c r="K142" s="129">
        <f t="shared" si="36"/>
        <v>1.25</v>
      </c>
      <c r="L142" s="129">
        <f t="shared" si="36"/>
        <v>1.25</v>
      </c>
      <c r="M142" s="129">
        <f t="shared" si="36"/>
        <v>1.25</v>
      </c>
      <c r="N142" s="129">
        <f t="shared" si="36"/>
        <v>1.25</v>
      </c>
      <c r="O142" s="129">
        <f t="shared" si="36"/>
        <v>1.25</v>
      </c>
      <c r="P142" s="129">
        <f t="shared" si="36"/>
        <v>1.25</v>
      </c>
      <c r="Q142" s="129">
        <f t="shared" si="36"/>
        <v>1.25</v>
      </c>
      <c r="R142" s="129">
        <f t="shared" si="36"/>
        <v>1.25</v>
      </c>
      <c r="S142" s="129">
        <f t="shared" si="36"/>
        <v>1.25</v>
      </c>
      <c r="T142" s="129">
        <f t="shared" si="37"/>
        <v>1.25</v>
      </c>
      <c r="U142" s="129">
        <f t="shared" si="37"/>
        <v>1.25</v>
      </c>
      <c r="V142" s="129">
        <f t="shared" si="37"/>
        <v>1.25</v>
      </c>
      <c r="W142" s="129">
        <f t="shared" si="37"/>
        <v>1.25</v>
      </c>
      <c r="X142" s="129">
        <f t="shared" si="37"/>
        <v>1.25</v>
      </c>
      <c r="Y142" s="129">
        <f t="shared" si="37"/>
        <v>1.25</v>
      </c>
      <c r="Z142" s="129">
        <f t="shared" si="37"/>
        <v>1.25</v>
      </c>
      <c r="AA142" s="129">
        <f t="shared" si="37"/>
        <v>1.25</v>
      </c>
      <c r="AB142" s="129">
        <f t="shared" si="37"/>
        <v>1.25</v>
      </c>
      <c r="AC142" s="129">
        <f t="shared" si="37"/>
        <v>1.25</v>
      </c>
      <c r="AD142" s="129">
        <f t="shared" si="37"/>
        <v>1.25</v>
      </c>
      <c r="AE142" s="129">
        <f t="shared" si="37"/>
        <v>1.25</v>
      </c>
      <c r="AF142" s="129">
        <f t="shared" si="37"/>
        <v>1.25</v>
      </c>
      <c r="AG142" s="132">
        <v>4.5</v>
      </c>
      <c r="AH142" s="54"/>
      <c r="AI142" s="55"/>
      <c r="AK142" s="56"/>
    </row>
    <row r="143" spans="1:37" x14ac:dyDescent="0.25">
      <c r="A143" s="118" t="s">
        <v>146</v>
      </c>
      <c r="B143" s="129">
        <f t="shared" si="35"/>
        <v>1.46</v>
      </c>
      <c r="C143" s="130">
        <v>1.46</v>
      </c>
      <c r="D143" s="129">
        <f t="shared" si="36"/>
        <v>1.46</v>
      </c>
      <c r="E143" s="129">
        <f t="shared" si="36"/>
        <v>1.46</v>
      </c>
      <c r="F143" s="129">
        <f t="shared" si="36"/>
        <v>1.46</v>
      </c>
      <c r="G143" s="129">
        <f t="shared" si="36"/>
        <v>1.46</v>
      </c>
      <c r="H143" s="129">
        <f t="shared" si="36"/>
        <v>1.46</v>
      </c>
      <c r="I143" s="129">
        <f t="shared" si="36"/>
        <v>1.46</v>
      </c>
      <c r="J143" s="129">
        <f t="shared" si="36"/>
        <v>1.46</v>
      </c>
      <c r="K143" s="129">
        <f t="shared" si="36"/>
        <v>1.46</v>
      </c>
      <c r="L143" s="129">
        <f t="shared" si="36"/>
        <v>1.46</v>
      </c>
      <c r="M143" s="129">
        <f t="shared" si="36"/>
        <v>1.46</v>
      </c>
      <c r="N143" s="129">
        <f t="shared" si="36"/>
        <v>1.46</v>
      </c>
      <c r="O143" s="129">
        <f t="shared" si="36"/>
        <v>1.46</v>
      </c>
      <c r="P143" s="129">
        <f t="shared" si="36"/>
        <v>1.46</v>
      </c>
      <c r="Q143" s="129">
        <f t="shared" si="36"/>
        <v>1.46</v>
      </c>
      <c r="R143" s="129">
        <f t="shared" si="36"/>
        <v>1.46</v>
      </c>
      <c r="S143" s="129">
        <f t="shared" si="36"/>
        <v>1.46</v>
      </c>
      <c r="T143" s="129">
        <f t="shared" si="37"/>
        <v>1.46</v>
      </c>
      <c r="U143" s="129">
        <f t="shared" si="37"/>
        <v>1.46</v>
      </c>
      <c r="V143" s="129">
        <f t="shared" si="37"/>
        <v>1.46</v>
      </c>
      <c r="W143" s="129">
        <f t="shared" si="37"/>
        <v>1.46</v>
      </c>
      <c r="X143" s="129">
        <f t="shared" si="37"/>
        <v>1.46</v>
      </c>
      <c r="Y143" s="129">
        <f t="shared" si="37"/>
        <v>1.46</v>
      </c>
      <c r="Z143" s="129">
        <f t="shared" si="37"/>
        <v>1.46</v>
      </c>
      <c r="AA143" s="129">
        <f t="shared" si="37"/>
        <v>1.46</v>
      </c>
      <c r="AB143" s="129">
        <f t="shared" si="37"/>
        <v>1.46</v>
      </c>
      <c r="AC143" s="129">
        <f t="shared" si="37"/>
        <v>1.46</v>
      </c>
      <c r="AD143" s="129">
        <f t="shared" si="37"/>
        <v>1.46</v>
      </c>
      <c r="AE143" s="129">
        <f t="shared" si="37"/>
        <v>1.46</v>
      </c>
      <c r="AF143" s="129">
        <f t="shared" si="37"/>
        <v>1.46</v>
      </c>
      <c r="AG143" s="132">
        <v>4.4550000000000001</v>
      </c>
      <c r="AH143" s="54"/>
      <c r="AI143" s="55"/>
      <c r="AK143" s="56"/>
    </row>
    <row r="144" spans="1:37" x14ac:dyDescent="0.25">
      <c r="A144" s="118" t="s">
        <v>147</v>
      </c>
      <c r="B144" s="129">
        <f t="shared" si="35"/>
        <v>3</v>
      </c>
      <c r="C144" s="130">
        <v>3</v>
      </c>
      <c r="D144" s="129">
        <f t="shared" si="36"/>
        <v>3</v>
      </c>
      <c r="E144" s="129">
        <f t="shared" si="36"/>
        <v>3</v>
      </c>
      <c r="F144" s="129">
        <f t="shared" si="36"/>
        <v>3</v>
      </c>
      <c r="G144" s="129">
        <f t="shared" si="36"/>
        <v>3</v>
      </c>
      <c r="H144" s="129">
        <f t="shared" si="36"/>
        <v>3</v>
      </c>
      <c r="I144" s="129">
        <f t="shared" si="36"/>
        <v>3</v>
      </c>
      <c r="J144" s="129">
        <f t="shared" si="36"/>
        <v>3</v>
      </c>
      <c r="K144" s="129">
        <f t="shared" si="36"/>
        <v>3</v>
      </c>
      <c r="L144" s="129">
        <f t="shared" si="36"/>
        <v>3</v>
      </c>
      <c r="M144" s="129">
        <f t="shared" si="36"/>
        <v>3</v>
      </c>
      <c r="N144" s="129">
        <f t="shared" si="36"/>
        <v>3</v>
      </c>
      <c r="O144" s="129">
        <f t="shared" si="36"/>
        <v>3</v>
      </c>
      <c r="P144" s="129">
        <f t="shared" si="36"/>
        <v>3</v>
      </c>
      <c r="Q144" s="129">
        <f t="shared" si="36"/>
        <v>3</v>
      </c>
      <c r="R144" s="129">
        <f t="shared" si="36"/>
        <v>3</v>
      </c>
      <c r="S144" s="129">
        <f t="shared" si="36"/>
        <v>3</v>
      </c>
      <c r="T144" s="129">
        <f t="shared" si="37"/>
        <v>3</v>
      </c>
      <c r="U144" s="129">
        <f t="shared" si="37"/>
        <v>3</v>
      </c>
      <c r="V144" s="129">
        <f t="shared" si="37"/>
        <v>3</v>
      </c>
      <c r="W144" s="129">
        <f t="shared" si="37"/>
        <v>3</v>
      </c>
      <c r="X144" s="129">
        <f t="shared" si="37"/>
        <v>3</v>
      </c>
      <c r="Y144" s="129">
        <f t="shared" si="37"/>
        <v>3</v>
      </c>
      <c r="Z144" s="129">
        <f t="shared" si="37"/>
        <v>3</v>
      </c>
      <c r="AA144" s="129">
        <f t="shared" si="37"/>
        <v>3</v>
      </c>
      <c r="AB144" s="129">
        <f t="shared" si="37"/>
        <v>3</v>
      </c>
      <c r="AC144" s="129">
        <f t="shared" si="37"/>
        <v>3</v>
      </c>
      <c r="AD144" s="129">
        <f t="shared" si="37"/>
        <v>3</v>
      </c>
      <c r="AE144" s="129">
        <f t="shared" si="37"/>
        <v>3</v>
      </c>
      <c r="AF144" s="129">
        <f t="shared" si="37"/>
        <v>3</v>
      </c>
      <c r="AG144" s="132">
        <v>4.41</v>
      </c>
      <c r="AH144" s="54"/>
      <c r="AI144" s="55"/>
      <c r="AK144" s="56"/>
    </row>
    <row r="145" spans="1:37" x14ac:dyDescent="0.25">
      <c r="A145" s="118" t="s">
        <v>148</v>
      </c>
      <c r="B145" s="129">
        <f t="shared" si="35"/>
        <v>3.3</v>
      </c>
      <c r="C145" s="130">
        <v>3.3</v>
      </c>
      <c r="D145" s="129">
        <f t="shared" si="36"/>
        <v>3.3</v>
      </c>
      <c r="E145" s="129">
        <f t="shared" si="36"/>
        <v>3.3</v>
      </c>
      <c r="F145" s="129">
        <f t="shared" si="36"/>
        <v>3.3</v>
      </c>
      <c r="G145" s="129">
        <f t="shared" si="36"/>
        <v>3.3</v>
      </c>
      <c r="H145" s="129">
        <f t="shared" si="36"/>
        <v>3.3</v>
      </c>
      <c r="I145" s="129">
        <f t="shared" si="36"/>
        <v>3.3</v>
      </c>
      <c r="J145" s="129">
        <f t="shared" si="36"/>
        <v>3.3</v>
      </c>
      <c r="K145" s="129">
        <f t="shared" si="36"/>
        <v>3.3</v>
      </c>
      <c r="L145" s="129">
        <f t="shared" si="36"/>
        <v>3.3</v>
      </c>
      <c r="M145" s="129">
        <f t="shared" si="36"/>
        <v>3.3</v>
      </c>
      <c r="N145" s="129">
        <f t="shared" si="36"/>
        <v>3.3</v>
      </c>
      <c r="O145" s="129">
        <f t="shared" si="36"/>
        <v>3.3</v>
      </c>
      <c r="P145" s="129">
        <f t="shared" si="36"/>
        <v>3.3</v>
      </c>
      <c r="Q145" s="129">
        <f t="shared" si="36"/>
        <v>3.3</v>
      </c>
      <c r="R145" s="129">
        <f t="shared" si="36"/>
        <v>3.3</v>
      </c>
      <c r="S145" s="129">
        <f t="shared" si="36"/>
        <v>3.3</v>
      </c>
      <c r="T145" s="129">
        <f t="shared" si="37"/>
        <v>3.3</v>
      </c>
      <c r="U145" s="129">
        <f t="shared" si="37"/>
        <v>3.3</v>
      </c>
      <c r="V145" s="129">
        <f t="shared" si="37"/>
        <v>3.3</v>
      </c>
      <c r="W145" s="129">
        <f t="shared" si="37"/>
        <v>3.3</v>
      </c>
      <c r="X145" s="129">
        <f t="shared" si="37"/>
        <v>3.3</v>
      </c>
      <c r="Y145" s="129">
        <f t="shared" si="37"/>
        <v>3.3</v>
      </c>
      <c r="Z145" s="129">
        <f t="shared" si="37"/>
        <v>3.3</v>
      </c>
      <c r="AA145" s="129">
        <f t="shared" si="37"/>
        <v>3.3</v>
      </c>
      <c r="AB145" s="129">
        <f t="shared" si="37"/>
        <v>3.3</v>
      </c>
      <c r="AC145" s="129">
        <f t="shared" si="37"/>
        <v>3.3</v>
      </c>
      <c r="AD145" s="129">
        <f t="shared" si="37"/>
        <v>3.3</v>
      </c>
      <c r="AE145" s="129">
        <f t="shared" si="37"/>
        <v>3.3</v>
      </c>
      <c r="AF145" s="129">
        <f t="shared" si="37"/>
        <v>3.3</v>
      </c>
      <c r="AG145" s="132">
        <v>4.4000000000000004</v>
      </c>
      <c r="AH145" s="54"/>
      <c r="AI145" s="55"/>
      <c r="AK145" s="56"/>
    </row>
    <row r="146" spans="1:37" x14ac:dyDescent="0.25">
      <c r="A146" s="118" t="s">
        <v>149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4.3600000000000003</v>
      </c>
      <c r="AH146" s="54"/>
      <c r="AI146" s="55"/>
      <c r="AK146" s="56"/>
    </row>
    <row r="147" spans="1:37" x14ac:dyDescent="0.25">
      <c r="A147" s="118" t="s">
        <v>150</v>
      </c>
      <c r="B147" s="129">
        <f>AF147</f>
        <v>1.76</v>
      </c>
      <c r="C147" s="130">
        <v>1.76</v>
      </c>
      <c r="D147" s="129">
        <f t="shared" ref="D147:S148" si="38">C147</f>
        <v>1.76</v>
      </c>
      <c r="E147" s="129">
        <f t="shared" si="38"/>
        <v>1.76</v>
      </c>
      <c r="F147" s="129">
        <f t="shared" si="38"/>
        <v>1.76</v>
      </c>
      <c r="G147" s="129">
        <f t="shared" si="38"/>
        <v>1.76</v>
      </c>
      <c r="H147" s="129">
        <f t="shared" si="38"/>
        <v>1.76</v>
      </c>
      <c r="I147" s="129">
        <f t="shared" si="38"/>
        <v>1.76</v>
      </c>
      <c r="J147" s="129">
        <f t="shared" si="38"/>
        <v>1.76</v>
      </c>
      <c r="K147" s="129">
        <f t="shared" si="38"/>
        <v>1.76</v>
      </c>
      <c r="L147" s="129">
        <f t="shared" si="38"/>
        <v>1.76</v>
      </c>
      <c r="M147" s="129">
        <f t="shared" si="38"/>
        <v>1.76</v>
      </c>
      <c r="N147" s="129">
        <f t="shared" si="38"/>
        <v>1.76</v>
      </c>
      <c r="O147" s="129">
        <f t="shared" si="38"/>
        <v>1.76</v>
      </c>
      <c r="P147" s="129">
        <f t="shared" si="38"/>
        <v>1.76</v>
      </c>
      <c r="Q147" s="129">
        <f t="shared" si="38"/>
        <v>1.76</v>
      </c>
      <c r="R147" s="129">
        <f t="shared" si="38"/>
        <v>1.76</v>
      </c>
      <c r="S147" s="129">
        <f t="shared" si="38"/>
        <v>1.76</v>
      </c>
      <c r="T147" s="129">
        <f t="shared" ref="T147:AF148" si="39">S147</f>
        <v>1.76</v>
      </c>
      <c r="U147" s="129">
        <f t="shared" si="39"/>
        <v>1.76</v>
      </c>
      <c r="V147" s="129">
        <f t="shared" si="39"/>
        <v>1.76</v>
      </c>
      <c r="W147" s="129">
        <f t="shared" si="39"/>
        <v>1.76</v>
      </c>
      <c r="X147" s="129">
        <f t="shared" si="39"/>
        <v>1.76</v>
      </c>
      <c r="Y147" s="129">
        <f t="shared" si="39"/>
        <v>1.76</v>
      </c>
      <c r="Z147" s="129">
        <f t="shared" si="39"/>
        <v>1.76</v>
      </c>
      <c r="AA147" s="129">
        <f t="shared" si="39"/>
        <v>1.76</v>
      </c>
      <c r="AB147" s="129">
        <f t="shared" si="39"/>
        <v>1.76</v>
      </c>
      <c r="AC147" s="129">
        <f t="shared" si="39"/>
        <v>1.76</v>
      </c>
      <c r="AD147" s="129">
        <f t="shared" si="39"/>
        <v>1.76</v>
      </c>
      <c r="AE147" s="129">
        <f t="shared" si="39"/>
        <v>1.76</v>
      </c>
      <c r="AF147" s="129">
        <f t="shared" si="39"/>
        <v>1.76</v>
      </c>
      <c r="AG147" s="132">
        <v>4.2</v>
      </c>
      <c r="AH147" s="54"/>
      <c r="AI147" s="55"/>
      <c r="AK147" s="56"/>
    </row>
    <row r="148" spans="1:37" x14ac:dyDescent="0.25">
      <c r="A148" s="118" t="s">
        <v>151</v>
      </c>
      <c r="B148" s="129">
        <f>AF148</f>
        <v>0</v>
      </c>
      <c r="C148" s="130">
        <v>0</v>
      </c>
      <c r="D148" s="129">
        <f t="shared" si="38"/>
        <v>0</v>
      </c>
      <c r="E148" s="129">
        <f t="shared" si="38"/>
        <v>0</v>
      </c>
      <c r="F148" s="129">
        <f t="shared" si="38"/>
        <v>0</v>
      </c>
      <c r="G148" s="129">
        <f t="shared" si="38"/>
        <v>0</v>
      </c>
      <c r="H148" s="129">
        <f t="shared" si="38"/>
        <v>0</v>
      </c>
      <c r="I148" s="129">
        <f t="shared" si="38"/>
        <v>0</v>
      </c>
      <c r="J148" s="129">
        <f t="shared" si="38"/>
        <v>0</v>
      </c>
      <c r="K148" s="129">
        <f t="shared" si="38"/>
        <v>0</v>
      </c>
      <c r="L148" s="129">
        <f t="shared" si="38"/>
        <v>0</v>
      </c>
      <c r="M148" s="129">
        <f t="shared" si="38"/>
        <v>0</v>
      </c>
      <c r="N148" s="129">
        <f t="shared" si="38"/>
        <v>0</v>
      </c>
      <c r="O148" s="129">
        <f t="shared" si="38"/>
        <v>0</v>
      </c>
      <c r="P148" s="129">
        <f t="shared" si="38"/>
        <v>0</v>
      </c>
      <c r="Q148" s="129">
        <f t="shared" si="38"/>
        <v>0</v>
      </c>
      <c r="R148" s="129">
        <f t="shared" si="38"/>
        <v>0</v>
      </c>
      <c r="S148" s="129">
        <f t="shared" si="38"/>
        <v>0</v>
      </c>
      <c r="T148" s="129">
        <f t="shared" si="39"/>
        <v>0</v>
      </c>
      <c r="U148" s="129">
        <f t="shared" si="39"/>
        <v>0</v>
      </c>
      <c r="V148" s="129">
        <f t="shared" si="39"/>
        <v>0</v>
      </c>
      <c r="W148" s="129">
        <f t="shared" si="39"/>
        <v>0</v>
      </c>
      <c r="X148" s="129">
        <f t="shared" si="39"/>
        <v>0</v>
      </c>
      <c r="Y148" s="129">
        <f t="shared" si="39"/>
        <v>0</v>
      </c>
      <c r="Z148" s="129">
        <f t="shared" si="39"/>
        <v>0</v>
      </c>
      <c r="AA148" s="129">
        <f t="shared" si="39"/>
        <v>0</v>
      </c>
      <c r="AB148" s="129">
        <f t="shared" si="39"/>
        <v>0</v>
      </c>
      <c r="AC148" s="129">
        <f t="shared" si="39"/>
        <v>0</v>
      </c>
      <c r="AD148" s="129">
        <f t="shared" si="39"/>
        <v>0</v>
      </c>
      <c r="AE148" s="129">
        <f t="shared" si="39"/>
        <v>0</v>
      </c>
      <c r="AF148" s="129">
        <f t="shared" si="39"/>
        <v>0</v>
      </c>
      <c r="AG148" s="132">
        <v>4</v>
      </c>
      <c r="AH148" s="54"/>
      <c r="AI148" s="55"/>
      <c r="AK148" s="56"/>
    </row>
    <row r="149" spans="1:37" x14ac:dyDescent="0.25">
      <c r="A149" s="118" t="s">
        <v>152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4</v>
      </c>
      <c r="AH149" s="54"/>
      <c r="AI149" s="55"/>
      <c r="AK149" s="56"/>
    </row>
    <row r="150" spans="1:37" x14ac:dyDescent="0.25">
      <c r="A150" s="118" t="s">
        <v>153</v>
      </c>
      <c r="B150" s="129">
        <f>AF150</f>
        <v>0.1</v>
      </c>
      <c r="C150" s="130">
        <v>0.1</v>
      </c>
      <c r="D150" s="129">
        <f t="shared" ref="D150:S153" si="40">C150</f>
        <v>0.1</v>
      </c>
      <c r="E150" s="129">
        <f t="shared" si="40"/>
        <v>0.1</v>
      </c>
      <c r="F150" s="129">
        <f t="shared" si="40"/>
        <v>0.1</v>
      </c>
      <c r="G150" s="129">
        <f t="shared" si="40"/>
        <v>0.1</v>
      </c>
      <c r="H150" s="129">
        <f t="shared" si="40"/>
        <v>0.1</v>
      </c>
      <c r="I150" s="129">
        <f t="shared" si="40"/>
        <v>0.1</v>
      </c>
      <c r="J150" s="129">
        <f t="shared" si="40"/>
        <v>0.1</v>
      </c>
      <c r="K150" s="129">
        <f t="shared" si="40"/>
        <v>0.1</v>
      </c>
      <c r="L150" s="129">
        <f t="shared" si="40"/>
        <v>0.1</v>
      </c>
      <c r="M150" s="129">
        <f t="shared" si="40"/>
        <v>0.1</v>
      </c>
      <c r="N150" s="129">
        <f t="shared" si="40"/>
        <v>0.1</v>
      </c>
      <c r="O150" s="129">
        <f t="shared" si="40"/>
        <v>0.1</v>
      </c>
      <c r="P150" s="129">
        <f t="shared" si="40"/>
        <v>0.1</v>
      </c>
      <c r="Q150" s="129">
        <f t="shared" si="40"/>
        <v>0.1</v>
      </c>
      <c r="R150" s="129">
        <f t="shared" si="40"/>
        <v>0.1</v>
      </c>
      <c r="S150" s="129">
        <f t="shared" si="40"/>
        <v>0.1</v>
      </c>
      <c r="T150" s="129">
        <f t="shared" ref="T150:AF153" si="41">S150</f>
        <v>0.1</v>
      </c>
      <c r="U150" s="129">
        <f t="shared" si="41"/>
        <v>0.1</v>
      </c>
      <c r="V150" s="129">
        <f t="shared" si="41"/>
        <v>0.1</v>
      </c>
      <c r="W150" s="129">
        <f t="shared" si="41"/>
        <v>0.1</v>
      </c>
      <c r="X150" s="129">
        <f t="shared" si="41"/>
        <v>0.1</v>
      </c>
      <c r="Y150" s="129">
        <f t="shared" si="41"/>
        <v>0.1</v>
      </c>
      <c r="Z150" s="129">
        <f t="shared" si="41"/>
        <v>0.1</v>
      </c>
      <c r="AA150" s="129">
        <f t="shared" si="41"/>
        <v>0.1</v>
      </c>
      <c r="AB150" s="129">
        <f t="shared" si="41"/>
        <v>0.1</v>
      </c>
      <c r="AC150" s="129">
        <f t="shared" si="41"/>
        <v>0.1</v>
      </c>
      <c r="AD150" s="129">
        <f t="shared" si="41"/>
        <v>0.1</v>
      </c>
      <c r="AE150" s="129">
        <f t="shared" si="41"/>
        <v>0.1</v>
      </c>
      <c r="AF150" s="129">
        <f t="shared" si="41"/>
        <v>0.1</v>
      </c>
      <c r="AG150" s="132">
        <v>4</v>
      </c>
      <c r="AH150" s="54"/>
      <c r="AI150" s="55"/>
      <c r="AK150" s="56"/>
    </row>
    <row r="151" spans="1:37" x14ac:dyDescent="0.25">
      <c r="A151" s="118" t="s">
        <v>154</v>
      </c>
      <c r="B151" s="129">
        <f>AF151</f>
        <v>2.0499999999999998</v>
      </c>
      <c r="C151" s="130">
        <v>2.0499999999999998</v>
      </c>
      <c r="D151" s="129">
        <f t="shared" si="40"/>
        <v>2.0499999999999998</v>
      </c>
      <c r="E151" s="129">
        <f t="shared" si="40"/>
        <v>2.0499999999999998</v>
      </c>
      <c r="F151" s="129">
        <f t="shared" si="40"/>
        <v>2.0499999999999998</v>
      </c>
      <c r="G151" s="129">
        <f t="shared" si="40"/>
        <v>2.0499999999999998</v>
      </c>
      <c r="H151" s="129">
        <f t="shared" si="40"/>
        <v>2.0499999999999998</v>
      </c>
      <c r="I151" s="129">
        <f t="shared" si="40"/>
        <v>2.0499999999999998</v>
      </c>
      <c r="J151" s="129">
        <f t="shared" si="40"/>
        <v>2.0499999999999998</v>
      </c>
      <c r="K151" s="129">
        <f t="shared" si="40"/>
        <v>2.0499999999999998</v>
      </c>
      <c r="L151" s="129">
        <f t="shared" si="40"/>
        <v>2.0499999999999998</v>
      </c>
      <c r="M151" s="129">
        <f t="shared" si="40"/>
        <v>2.0499999999999998</v>
      </c>
      <c r="N151" s="129">
        <f t="shared" si="40"/>
        <v>2.0499999999999998</v>
      </c>
      <c r="O151" s="129">
        <f t="shared" si="40"/>
        <v>2.0499999999999998</v>
      </c>
      <c r="P151" s="129">
        <f t="shared" si="40"/>
        <v>2.0499999999999998</v>
      </c>
      <c r="Q151" s="129">
        <f t="shared" si="40"/>
        <v>2.0499999999999998</v>
      </c>
      <c r="R151" s="129">
        <f t="shared" si="40"/>
        <v>2.0499999999999998</v>
      </c>
      <c r="S151" s="129">
        <f t="shared" si="40"/>
        <v>2.0499999999999998</v>
      </c>
      <c r="T151" s="129">
        <f t="shared" si="41"/>
        <v>2.0499999999999998</v>
      </c>
      <c r="U151" s="129">
        <f t="shared" si="41"/>
        <v>2.0499999999999998</v>
      </c>
      <c r="V151" s="129">
        <f t="shared" si="41"/>
        <v>2.0499999999999998</v>
      </c>
      <c r="W151" s="129">
        <f t="shared" si="41"/>
        <v>2.0499999999999998</v>
      </c>
      <c r="X151" s="129">
        <f t="shared" si="41"/>
        <v>2.0499999999999998</v>
      </c>
      <c r="Y151" s="129">
        <f t="shared" si="41"/>
        <v>2.0499999999999998</v>
      </c>
      <c r="Z151" s="129">
        <f t="shared" si="41"/>
        <v>2.0499999999999998</v>
      </c>
      <c r="AA151" s="129">
        <f t="shared" si="41"/>
        <v>2.0499999999999998</v>
      </c>
      <c r="AB151" s="129">
        <f t="shared" si="41"/>
        <v>2.0499999999999998</v>
      </c>
      <c r="AC151" s="129">
        <f t="shared" si="41"/>
        <v>2.0499999999999998</v>
      </c>
      <c r="AD151" s="129">
        <f t="shared" si="41"/>
        <v>2.0499999999999998</v>
      </c>
      <c r="AE151" s="129">
        <f t="shared" si="41"/>
        <v>2.0499999999999998</v>
      </c>
      <c r="AF151" s="129">
        <f t="shared" si="41"/>
        <v>2.0499999999999998</v>
      </c>
      <c r="AG151" s="132">
        <v>4</v>
      </c>
      <c r="AH151" s="54"/>
      <c r="AI151" s="55"/>
      <c r="AK151" s="56"/>
    </row>
    <row r="152" spans="1:37" x14ac:dyDescent="0.25">
      <c r="A152" s="118" t="s">
        <v>155</v>
      </c>
      <c r="B152" s="129">
        <f>AF152</f>
        <v>2.7</v>
      </c>
      <c r="C152" s="130">
        <v>2.7</v>
      </c>
      <c r="D152" s="129">
        <f t="shared" si="40"/>
        <v>2.7</v>
      </c>
      <c r="E152" s="129">
        <f t="shared" si="40"/>
        <v>2.7</v>
      </c>
      <c r="F152" s="129">
        <f t="shared" si="40"/>
        <v>2.7</v>
      </c>
      <c r="G152" s="129">
        <f t="shared" si="40"/>
        <v>2.7</v>
      </c>
      <c r="H152" s="129">
        <f t="shared" si="40"/>
        <v>2.7</v>
      </c>
      <c r="I152" s="129">
        <f t="shared" si="40"/>
        <v>2.7</v>
      </c>
      <c r="J152" s="129">
        <f t="shared" si="40"/>
        <v>2.7</v>
      </c>
      <c r="K152" s="129">
        <f t="shared" si="40"/>
        <v>2.7</v>
      </c>
      <c r="L152" s="129">
        <f t="shared" si="40"/>
        <v>2.7</v>
      </c>
      <c r="M152" s="129">
        <f t="shared" si="40"/>
        <v>2.7</v>
      </c>
      <c r="N152" s="129">
        <f t="shared" si="40"/>
        <v>2.7</v>
      </c>
      <c r="O152" s="129">
        <f t="shared" si="40"/>
        <v>2.7</v>
      </c>
      <c r="P152" s="129">
        <f t="shared" si="40"/>
        <v>2.7</v>
      </c>
      <c r="Q152" s="129">
        <f t="shared" si="40"/>
        <v>2.7</v>
      </c>
      <c r="R152" s="129">
        <f t="shared" si="40"/>
        <v>2.7</v>
      </c>
      <c r="S152" s="129">
        <f t="shared" si="40"/>
        <v>2.7</v>
      </c>
      <c r="T152" s="129">
        <f t="shared" si="41"/>
        <v>2.7</v>
      </c>
      <c r="U152" s="129">
        <f t="shared" si="41"/>
        <v>2.7</v>
      </c>
      <c r="V152" s="129">
        <f t="shared" si="41"/>
        <v>2.7</v>
      </c>
      <c r="W152" s="129">
        <f t="shared" si="41"/>
        <v>2.7</v>
      </c>
      <c r="X152" s="129">
        <f t="shared" si="41"/>
        <v>2.7</v>
      </c>
      <c r="Y152" s="129">
        <f t="shared" si="41"/>
        <v>2.7</v>
      </c>
      <c r="Z152" s="129">
        <f t="shared" si="41"/>
        <v>2.7</v>
      </c>
      <c r="AA152" s="129">
        <f t="shared" si="41"/>
        <v>2.7</v>
      </c>
      <c r="AB152" s="129">
        <f t="shared" si="41"/>
        <v>2.7</v>
      </c>
      <c r="AC152" s="129">
        <f t="shared" si="41"/>
        <v>2.7</v>
      </c>
      <c r="AD152" s="129">
        <f t="shared" si="41"/>
        <v>2.7</v>
      </c>
      <c r="AE152" s="129">
        <f t="shared" si="41"/>
        <v>2.7</v>
      </c>
      <c r="AF152" s="129">
        <f t="shared" si="41"/>
        <v>2.7</v>
      </c>
      <c r="AG152" s="132">
        <v>4</v>
      </c>
      <c r="AH152" s="54"/>
      <c r="AI152" s="55"/>
      <c r="AK152" s="56"/>
    </row>
    <row r="153" spans="1:37" x14ac:dyDescent="0.25">
      <c r="A153" s="118" t="s">
        <v>156</v>
      </c>
      <c r="B153" s="129">
        <f>AF153</f>
        <v>2.15</v>
      </c>
      <c r="C153" s="130">
        <v>2.15</v>
      </c>
      <c r="D153" s="129">
        <f t="shared" si="40"/>
        <v>2.15</v>
      </c>
      <c r="E153" s="129">
        <f t="shared" si="40"/>
        <v>2.15</v>
      </c>
      <c r="F153" s="129">
        <f t="shared" si="40"/>
        <v>2.15</v>
      </c>
      <c r="G153" s="129">
        <f t="shared" si="40"/>
        <v>2.15</v>
      </c>
      <c r="H153" s="129">
        <f t="shared" si="40"/>
        <v>2.15</v>
      </c>
      <c r="I153" s="129">
        <f t="shared" si="40"/>
        <v>2.15</v>
      </c>
      <c r="J153" s="129">
        <f t="shared" si="40"/>
        <v>2.15</v>
      </c>
      <c r="K153" s="129">
        <f t="shared" si="40"/>
        <v>2.15</v>
      </c>
      <c r="L153" s="129">
        <f t="shared" si="40"/>
        <v>2.15</v>
      </c>
      <c r="M153" s="129">
        <f t="shared" si="40"/>
        <v>2.15</v>
      </c>
      <c r="N153" s="129">
        <f t="shared" si="40"/>
        <v>2.15</v>
      </c>
      <c r="O153" s="129">
        <f t="shared" si="40"/>
        <v>2.15</v>
      </c>
      <c r="P153" s="129">
        <f t="shared" si="40"/>
        <v>2.15</v>
      </c>
      <c r="Q153" s="129">
        <f t="shared" si="40"/>
        <v>2.15</v>
      </c>
      <c r="R153" s="129">
        <f t="shared" si="40"/>
        <v>2.15</v>
      </c>
      <c r="S153" s="129">
        <f t="shared" si="40"/>
        <v>2.15</v>
      </c>
      <c r="T153" s="129">
        <f t="shared" si="41"/>
        <v>2.15</v>
      </c>
      <c r="U153" s="129">
        <f t="shared" si="41"/>
        <v>2.15</v>
      </c>
      <c r="V153" s="129">
        <f t="shared" si="41"/>
        <v>2.15</v>
      </c>
      <c r="W153" s="129">
        <f t="shared" si="41"/>
        <v>2.15</v>
      </c>
      <c r="X153" s="129">
        <f t="shared" si="41"/>
        <v>2.15</v>
      </c>
      <c r="Y153" s="129">
        <f t="shared" si="41"/>
        <v>2.15</v>
      </c>
      <c r="Z153" s="129">
        <f t="shared" si="41"/>
        <v>2.15</v>
      </c>
      <c r="AA153" s="129">
        <f t="shared" si="41"/>
        <v>2.15</v>
      </c>
      <c r="AB153" s="129">
        <f t="shared" si="41"/>
        <v>2.15</v>
      </c>
      <c r="AC153" s="129">
        <f t="shared" si="41"/>
        <v>2.15</v>
      </c>
      <c r="AD153" s="129">
        <f t="shared" si="41"/>
        <v>2.15</v>
      </c>
      <c r="AE153" s="129">
        <f t="shared" si="41"/>
        <v>2.15</v>
      </c>
      <c r="AF153" s="129">
        <f t="shared" si="41"/>
        <v>2.15</v>
      </c>
      <c r="AG153" s="132">
        <v>4</v>
      </c>
      <c r="AH153" s="54"/>
      <c r="AI153" s="55"/>
      <c r="AK153" s="56"/>
    </row>
    <row r="154" spans="1:37" x14ac:dyDescent="0.25">
      <c r="A154" s="118" t="s">
        <v>157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4</v>
      </c>
      <c r="AH154" s="54"/>
      <c r="AI154" s="55"/>
      <c r="AK154" s="56"/>
    </row>
    <row r="155" spans="1:37" x14ac:dyDescent="0.25">
      <c r="A155" s="118" t="s">
        <v>158</v>
      </c>
      <c r="B155" s="129">
        <f t="shared" ref="B155:B167" si="42">AF155</f>
        <v>0.9</v>
      </c>
      <c r="C155" s="130">
        <v>0.9</v>
      </c>
      <c r="D155" s="129">
        <f t="shared" ref="D155:S167" si="43">C155</f>
        <v>0.9</v>
      </c>
      <c r="E155" s="129">
        <f t="shared" si="43"/>
        <v>0.9</v>
      </c>
      <c r="F155" s="129">
        <f t="shared" si="43"/>
        <v>0.9</v>
      </c>
      <c r="G155" s="129">
        <f t="shared" si="43"/>
        <v>0.9</v>
      </c>
      <c r="H155" s="129">
        <f t="shared" si="43"/>
        <v>0.9</v>
      </c>
      <c r="I155" s="129">
        <f t="shared" si="43"/>
        <v>0.9</v>
      </c>
      <c r="J155" s="129">
        <f t="shared" si="43"/>
        <v>0.9</v>
      </c>
      <c r="K155" s="129">
        <f t="shared" si="43"/>
        <v>0.9</v>
      </c>
      <c r="L155" s="129">
        <f t="shared" si="43"/>
        <v>0.9</v>
      </c>
      <c r="M155" s="129">
        <f t="shared" si="43"/>
        <v>0.9</v>
      </c>
      <c r="N155" s="129">
        <f t="shared" si="43"/>
        <v>0.9</v>
      </c>
      <c r="O155" s="129">
        <f t="shared" si="43"/>
        <v>0.9</v>
      </c>
      <c r="P155" s="129">
        <f t="shared" si="43"/>
        <v>0.9</v>
      </c>
      <c r="Q155" s="129">
        <f t="shared" si="43"/>
        <v>0.9</v>
      </c>
      <c r="R155" s="129">
        <f t="shared" si="43"/>
        <v>0.9</v>
      </c>
      <c r="S155" s="129">
        <f t="shared" si="43"/>
        <v>0.9</v>
      </c>
      <c r="T155" s="129">
        <f t="shared" ref="S155:AF167" si="44">S155</f>
        <v>0.9</v>
      </c>
      <c r="U155" s="129">
        <f t="shared" si="44"/>
        <v>0.9</v>
      </c>
      <c r="V155" s="129">
        <f t="shared" si="44"/>
        <v>0.9</v>
      </c>
      <c r="W155" s="129">
        <f t="shared" si="44"/>
        <v>0.9</v>
      </c>
      <c r="X155" s="129">
        <f t="shared" si="44"/>
        <v>0.9</v>
      </c>
      <c r="Y155" s="129">
        <f t="shared" si="44"/>
        <v>0.9</v>
      </c>
      <c r="Z155" s="129">
        <f t="shared" si="44"/>
        <v>0.9</v>
      </c>
      <c r="AA155" s="129">
        <f t="shared" si="44"/>
        <v>0.9</v>
      </c>
      <c r="AB155" s="129">
        <f t="shared" si="44"/>
        <v>0.9</v>
      </c>
      <c r="AC155" s="129">
        <f t="shared" si="44"/>
        <v>0.9</v>
      </c>
      <c r="AD155" s="129">
        <f t="shared" si="44"/>
        <v>0.9</v>
      </c>
      <c r="AE155" s="129">
        <f t="shared" si="44"/>
        <v>0.9</v>
      </c>
      <c r="AF155" s="129">
        <f t="shared" si="44"/>
        <v>0.9</v>
      </c>
      <c r="AG155" s="132">
        <v>4</v>
      </c>
      <c r="AH155" s="54"/>
      <c r="AI155" s="55"/>
      <c r="AK155" s="56"/>
    </row>
    <row r="156" spans="1:37" x14ac:dyDescent="0.25">
      <c r="A156" s="118" t="s">
        <v>159</v>
      </c>
      <c r="B156" s="129">
        <f t="shared" si="42"/>
        <v>1.08</v>
      </c>
      <c r="C156" s="130">
        <v>1.08</v>
      </c>
      <c r="D156" s="129">
        <f t="shared" si="43"/>
        <v>1.08</v>
      </c>
      <c r="E156" s="129">
        <f t="shared" si="43"/>
        <v>1.08</v>
      </c>
      <c r="F156" s="129">
        <f t="shared" si="43"/>
        <v>1.08</v>
      </c>
      <c r="G156" s="129">
        <f t="shared" si="43"/>
        <v>1.08</v>
      </c>
      <c r="H156" s="129">
        <f t="shared" si="43"/>
        <v>1.08</v>
      </c>
      <c r="I156" s="129">
        <f t="shared" si="43"/>
        <v>1.08</v>
      </c>
      <c r="J156" s="129">
        <f t="shared" si="43"/>
        <v>1.08</v>
      </c>
      <c r="K156" s="129">
        <f t="shared" si="43"/>
        <v>1.08</v>
      </c>
      <c r="L156" s="129">
        <f t="shared" si="43"/>
        <v>1.08</v>
      </c>
      <c r="M156" s="129">
        <f t="shared" si="43"/>
        <v>1.08</v>
      </c>
      <c r="N156" s="129">
        <f t="shared" si="43"/>
        <v>1.08</v>
      </c>
      <c r="O156" s="129">
        <f t="shared" si="43"/>
        <v>1.08</v>
      </c>
      <c r="P156" s="129">
        <f t="shared" si="43"/>
        <v>1.08</v>
      </c>
      <c r="Q156" s="129">
        <f t="shared" si="43"/>
        <v>1.08</v>
      </c>
      <c r="R156" s="129">
        <f t="shared" si="43"/>
        <v>1.08</v>
      </c>
      <c r="S156" s="129">
        <f t="shared" si="43"/>
        <v>1.08</v>
      </c>
      <c r="T156" s="129">
        <f t="shared" si="44"/>
        <v>1.08</v>
      </c>
      <c r="U156" s="129">
        <f t="shared" si="44"/>
        <v>1.08</v>
      </c>
      <c r="V156" s="129">
        <f t="shared" si="44"/>
        <v>1.08</v>
      </c>
      <c r="W156" s="129">
        <f t="shared" si="44"/>
        <v>1.08</v>
      </c>
      <c r="X156" s="129">
        <f t="shared" si="44"/>
        <v>1.08</v>
      </c>
      <c r="Y156" s="129">
        <f t="shared" si="44"/>
        <v>1.08</v>
      </c>
      <c r="Z156" s="129">
        <f t="shared" si="44"/>
        <v>1.08</v>
      </c>
      <c r="AA156" s="129">
        <f t="shared" si="44"/>
        <v>1.08</v>
      </c>
      <c r="AB156" s="129">
        <f t="shared" si="44"/>
        <v>1.08</v>
      </c>
      <c r="AC156" s="129">
        <f t="shared" si="44"/>
        <v>1.08</v>
      </c>
      <c r="AD156" s="129">
        <f t="shared" si="44"/>
        <v>1.08</v>
      </c>
      <c r="AE156" s="129">
        <f t="shared" si="44"/>
        <v>1.08</v>
      </c>
      <c r="AF156" s="129">
        <f t="shared" si="44"/>
        <v>1.08</v>
      </c>
      <c r="AG156" s="132">
        <v>3.75</v>
      </c>
      <c r="AH156" s="54"/>
      <c r="AI156" s="55"/>
      <c r="AK156" s="56"/>
    </row>
    <row r="157" spans="1:37" x14ac:dyDescent="0.25">
      <c r="A157" s="118" t="s">
        <v>160</v>
      </c>
      <c r="B157" s="129">
        <f t="shared" si="42"/>
        <v>2.37</v>
      </c>
      <c r="C157" s="130">
        <v>2.37</v>
      </c>
      <c r="D157" s="129">
        <f t="shared" si="43"/>
        <v>2.37</v>
      </c>
      <c r="E157" s="129">
        <f t="shared" si="43"/>
        <v>2.37</v>
      </c>
      <c r="F157" s="129">
        <f t="shared" si="43"/>
        <v>2.37</v>
      </c>
      <c r="G157" s="129">
        <f t="shared" si="43"/>
        <v>2.37</v>
      </c>
      <c r="H157" s="129">
        <f t="shared" si="43"/>
        <v>2.37</v>
      </c>
      <c r="I157" s="129">
        <f t="shared" si="43"/>
        <v>2.37</v>
      </c>
      <c r="J157" s="129">
        <f t="shared" si="43"/>
        <v>2.37</v>
      </c>
      <c r="K157" s="129">
        <f t="shared" si="43"/>
        <v>2.37</v>
      </c>
      <c r="L157" s="129">
        <f t="shared" si="43"/>
        <v>2.37</v>
      </c>
      <c r="M157" s="129">
        <f t="shared" si="43"/>
        <v>2.37</v>
      </c>
      <c r="N157" s="129">
        <f t="shared" si="43"/>
        <v>2.37</v>
      </c>
      <c r="O157" s="129">
        <f t="shared" si="43"/>
        <v>2.37</v>
      </c>
      <c r="P157" s="129">
        <f t="shared" si="43"/>
        <v>2.37</v>
      </c>
      <c r="Q157" s="129">
        <f t="shared" si="43"/>
        <v>2.37</v>
      </c>
      <c r="R157" s="129">
        <f t="shared" si="43"/>
        <v>2.37</v>
      </c>
      <c r="S157" s="129">
        <f t="shared" si="43"/>
        <v>2.37</v>
      </c>
      <c r="T157" s="129">
        <f t="shared" si="44"/>
        <v>2.37</v>
      </c>
      <c r="U157" s="129">
        <f t="shared" si="44"/>
        <v>2.37</v>
      </c>
      <c r="V157" s="129">
        <f t="shared" si="44"/>
        <v>2.37</v>
      </c>
      <c r="W157" s="129">
        <f t="shared" si="44"/>
        <v>2.37</v>
      </c>
      <c r="X157" s="129">
        <f t="shared" si="44"/>
        <v>2.37</v>
      </c>
      <c r="Y157" s="129">
        <f t="shared" si="44"/>
        <v>2.37</v>
      </c>
      <c r="Z157" s="129">
        <f t="shared" si="44"/>
        <v>2.37</v>
      </c>
      <c r="AA157" s="129">
        <f t="shared" si="44"/>
        <v>2.37</v>
      </c>
      <c r="AB157" s="129">
        <f t="shared" si="44"/>
        <v>2.37</v>
      </c>
      <c r="AC157" s="129">
        <f t="shared" si="44"/>
        <v>2.37</v>
      </c>
      <c r="AD157" s="129">
        <f t="shared" si="44"/>
        <v>2.37</v>
      </c>
      <c r="AE157" s="129">
        <f t="shared" si="44"/>
        <v>2.37</v>
      </c>
      <c r="AF157" s="129">
        <f t="shared" si="44"/>
        <v>2.37</v>
      </c>
      <c r="AG157" s="132">
        <v>3.52</v>
      </c>
      <c r="AH157" s="54"/>
      <c r="AI157" s="55"/>
      <c r="AK157" s="56"/>
    </row>
    <row r="158" spans="1:37" x14ac:dyDescent="0.25">
      <c r="A158" s="118" t="s">
        <v>161</v>
      </c>
      <c r="B158" s="129">
        <f t="shared" si="42"/>
        <v>1.81</v>
      </c>
      <c r="C158" s="130">
        <v>1.81</v>
      </c>
      <c r="D158" s="129">
        <f t="shared" si="43"/>
        <v>1.81</v>
      </c>
      <c r="E158" s="129">
        <f t="shared" si="43"/>
        <v>1.81</v>
      </c>
      <c r="F158" s="129">
        <f t="shared" si="43"/>
        <v>1.81</v>
      </c>
      <c r="G158" s="129">
        <f t="shared" si="43"/>
        <v>1.81</v>
      </c>
      <c r="H158" s="129">
        <f t="shared" si="43"/>
        <v>1.81</v>
      </c>
      <c r="I158" s="129">
        <f t="shared" si="43"/>
        <v>1.81</v>
      </c>
      <c r="J158" s="129">
        <f t="shared" si="43"/>
        <v>1.81</v>
      </c>
      <c r="K158" s="129">
        <f t="shared" si="43"/>
        <v>1.81</v>
      </c>
      <c r="L158" s="129">
        <f t="shared" si="43"/>
        <v>1.81</v>
      </c>
      <c r="M158" s="129">
        <f t="shared" si="43"/>
        <v>1.81</v>
      </c>
      <c r="N158" s="129">
        <f t="shared" si="43"/>
        <v>1.81</v>
      </c>
      <c r="O158" s="129">
        <f t="shared" si="43"/>
        <v>1.81</v>
      </c>
      <c r="P158" s="129">
        <f t="shared" si="43"/>
        <v>1.81</v>
      </c>
      <c r="Q158" s="129">
        <f t="shared" si="43"/>
        <v>1.81</v>
      </c>
      <c r="R158" s="129">
        <f t="shared" si="43"/>
        <v>1.81</v>
      </c>
      <c r="S158" s="129">
        <f t="shared" si="43"/>
        <v>1.81</v>
      </c>
      <c r="T158" s="129">
        <f t="shared" si="44"/>
        <v>1.81</v>
      </c>
      <c r="U158" s="129">
        <f t="shared" si="44"/>
        <v>1.81</v>
      </c>
      <c r="V158" s="129">
        <f t="shared" si="44"/>
        <v>1.81</v>
      </c>
      <c r="W158" s="129">
        <f t="shared" si="44"/>
        <v>1.81</v>
      </c>
      <c r="X158" s="129">
        <f t="shared" si="44"/>
        <v>1.81</v>
      </c>
      <c r="Y158" s="129">
        <f t="shared" si="44"/>
        <v>1.81</v>
      </c>
      <c r="Z158" s="129">
        <f t="shared" si="44"/>
        <v>1.81</v>
      </c>
      <c r="AA158" s="129">
        <f t="shared" si="44"/>
        <v>1.81</v>
      </c>
      <c r="AB158" s="129">
        <f t="shared" si="44"/>
        <v>1.81</v>
      </c>
      <c r="AC158" s="129">
        <f t="shared" si="44"/>
        <v>1.81</v>
      </c>
      <c r="AD158" s="129">
        <f t="shared" si="44"/>
        <v>1.81</v>
      </c>
      <c r="AE158" s="129">
        <f t="shared" si="44"/>
        <v>1.81</v>
      </c>
      <c r="AF158" s="129">
        <f t="shared" si="44"/>
        <v>1.81</v>
      </c>
      <c r="AG158" s="132">
        <v>3.33</v>
      </c>
      <c r="AH158" s="54"/>
      <c r="AI158" s="55"/>
      <c r="AK158" s="56"/>
    </row>
    <row r="159" spans="1:37" x14ac:dyDescent="0.25">
      <c r="A159" s="118" t="s">
        <v>162</v>
      </c>
      <c r="B159" s="129">
        <f t="shared" si="42"/>
        <v>1.0900000000000001</v>
      </c>
      <c r="C159" s="130">
        <v>1.0900000000000001</v>
      </c>
      <c r="D159" s="129">
        <f t="shared" si="43"/>
        <v>1.0900000000000001</v>
      </c>
      <c r="E159" s="129">
        <f t="shared" si="43"/>
        <v>1.0900000000000001</v>
      </c>
      <c r="F159" s="129">
        <f t="shared" si="43"/>
        <v>1.0900000000000001</v>
      </c>
      <c r="G159" s="129">
        <f t="shared" si="43"/>
        <v>1.0900000000000001</v>
      </c>
      <c r="H159" s="129">
        <f t="shared" si="43"/>
        <v>1.0900000000000001</v>
      </c>
      <c r="I159" s="129">
        <f t="shared" si="43"/>
        <v>1.0900000000000001</v>
      </c>
      <c r="J159" s="129">
        <f t="shared" si="43"/>
        <v>1.0900000000000001</v>
      </c>
      <c r="K159" s="129">
        <f t="shared" si="43"/>
        <v>1.0900000000000001</v>
      </c>
      <c r="L159" s="129">
        <f t="shared" si="43"/>
        <v>1.0900000000000001</v>
      </c>
      <c r="M159" s="129">
        <f t="shared" si="43"/>
        <v>1.0900000000000001</v>
      </c>
      <c r="N159" s="129">
        <f t="shared" si="43"/>
        <v>1.0900000000000001</v>
      </c>
      <c r="O159" s="129">
        <f t="shared" si="43"/>
        <v>1.0900000000000001</v>
      </c>
      <c r="P159" s="129">
        <f t="shared" si="43"/>
        <v>1.0900000000000001</v>
      </c>
      <c r="Q159" s="129">
        <f t="shared" si="43"/>
        <v>1.0900000000000001</v>
      </c>
      <c r="R159" s="129">
        <f t="shared" si="43"/>
        <v>1.0900000000000001</v>
      </c>
      <c r="S159" s="129">
        <f t="shared" si="43"/>
        <v>1.0900000000000001</v>
      </c>
      <c r="T159" s="129">
        <f t="shared" si="44"/>
        <v>1.0900000000000001</v>
      </c>
      <c r="U159" s="129">
        <f t="shared" si="44"/>
        <v>1.0900000000000001</v>
      </c>
      <c r="V159" s="129">
        <f t="shared" si="44"/>
        <v>1.0900000000000001</v>
      </c>
      <c r="W159" s="129">
        <f t="shared" si="44"/>
        <v>1.0900000000000001</v>
      </c>
      <c r="X159" s="129">
        <f t="shared" si="44"/>
        <v>1.0900000000000001</v>
      </c>
      <c r="Y159" s="129">
        <f t="shared" si="44"/>
        <v>1.0900000000000001</v>
      </c>
      <c r="Z159" s="129">
        <f t="shared" si="44"/>
        <v>1.0900000000000001</v>
      </c>
      <c r="AA159" s="129">
        <f t="shared" si="44"/>
        <v>1.0900000000000001</v>
      </c>
      <c r="AB159" s="129">
        <f t="shared" si="44"/>
        <v>1.0900000000000001</v>
      </c>
      <c r="AC159" s="129">
        <f t="shared" si="44"/>
        <v>1.0900000000000001</v>
      </c>
      <c r="AD159" s="129">
        <f t="shared" si="44"/>
        <v>1.0900000000000001</v>
      </c>
      <c r="AE159" s="129">
        <f t="shared" si="44"/>
        <v>1.0900000000000001</v>
      </c>
      <c r="AF159" s="129">
        <f t="shared" si="44"/>
        <v>1.0900000000000001</v>
      </c>
      <c r="AG159" s="132">
        <v>3.2</v>
      </c>
      <c r="AH159" s="54"/>
      <c r="AI159" s="55"/>
      <c r="AK159" s="56"/>
    </row>
    <row r="160" spans="1:37" x14ac:dyDescent="0.25">
      <c r="A160" s="118" t="s">
        <v>163</v>
      </c>
      <c r="B160" s="129">
        <f t="shared" si="42"/>
        <v>1.58</v>
      </c>
      <c r="C160" s="130">
        <v>1.58</v>
      </c>
      <c r="D160" s="129">
        <f t="shared" si="43"/>
        <v>1.58</v>
      </c>
      <c r="E160" s="129">
        <f t="shared" si="43"/>
        <v>1.58</v>
      </c>
      <c r="F160" s="129">
        <f t="shared" si="43"/>
        <v>1.58</v>
      </c>
      <c r="G160" s="129">
        <f t="shared" si="43"/>
        <v>1.58</v>
      </c>
      <c r="H160" s="129">
        <f t="shared" si="43"/>
        <v>1.58</v>
      </c>
      <c r="I160" s="129">
        <f t="shared" si="43"/>
        <v>1.58</v>
      </c>
      <c r="J160" s="129">
        <f t="shared" si="43"/>
        <v>1.58</v>
      </c>
      <c r="K160" s="129">
        <f t="shared" si="43"/>
        <v>1.58</v>
      </c>
      <c r="L160" s="129">
        <f t="shared" si="43"/>
        <v>1.58</v>
      </c>
      <c r="M160" s="129">
        <f t="shared" si="43"/>
        <v>1.58</v>
      </c>
      <c r="N160" s="129">
        <f t="shared" si="43"/>
        <v>1.58</v>
      </c>
      <c r="O160" s="129">
        <f t="shared" si="43"/>
        <v>1.58</v>
      </c>
      <c r="P160" s="129">
        <f t="shared" si="43"/>
        <v>1.58</v>
      </c>
      <c r="Q160" s="129">
        <f t="shared" si="43"/>
        <v>1.58</v>
      </c>
      <c r="R160" s="129">
        <f t="shared" si="43"/>
        <v>1.58</v>
      </c>
      <c r="S160" s="129">
        <f t="shared" si="43"/>
        <v>1.58</v>
      </c>
      <c r="T160" s="129">
        <f t="shared" si="44"/>
        <v>1.58</v>
      </c>
      <c r="U160" s="129">
        <f t="shared" si="44"/>
        <v>1.58</v>
      </c>
      <c r="V160" s="129">
        <f t="shared" si="44"/>
        <v>1.58</v>
      </c>
      <c r="W160" s="129">
        <f t="shared" si="44"/>
        <v>1.58</v>
      </c>
      <c r="X160" s="129">
        <f t="shared" si="44"/>
        <v>1.58</v>
      </c>
      <c r="Y160" s="129">
        <f t="shared" si="44"/>
        <v>1.58</v>
      </c>
      <c r="Z160" s="129">
        <f t="shared" si="44"/>
        <v>1.58</v>
      </c>
      <c r="AA160" s="129">
        <f t="shared" si="44"/>
        <v>1.58</v>
      </c>
      <c r="AB160" s="129">
        <f t="shared" si="44"/>
        <v>1.58</v>
      </c>
      <c r="AC160" s="129">
        <f t="shared" si="44"/>
        <v>1.58</v>
      </c>
      <c r="AD160" s="129">
        <f t="shared" si="44"/>
        <v>1.58</v>
      </c>
      <c r="AE160" s="129">
        <f t="shared" si="44"/>
        <v>1.58</v>
      </c>
      <c r="AF160" s="129">
        <f t="shared" si="44"/>
        <v>1.58</v>
      </c>
      <c r="AG160" s="132">
        <v>3</v>
      </c>
      <c r="AH160" s="54"/>
      <c r="AI160" s="55"/>
      <c r="AK160" s="56"/>
    </row>
    <row r="161" spans="1:37" x14ac:dyDescent="0.25">
      <c r="A161" s="118" t="s">
        <v>164</v>
      </c>
      <c r="B161" s="129">
        <f t="shared" si="42"/>
        <v>2</v>
      </c>
      <c r="C161" s="130">
        <v>2</v>
      </c>
      <c r="D161" s="129">
        <f t="shared" si="43"/>
        <v>2</v>
      </c>
      <c r="E161" s="129">
        <f t="shared" si="43"/>
        <v>2</v>
      </c>
      <c r="F161" s="129">
        <f t="shared" si="43"/>
        <v>2</v>
      </c>
      <c r="G161" s="129">
        <f t="shared" si="43"/>
        <v>2</v>
      </c>
      <c r="H161" s="129">
        <f t="shared" si="43"/>
        <v>2</v>
      </c>
      <c r="I161" s="129">
        <f t="shared" si="43"/>
        <v>2</v>
      </c>
      <c r="J161" s="129">
        <f t="shared" si="43"/>
        <v>2</v>
      </c>
      <c r="K161" s="129">
        <f t="shared" si="43"/>
        <v>2</v>
      </c>
      <c r="L161" s="129">
        <f t="shared" si="43"/>
        <v>2</v>
      </c>
      <c r="M161" s="129">
        <f t="shared" si="43"/>
        <v>2</v>
      </c>
      <c r="N161" s="129">
        <f t="shared" si="43"/>
        <v>2</v>
      </c>
      <c r="O161" s="129">
        <f t="shared" si="43"/>
        <v>2</v>
      </c>
      <c r="P161" s="129">
        <f t="shared" si="43"/>
        <v>2</v>
      </c>
      <c r="Q161" s="129">
        <f t="shared" si="43"/>
        <v>2</v>
      </c>
      <c r="R161" s="129">
        <f t="shared" si="43"/>
        <v>2</v>
      </c>
      <c r="S161" s="129">
        <f t="shared" si="43"/>
        <v>2</v>
      </c>
      <c r="T161" s="129">
        <f t="shared" si="44"/>
        <v>2</v>
      </c>
      <c r="U161" s="129">
        <f t="shared" si="44"/>
        <v>2</v>
      </c>
      <c r="V161" s="129">
        <f t="shared" si="44"/>
        <v>2</v>
      </c>
      <c r="W161" s="129">
        <f t="shared" si="44"/>
        <v>2</v>
      </c>
      <c r="X161" s="129">
        <f t="shared" si="44"/>
        <v>2</v>
      </c>
      <c r="Y161" s="129">
        <f t="shared" si="44"/>
        <v>2</v>
      </c>
      <c r="Z161" s="129">
        <f t="shared" si="44"/>
        <v>2</v>
      </c>
      <c r="AA161" s="129">
        <f t="shared" si="44"/>
        <v>2</v>
      </c>
      <c r="AB161" s="129">
        <f t="shared" si="44"/>
        <v>2</v>
      </c>
      <c r="AC161" s="129">
        <f t="shared" si="44"/>
        <v>2</v>
      </c>
      <c r="AD161" s="129">
        <f t="shared" si="44"/>
        <v>2</v>
      </c>
      <c r="AE161" s="129">
        <f t="shared" si="44"/>
        <v>2</v>
      </c>
      <c r="AF161" s="129">
        <f t="shared" si="44"/>
        <v>2</v>
      </c>
      <c r="AG161" s="132">
        <v>3</v>
      </c>
      <c r="AH161" s="54"/>
      <c r="AI161" s="55"/>
      <c r="AK161" s="56"/>
    </row>
    <row r="162" spans="1:37" x14ac:dyDescent="0.25">
      <c r="A162" s="118" t="s">
        <v>165</v>
      </c>
      <c r="B162" s="129">
        <f t="shared" si="42"/>
        <v>0.47</v>
      </c>
      <c r="C162" s="130">
        <v>0.47</v>
      </c>
      <c r="D162" s="129">
        <f t="shared" si="43"/>
        <v>0.47</v>
      </c>
      <c r="E162" s="129">
        <f t="shared" si="43"/>
        <v>0.47</v>
      </c>
      <c r="F162" s="129">
        <f t="shared" si="43"/>
        <v>0.47</v>
      </c>
      <c r="G162" s="129">
        <f t="shared" si="43"/>
        <v>0.47</v>
      </c>
      <c r="H162" s="129">
        <f t="shared" si="43"/>
        <v>0.47</v>
      </c>
      <c r="I162" s="129">
        <f t="shared" si="43"/>
        <v>0.47</v>
      </c>
      <c r="J162" s="129">
        <f t="shared" si="43"/>
        <v>0.47</v>
      </c>
      <c r="K162" s="129">
        <f t="shared" si="43"/>
        <v>0.47</v>
      </c>
      <c r="L162" s="129">
        <f t="shared" si="43"/>
        <v>0.47</v>
      </c>
      <c r="M162" s="129">
        <f t="shared" si="43"/>
        <v>0.47</v>
      </c>
      <c r="N162" s="129">
        <f t="shared" si="43"/>
        <v>0.47</v>
      </c>
      <c r="O162" s="129">
        <f t="shared" si="43"/>
        <v>0.47</v>
      </c>
      <c r="P162" s="129">
        <f t="shared" si="43"/>
        <v>0.47</v>
      </c>
      <c r="Q162" s="129">
        <f t="shared" si="43"/>
        <v>0.47</v>
      </c>
      <c r="R162" s="129">
        <f t="shared" si="43"/>
        <v>0.47</v>
      </c>
      <c r="S162" s="129">
        <f t="shared" si="43"/>
        <v>0.47</v>
      </c>
      <c r="T162" s="129">
        <f t="shared" si="44"/>
        <v>0.47</v>
      </c>
      <c r="U162" s="129">
        <f t="shared" si="44"/>
        <v>0.47</v>
      </c>
      <c r="V162" s="129">
        <f t="shared" si="44"/>
        <v>0.47</v>
      </c>
      <c r="W162" s="129">
        <f t="shared" si="44"/>
        <v>0.47</v>
      </c>
      <c r="X162" s="129">
        <f t="shared" si="44"/>
        <v>0.47</v>
      </c>
      <c r="Y162" s="129">
        <f t="shared" si="44"/>
        <v>0.47</v>
      </c>
      <c r="Z162" s="129">
        <f t="shared" si="44"/>
        <v>0.47</v>
      </c>
      <c r="AA162" s="129">
        <f t="shared" si="44"/>
        <v>0.47</v>
      </c>
      <c r="AB162" s="129">
        <f t="shared" si="44"/>
        <v>0.47</v>
      </c>
      <c r="AC162" s="129">
        <f t="shared" si="44"/>
        <v>0.47</v>
      </c>
      <c r="AD162" s="129">
        <f t="shared" si="44"/>
        <v>0.47</v>
      </c>
      <c r="AE162" s="129">
        <f t="shared" si="44"/>
        <v>0.47</v>
      </c>
      <c r="AF162" s="129">
        <f t="shared" si="44"/>
        <v>0.47</v>
      </c>
      <c r="AG162" s="132">
        <v>3</v>
      </c>
      <c r="AH162" s="54"/>
      <c r="AI162" s="55"/>
      <c r="AK162" s="56"/>
    </row>
    <row r="163" spans="1:37" x14ac:dyDescent="0.25">
      <c r="A163" s="118" t="s">
        <v>166</v>
      </c>
      <c r="B163" s="129">
        <f t="shared" si="42"/>
        <v>0</v>
      </c>
      <c r="C163" s="130">
        <v>0</v>
      </c>
      <c r="D163" s="129">
        <f t="shared" si="43"/>
        <v>0</v>
      </c>
      <c r="E163" s="129">
        <f t="shared" si="43"/>
        <v>0</v>
      </c>
      <c r="F163" s="129">
        <f t="shared" si="43"/>
        <v>0</v>
      </c>
      <c r="G163" s="129">
        <f t="shared" si="43"/>
        <v>0</v>
      </c>
      <c r="H163" s="129">
        <f t="shared" si="43"/>
        <v>0</v>
      </c>
      <c r="I163" s="129">
        <f t="shared" si="43"/>
        <v>0</v>
      </c>
      <c r="J163" s="129">
        <f t="shared" si="43"/>
        <v>0</v>
      </c>
      <c r="K163" s="129">
        <f t="shared" si="43"/>
        <v>0</v>
      </c>
      <c r="L163" s="129">
        <f t="shared" si="43"/>
        <v>0</v>
      </c>
      <c r="M163" s="129">
        <f t="shared" si="43"/>
        <v>0</v>
      </c>
      <c r="N163" s="129">
        <f t="shared" si="43"/>
        <v>0</v>
      </c>
      <c r="O163" s="129">
        <f t="shared" si="43"/>
        <v>0</v>
      </c>
      <c r="P163" s="129">
        <f t="shared" si="43"/>
        <v>0</v>
      </c>
      <c r="Q163" s="129">
        <f t="shared" si="43"/>
        <v>0</v>
      </c>
      <c r="R163" s="129">
        <f t="shared" si="43"/>
        <v>0</v>
      </c>
      <c r="S163" s="129">
        <f t="shared" si="43"/>
        <v>0</v>
      </c>
      <c r="T163" s="129">
        <f t="shared" si="44"/>
        <v>0</v>
      </c>
      <c r="U163" s="129">
        <f t="shared" si="44"/>
        <v>0</v>
      </c>
      <c r="V163" s="129">
        <f t="shared" si="44"/>
        <v>0</v>
      </c>
      <c r="W163" s="129">
        <f t="shared" si="44"/>
        <v>0</v>
      </c>
      <c r="X163" s="129">
        <f t="shared" si="44"/>
        <v>0</v>
      </c>
      <c r="Y163" s="129">
        <f t="shared" si="44"/>
        <v>0</v>
      </c>
      <c r="Z163" s="129">
        <f t="shared" si="44"/>
        <v>0</v>
      </c>
      <c r="AA163" s="129">
        <f t="shared" si="44"/>
        <v>0</v>
      </c>
      <c r="AB163" s="129">
        <f t="shared" si="44"/>
        <v>0</v>
      </c>
      <c r="AC163" s="129">
        <f t="shared" si="44"/>
        <v>0</v>
      </c>
      <c r="AD163" s="129">
        <f t="shared" si="44"/>
        <v>0</v>
      </c>
      <c r="AE163" s="129">
        <f t="shared" si="44"/>
        <v>0</v>
      </c>
      <c r="AF163" s="129">
        <f t="shared" si="44"/>
        <v>0</v>
      </c>
      <c r="AG163" s="132">
        <v>3</v>
      </c>
      <c r="AH163" s="54"/>
      <c r="AI163" s="55"/>
      <c r="AK163" s="56"/>
    </row>
    <row r="164" spans="1:37" x14ac:dyDescent="0.25">
      <c r="A164" s="118" t="s">
        <v>167</v>
      </c>
      <c r="B164" s="129">
        <f t="shared" si="42"/>
        <v>0</v>
      </c>
      <c r="C164" s="130">
        <v>0</v>
      </c>
      <c r="D164" s="129">
        <f t="shared" si="43"/>
        <v>0</v>
      </c>
      <c r="E164" s="129">
        <f t="shared" si="43"/>
        <v>0</v>
      </c>
      <c r="F164" s="129">
        <f t="shared" si="43"/>
        <v>0</v>
      </c>
      <c r="G164" s="129">
        <f t="shared" si="43"/>
        <v>0</v>
      </c>
      <c r="H164" s="129">
        <f t="shared" si="43"/>
        <v>0</v>
      </c>
      <c r="I164" s="129">
        <f t="shared" si="43"/>
        <v>0</v>
      </c>
      <c r="J164" s="129">
        <f t="shared" si="43"/>
        <v>0</v>
      </c>
      <c r="K164" s="129">
        <f t="shared" si="43"/>
        <v>0</v>
      </c>
      <c r="L164" s="129">
        <f t="shared" si="43"/>
        <v>0</v>
      </c>
      <c r="M164" s="129">
        <f t="shared" si="43"/>
        <v>0</v>
      </c>
      <c r="N164" s="129">
        <f t="shared" si="43"/>
        <v>0</v>
      </c>
      <c r="O164" s="129">
        <f t="shared" si="43"/>
        <v>0</v>
      </c>
      <c r="P164" s="129">
        <f t="shared" si="43"/>
        <v>0</v>
      </c>
      <c r="Q164" s="129">
        <f t="shared" si="43"/>
        <v>0</v>
      </c>
      <c r="R164" s="129">
        <f t="shared" si="43"/>
        <v>0</v>
      </c>
      <c r="S164" s="129">
        <f t="shared" si="44"/>
        <v>0</v>
      </c>
      <c r="T164" s="129">
        <f t="shared" si="44"/>
        <v>0</v>
      </c>
      <c r="U164" s="129">
        <f t="shared" si="44"/>
        <v>0</v>
      </c>
      <c r="V164" s="129">
        <f t="shared" si="44"/>
        <v>0</v>
      </c>
      <c r="W164" s="129">
        <f t="shared" si="44"/>
        <v>0</v>
      </c>
      <c r="X164" s="129">
        <f t="shared" si="44"/>
        <v>0</v>
      </c>
      <c r="Y164" s="129">
        <f t="shared" si="44"/>
        <v>0</v>
      </c>
      <c r="Z164" s="129">
        <f t="shared" si="44"/>
        <v>0</v>
      </c>
      <c r="AA164" s="129">
        <f t="shared" si="44"/>
        <v>0</v>
      </c>
      <c r="AB164" s="129">
        <f t="shared" si="44"/>
        <v>0</v>
      </c>
      <c r="AC164" s="129">
        <f t="shared" si="44"/>
        <v>0</v>
      </c>
      <c r="AD164" s="129">
        <f t="shared" si="44"/>
        <v>0</v>
      </c>
      <c r="AE164" s="129">
        <f t="shared" si="44"/>
        <v>0</v>
      </c>
      <c r="AF164" s="129">
        <f t="shared" si="44"/>
        <v>0</v>
      </c>
      <c r="AG164" s="132">
        <v>3</v>
      </c>
      <c r="AH164" s="54"/>
      <c r="AI164" s="55"/>
      <c r="AK164" s="56"/>
    </row>
    <row r="165" spans="1:37" x14ac:dyDescent="0.25">
      <c r="A165" s="118" t="s">
        <v>168</v>
      </c>
      <c r="B165" s="129">
        <f t="shared" si="42"/>
        <v>0.8</v>
      </c>
      <c r="C165" s="130">
        <v>0.8</v>
      </c>
      <c r="D165" s="129">
        <f t="shared" si="43"/>
        <v>0.8</v>
      </c>
      <c r="E165" s="129">
        <f t="shared" si="43"/>
        <v>0.8</v>
      </c>
      <c r="F165" s="129">
        <f t="shared" si="43"/>
        <v>0.8</v>
      </c>
      <c r="G165" s="129">
        <f t="shared" si="43"/>
        <v>0.8</v>
      </c>
      <c r="H165" s="129">
        <f t="shared" si="43"/>
        <v>0.8</v>
      </c>
      <c r="I165" s="129">
        <f t="shared" si="43"/>
        <v>0.8</v>
      </c>
      <c r="J165" s="129">
        <f t="shared" si="43"/>
        <v>0.8</v>
      </c>
      <c r="K165" s="129">
        <f t="shared" si="43"/>
        <v>0.8</v>
      </c>
      <c r="L165" s="129">
        <f t="shared" si="43"/>
        <v>0.8</v>
      </c>
      <c r="M165" s="129">
        <f t="shared" si="43"/>
        <v>0.8</v>
      </c>
      <c r="N165" s="129">
        <f t="shared" si="43"/>
        <v>0.8</v>
      </c>
      <c r="O165" s="129">
        <f t="shared" si="43"/>
        <v>0.8</v>
      </c>
      <c r="P165" s="129">
        <f t="shared" si="43"/>
        <v>0.8</v>
      </c>
      <c r="Q165" s="129">
        <f t="shared" si="43"/>
        <v>0.8</v>
      </c>
      <c r="R165" s="129">
        <f t="shared" si="43"/>
        <v>0.8</v>
      </c>
      <c r="S165" s="129">
        <f t="shared" si="44"/>
        <v>0.8</v>
      </c>
      <c r="T165" s="129">
        <f t="shared" si="44"/>
        <v>0.8</v>
      </c>
      <c r="U165" s="129">
        <f t="shared" si="44"/>
        <v>0.8</v>
      </c>
      <c r="V165" s="129">
        <f t="shared" si="44"/>
        <v>0.8</v>
      </c>
      <c r="W165" s="129">
        <f t="shared" si="44"/>
        <v>0.8</v>
      </c>
      <c r="X165" s="129">
        <f t="shared" si="44"/>
        <v>0.8</v>
      </c>
      <c r="Y165" s="129">
        <f t="shared" si="44"/>
        <v>0.8</v>
      </c>
      <c r="Z165" s="129">
        <f t="shared" si="44"/>
        <v>0.8</v>
      </c>
      <c r="AA165" s="129">
        <f t="shared" si="44"/>
        <v>0.8</v>
      </c>
      <c r="AB165" s="129">
        <f t="shared" si="44"/>
        <v>0.8</v>
      </c>
      <c r="AC165" s="129">
        <f t="shared" si="44"/>
        <v>0.8</v>
      </c>
      <c r="AD165" s="129">
        <f t="shared" si="44"/>
        <v>0.8</v>
      </c>
      <c r="AE165" s="129">
        <f t="shared" si="44"/>
        <v>0.8</v>
      </c>
      <c r="AF165" s="129">
        <f t="shared" si="44"/>
        <v>0.8</v>
      </c>
      <c r="AG165" s="132">
        <v>3</v>
      </c>
      <c r="AH165" s="54"/>
      <c r="AI165" s="55"/>
      <c r="AK165" s="56"/>
    </row>
    <row r="166" spans="1:37" x14ac:dyDescent="0.25">
      <c r="A166" s="118" t="s">
        <v>169</v>
      </c>
      <c r="B166" s="129">
        <f t="shared" si="42"/>
        <v>1.5</v>
      </c>
      <c r="C166" s="130">
        <v>1.5</v>
      </c>
      <c r="D166" s="129">
        <f t="shared" si="43"/>
        <v>1.5</v>
      </c>
      <c r="E166" s="129">
        <f t="shared" si="43"/>
        <v>1.5</v>
      </c>
      <c r="F166" s="129">
        <f t="shared" si="43"/>
        <v>1.5</v>
      </c>
      <c r="G166" s="129">
        <f t="shared" si="43"/>
        <v>1.5</v>
      </c>
      <c r="H166" s="129">
        <f t="shared" si="43"/>
        <v>1.5</v>
      </c>
      <c r="I166" s="129">
        <f t="shared" si="43"/>
        <v>1.5</v>
      </c>
      <c r="J166" s="129">
        <f t="shared" si="43"/>
        <v>1.5</v>
      </c>
      <c r="K166" s="129">
        <f t="shared" si="43"/>
        <v>1.5</v>
      </c>
      <c r="L166" s="129">
        <f t="shared" si="43"/>
        <v>1.5</v>
      </c>
      <c r="M166" s="129">
        <f t="shared" si="43"/>
        <v>1.5</v>
      </c>
      <c r="N166" s="129">
        <f t="shared" si="43"/>
        <v>1.5</v>
      </c>
      <c r="O166" s="129">
        <f t="shared" si="43"/>
        <v>1.5</v>
      </c>
      <c r="P166" s="129">
        <f t="shared" si="43"/>
        <v>1.5</v>
      </c>
      <c r="Q166" s="129">
        <f t="shared" si="43"/>
        <v>1.5</v>
      </c>
      <c r="R166" s="129">
        <f t="shared" si="43"/>
        <v>1.5</v>
      </c>
      <c r="S166" s="129">
        <f t="shared" si="44"/>
        <v>1.5</v>
      </c>
      <c r="T166" s="129">
        <f t="shared" si="44"/>
        <v>1.5</v>
      </c>
      <c r="U166" s="129">
        <f t="shared" si="44"/>
        <v>1.5</v>
      </c>
      <c r="V166" s="129">
        <f t="shared" si="44"/>
        <v>1.5</v>
      </c>
      <c r="W166" s="129">
        <f t="shared" si="44"/>
        <v>1.5</v>
      </c>
      <c r="X166" s="129">
        <f t="shared" si="44"/>
        <v>1.5</v>
      </c>
      <c r="Y166" s="129">
        <f t="shared" si="44"/>
        <v>1.5</v>
      </c>
      <c r="Z166" s="129">
        <f t="shared" si="44"/>
        <v>1.5</v>
      </c>
      <c r="AA166" s="129">
        <f t="shared" si="44"/>
        <v>1.5</v>
      </c>
      <c r="AB166" s="129">
        <f t="shared" si="44"/>
        <v>1.5</v>
      </c>
      <c r="AC166" s="129">
        <f t="shared" si="44"/>
        <v>1.5</v>
      </c>
      <c r="AD166" s="129">
        <f t="shared" si="44"/>
        <v>1.5</v>
      </c>
      <c r="AE166" s="129">
        <f t="shared" si="44"/>
        <v>1.5</v>
      </c>
      <c r="AF166" s="129">
        <f t="shared" si="44"/>
        <v>1.5</v>
      </c>
      <c r="AG166" s="132">
        <v>3</v>
      </c>
      <c r="AH166" s="54"/>
      <c r="AI166" s="55"/>
      <c r="AK166" s="56"/>
    </row>
    <row r="167" spans="1:37" x14ac:dyDescent="0.25">
      <c r="A167" s="118" t="s">
        <v>170</v>
      </c>
      <c r="B167" s="129">
        <f t="shared" si="42"/>
        <v>1</v>
      </c>
      <c r="C167" s="130">
        <v>1</v>
      </c>
      <c r="D167" s="129">
        <f t="shared" si="43"/>
        <v>1</v>
      </c>
      <c r="E167" s="129">
        <f t="shared" si="43"/>
        <v>1</v>
      </c>
      <c r="F167" s="129">
        <f t="shared" si="43"/>
        <v>1</v>
      </c>
      <c r="G167" s="129">
        <f t="shared" si="43"/>
        <v>1</v>
      </c>
      <c r="H167" s="129">
        <f t="shared" si="43"/>
        <v>1</v>
      </c>
      <c r="I167" s="129">
        <f t="shared" si="43"/>
        <v>1</v>
      </c>
      <c r="J167" s="129">
        <f t="shared" si="43"/>
        <v>1</v>
      </c>
      <c r="K167" s="129">
        <f t="shared" si="43"/>
        <v>1</v>
      </c>
      <c r="L167" s="129">
        <f t="shared" si="43"/>
        <v>1</v>
      </c>
      <c r="M167" s="129">
        <f t="shared" si="43"/>
        <v>1</v>
      </c>
      <c r="N167" s="129">
        <f t="shared" si="43"/>
        <v>1</v>
      </c>
      <c r="O167" s="129">
        <f t="shared" si="43"/>
        <v>1</v>
      </c>
      <c r="P167" s="129">
        <f t="shared" si="43"/>
        <v>1</v>
      </c>
      <c r="Q167" s="129">
        <f t="shared" si="43"/>
        <v>1</v>
      </c>
      <c r="R167" s="129">
        <f t="shared" si="43"/>
        <v>1</v>
      </c>
      <c r="S167" s="129">
        <f t="shared" si="44"/>
        <v>1</v>
      </c>
      <c r="T167" s="129">
        <f t="shared" si="44"/>
        <v>1</v>
      </c>
      <c r="U167" s="129">
        <f t="shared" si="44"/>
        <v>1</v>
      </c>
      <c r="V167" s="129">
        <f t="shared" si="44"/>
        <v>1</v>
      </c>
      <c r="W167" s="129">
        <f t="shared" si="44"/>
        <v>1</v>
      </c>
      <c r="X167" s="129">
        <f t="shared" si="44"/>
        <v>1</v>
      </c>
      <c r="Y167" s="129">
        <f t="shared" si="44"/>
        <v>1</v>
      </c>
      <c r="Z167" s="129">
        <f t="shared" si="44"/>
        <v>1</v>
      </c>
      <c r="AA167" s="129">
        <f t="shared" si="44"/>
        <v>1</v>
      </c>
      <c r="AB167" s="129">
        <f t="shared" si="44"/>
        <v>1</v>
      </c>
      <c r="AC167" s="129">
        <f t="shared" si="44"/>
        <v>1</v>
      </c>
      <c r="AD167" s="129">
        <f t="shared" si="44"/>
        <v>1</v>
      </c>
      <c r="AE167" s="129">
        <f t="shared" si="44"/>
        <v>1</v>
      </c>
      <c r="AF167" s="129">
        <f t="shared" si="44"/>
        <v>1</v>
      </c>
      <c r="AG167" s="132">
        <v>3</v>
      </c>
      <c r="AH167" s="54"/>
      <c r="AI167" s="55"/>
      <c r="AK167" s="56"/>
    </row>
    <row r="168" spans="1:37" x14ac:dyDescent="0.25">
      <c r="A168" s="118" t="s">
        <v>171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2.83</v>
      </c>
      <c r="AH168" s="54"/>
      <c r="AI168" s="55"/>
      <c r="AK168" s="56"/>
    </row>
    <row r="169" spans="1:37" x14ac:dyDescent="0.25">
      <c r="A169" s="118" t="s">
        <v>172</v>
      </c>
      <c r="B169" s="129">
        <f t="shared" ref="B169:B176" si="45">AF169</f>
        <v>1</v>
      </c>
      <c r="C169" s="130">
        <v>1</v>
      </c>
      <c r="D169" s="129">
        <f t="shared" ref="D169:S176" si="46">C169</f>
        <v>1</v>
      </c>
      <c r="E169" s="129">
        <f t="shared" si="46"/>
        <v>1</v>
      </c>
      <c r="F169" s="129">
        <f t="shared" si="46"/>
        <v>1</v>
      </c>
      <c r="G169" s="129">
        <f t="shared" si="46"/>
        <v>1</v>
      </c>
      <c r="H169" s="129">
        <f t="shared" si="46"/>
        <v>1</v>
      </c>
      <c r="I169" s="129">
        <f t="shared" si="46"/>
        <v>1</v>
      </c>
      <c r="J169" s="129">
        <f t="shared" si="46"/>
        <v>1</v>
      </c>
      <c r="K169" s="129">
        <f t="shared" si="46"/>
        <v>1</v>
      </c>
      <c r="L169" s="129">
        <f t="shared" si="46"/>
        <v>1</v>
      </c>
      <c r="M169" s="129">
        <f t="shared" si="46"/>
        <v>1</v>
      </c>
      <c r="N169" s="129">
        <f t="shared" si="46"/>
        <v>1</v>
      </c>
      <c r="O169" s="129">
        <f t="shared" si="46"/>
        <v>1</v>
      </c>
      <c r="P169" s="129">
        <f t="shared" si="46"/>
        <v>1</v>
      </c>
      <c r="Q169" s="129">
        <f t="shared" si="46"/>
        <v>1</v>
      </c>
      <c r="R169" s="129">
        <f t="shared" si="46"/>
        <v>1</v>
      </c>
      <c r="S169" s="129">
        <f t="shared" si="46"/>
        <v>1</v>
      </c>
      <c r="T169" s="129">
        <f t="shared" ref="S169:AF176" si="47">S169</f>
        <v>1</v>
      </c>
      <c r="U169" s="129">
        <f t="shared" si="47"/>
        <v>1</v>
      </c>
      <c r="V169" s="129">
        <f t="shared" si="47"/>
        <v>1</v>
      </c>
      <c r="W169" s="129">
        <f t="shared" si="47"/>
        <v>1</v>
      </c>
      <c r="X169" s="129">
        <f t="shared" si="47"/>
        <v>1</v>
      </c>
      <c r="Y169" s="129">
        <f t="shared" si="47"/>
        <v>1</v>
      </c>
      <c r="Z169" s="129">
        <f t="shared" si="47"/>
        <v>1</v>
      </c>
      <c r="AA169" s="129">
        <f t="shared" si="47"/>
        <v>1</v>
      </c>
      <c r="AB169" s="129">
        <f t="shared" si="47"/>
        <v>1</v>
      </c>
      <c r="AC169" s="129">
        <f t="shared" si="47"/>
        <v>1</v>
      </c>
      <c r="AD169" s="129">
        <f t="shared" si="47"/>
        <v>1</v>
      </c>
      <c r="AE169" s="129">
        <f t="shared" si="47"/>
        <v>1</v>
      </c>
      <c r="AF169" s="129">
        <f t="shared" si="47"/>
        <v>1</v>
      </c>
      <c r="AG169" s="132">
        <v>2.5</v>
      </c>
      <c r="AH169" s="54"/>
      <c r="AI169" s="55"/>
      <c r="AK169" s="56"/>
    </row>
    <row r="170" spans="1:37" x14ac:dyDescent="0.25">
      <c r="A170" s="118" t="s">
        <v>173</v>
      </c>
      <c r="B170" s="129">
        <f t="shared" si="45"/>
        <v>0.42</v>
      </c>
      <c r="C170" s="130">
        <v>0.42</v>
      </c>
      <c r="D170" s="129">
        <f t="shared" si="46"/>
        <v>0.42</v>
      </c>
      <c r="E170" s="129">
        <f t="shared" si="46"/>
        <v>0.42</v>
      </c>
      <c r="F170" s="129">
        <f t="shared" si="46"/>
        <v>0.42</v>
      </c>
      <c r="G170" s="129">
        <f t="shared" si="46"/>
        <v>0.42</v>
      </c>
      <c r="H170" s="129">
        <f t="shared" si="46"/>
        <v>0.42</v>
      </c>
      <c r="I170" s="129">
        <f t="shared" si="46"/>
        <v>0.42</v>
      </c>
      <c r="J170" s="129">
        <f t="shared" si="46"/>
        <v>0.42</v>
      </c>
      <c r="K170" s="129">
        <f t="shared" si="46"/>
        <v>0.42</v>
      </c>
      <c r="L170" s="129">
        <f t="shared" si="46"/>
        <v>0.42</v>
      </c>
      <c r="M170" s="129">
        <f t="shared" si="46"/>
        <v>0.42</v>
      </c>
      <c r="N170" s="129">
        <f t="shared" si="46"/>
        <v>0.42</v>
      </c>
      <c r="O170" s="129">
        <f t="shared" si="46"/>
        <v>0.42</v>
      </c>
      <c r="P170" s="129">
        <f t="shared" si="46"/>
        <v>0.42</v>
      </c>
      <c r="Q170" s="129">
        <f t="shared" si="46"/>
        <v>0.42</v>
      </c>
      <c r="R170" s="129">
        <f t="shared" si="46"/>
        <v>0.42</v>
      </c>
      <c r="S170" s="129">
        <f t="shared" si="47"/>
        <v>0.42</v>
      </c>
      <c r="T170" s="129">
        <f t="shared" si="47"/>
        <v>0.42</v>
      </c>
      <c r="U170" s="129">
        <f t="shared" si="47"/>
        <v>0.42</v>
      </c>
      <c r="V170" s="129">
        <f t="shared" si="47"/>
        <v>0.42</v>
      </c>
      <c r="W170" s="129">
        <f t="shared" si="47"/>
        <v>0.42</v>
      </c>
      <c r="X170" s="129">
        <f t="shared" si="47"/>
        <v>0.42</v>
      </c>
      <c r="Y170" s="129">
        <f t="shared" si="47"/>
        <v>0.42</v>
      </c>
      <c r="Z170" s="129">
        <f t="shared" si="47"/>
        <v>0.42</v>
      </c>
      <c r="AA170" s="129">
        <f t="shared" si="47"/>
        <v>0.42</v>
      </c>
      <c r="AB170" s="129">
        <f t="shared" si="47"/>
        <v>0.42</v>
      </c>
      <c r="AC170" s="129">
        <f t="shared" si="47"/>
        <v>0.42</v>
      </c>
      <c r="AD170" s="129">
        <f t="shared" si="47"/>
        <v>0.42</v>
      </c>
      <c r="AE170" s="129">
        <f t="shared" si="47"/>
        <v>0.42</v>
      </c>
      <c r="AF170" s="129">
        <f t="shared" si="47"/>
        <v>0.42</v>
      </c>
      <c r="AG170" s="132">
        <v>2.5</v>
      </c>
      <c r="AH170" s="54"/>
      <c r="AI170" s="55"/>
      <c r="AK170" s="56"/>
    </row>
    <row r="171" spans="1:37" x14ac:dyDescent="0.25">
      <c r="A171" s="118" t="s">
        <v>174</v>
      </c>
      <c r="B171" s="129">
        <f t="shared" si="45"/>
        <v>0.46</v>
      </c>
      <c r="C171" s="130">
        <v>0.46</v>
      </c>
      <c r="D171" s="129">
        <f t="shared" si="46"/>
        <v>0.46</v>
      </c>
      <c r="E171" s="129">
        <f t="shared" si="46"/>
        <v>0.46</v>
      </c>
      <c r="F171" s="129">
        <f t="shared" si="46"/>
        <v>0.46</v>
      </c>
      <c r="G171" s="129">
        <f t="shared" si="46"/>
        <v>0.46</v>
      </c>
      <c r="H171" s="129">
        <f t="shared" si="46"/>
        <v>0.46</v>
      </c>
      <c r="I171" s="129">
        <f t="shared" si="46"/>
        <v>0.46</v>
      </c>
      <c r="J171" s="129">
        <f t="shared" si="46"/>
        <v>0.46</v>
      </c>
      <c r="K171" s="129">
        <f t="shared" si="46"/>
        <v>0.46</v>
      </c>
      <c r="L171" s="129">
        <f t="shared" si="46"/>
        <v>0.46</v>
      </c>
      <c r="M171" s="129">
        <f t="shared" si="46"/>
        <v>0.46</v>
      </c>
      <c r="N171" s="129">
        <f t="shared" si="46"/>
        <v>0.46</v>
      </c>
      <c r="O171" s="129">
        <f t="shared" si="46"/>
        <v>0.46</v>
      </c>
      <c r="P171" s="129">
        <f t="shared" si="46"/>
        <v>0.46</v>
      </c>
      <c r="Q171" s="129">
        <f t="shared" si="46"/>
        <v>0.46</v>
      </c>
      <c r="R171" s="129">
        <f t="shared" si="46"/>
        <v>0.46</v>
      </c>
      <c r="S171" s="129">
        <f t="shared" si="47"/>
        <v>0.46</v>
      </c>
      <c r="T171" s="129">
        <f t="shared" si="47"/>
        <v>0.46</v>
      </c>
      <c r="U171" s="129">
        <f t="shared" si="47"/>
        <v>0.46</v>
      </c>
      <c r="V171" s="129">
        <f t="shared" si="47"/>
        <v>0.46</v>
      </c>
      <c r="W171" s="129">
        <f t="shared" si="47"/>
        <v>0.46</v>
      </c>
      <c r="X171" s="129">
        <f t="shared" si="47"/>
        <v>0.46</v>
      </c>
      <c r="Y171" s="129">
        <f t="shared" si="47"/>
        <v>0.46</v>
      </c>
      <c r="Z171" s="129">
        <f t="shared" si="47"/>
        <v>0.46</v>
      </c>
      <c r="AA171" s="129">
        <f t="shared" si="47"/>
        <v>0.46</v>
      </c>
      <c r="AB171" s="129">
        <f t="shared" si="47"/>
        <v>0.46</v>
      </c>
      <c r="AC171" s="129">
        <f t="shared" si="47"/>
        <v>0.46</v>
      </c>
      <c r="AD171" s="129">
        <f t="shared" si="47"/>
        <v>0.46</v>
      </c>
      <c r="AE171" s="129">
        <f t="shared" si="47"/>
        <v>0.46</v>
      </c>
      <c r="AF171" s="129">
        <f t="shared" si="47"/>
        <v>0.46</v>
      </c>
      <c r="AG171" s="132">
        <v>2.4</v>
      </c>
      <c r="AH171" s="54"/>
      <c r="AI171" s="55"/>
      <c r="AK171" s="56"/>
    </row>
    <row r="172" spans="1:37" x14ac:dyDescent="0.25">
      <c r="A172" s="118" t="s">
        <v>175</v>
      </c>
      <c r="B172" s="129">
        <f t="shared" si="45"/>
        <v>0.85</v>
      </c>
      <c r="C172" s="130">
        <v>0.85</v>
      </c>
      <c r="D172" s="129">
        <f t="shared" si="46"/>
        <v>0.85</v>
      </c>
      <c r="E172" s="129">
        <f t="shared" si="46"/>
        <v>0.85</v>
      </c>
      <c r="F172" s="129">
        <f t="shared" si="46"/>
        <v>0.85</v>
      </c>
      <c r="G172" s="129">
        <f t="shared" si="46"/>
        <v>0.85</v>
      </c>
      <c r="H172" s="129">
        <f t="shared" si="46"/>
        <v>0.85</v>
      </c>
      <c r="I172" s="129">
        <f t="shared" si="46"/>
        <v>0.85</v>
      </c>
      <c r="J172" s="129">
        <f t="shared" si="46"/>
        <v>0.85</v>
      </c>
      <c r="K172" s="129">
        <f t="shared" si="46"/>
        <v>0.85</v>
      </c>
      <c r="L172" s="129">
        <f t="shared" si="46"/>
        <v>0.85</v>
      </c>
      <c r="M172" s="129">
        <f t="shared" si="46"/>
        <v>0.85</v>
      </c>
      <c r="N172" s="129">
        <f t="shared" si="46"/>
        <v>0.85</v>
      </c>
      <c r="O172" s="129">
        <f t="shared" si="46"/>
        <v>0.85</v>
      </c>
      <c r="P172" s="129">
        <f t="shared" si="46"/>
        <v>0.85</v>
      </c>
      <c r="Q172" s="129">
        <f t="shared" si="46"/>
        <v>0.85</v>
      </c>
      <c r="R172" s="129">
        <f t="shared" si="46"/>
        <v>0.85</v>
      </c>
      <c r="S172" s="129">
        <f t="shared" si="47"/>
        <v>0.85</v>
      </c>
      <c r="T172" s="129">
        <f t="shared" si="47"/>
        <v>0.85</v>
      </c>
      <c r="U172" s="129">
        <f t="shared" si="47"/>
        <v>0.85</v>
      </c>
      <c r="V172" s="129">
        <f t="shared" si="47"/>
        <v>0.85</v>
      </c>
      <c r="W172" s="129">
        <f t="shared" si="47"/>
        <v>0.85</v>
      </c>
      <c r="X172" s="129">
        <f t="shared" si="47"/>
        <v>0.85</v>
      </c>
      <c r="Y172" s="129">
        <f t="shared" si="47"/>
        <v>0.85</v>
      </c>
      <c r="Z172" s="129">
        <f t="shared" si="47"/>
        <v>0.85</v>
      </c>
      <c r="AA172" s="129">
        <f t="shared" si="47"/>
        <v>0.85</v>
      </c>
      <c r="AB172" s="129">
        <f t="shared" si="47"/>
        <v>0.85</v>
      </c>
      <c r="AC172" s="129">
        <f t="shared" si="47"/>
        <v>0.85</v>
      </c>
      <c r="AD172" s="129">
        <f t="shared" si="47"/>
        <v>0.85</v>
      </c>
      <c r="AE172" s="129">
        <f t="shared" si="47"/>
        <v>0.85</v>
      </c>
      <c r="AF172" s="129">
        <f t="shared" si="47"/>
        <v>0.85</v>
      </c>
      <c r="AG172" s="132">
        <v>2.4</v>
      </c>
      <c r="AH172" s="54"/>
      <c r="AI172" s="55"/>
      <c r="AK172" s="56"/>
    </row>
    <row r="173" spans="1:37" x14ac:dyDescent="0.25">
      <c r="A173" s="118" t="s">
        <v>176</v>
      </c>
      <c r="B173" s="129">
        <f t="shared" si="45"/>
        <v>0.9</v>
      </c>
      <c r="C173" s="130">
        <v>0.9</v>
      </c>
      <c r="D173" s="129">
        <f t="shared" si="46"/>
        <v>0.9</v>
      </c>
      <c r="E173" s="129">
        <f t="shared" si="46"/>
        <v>0.9</v>
      </c>
      <c r="F173" s="129">
        <f t="shared" si="46"/>
        <v>0.9</v>
      </c>
      <c r="G173" s="129">
        <f t="shared" si="46"/>
        <v>0.9</v>
      </c>
      <c r="H173" s="129">
        <f t="shared" si="46"/>
        <v>0.9</v>
      </c>
      <c r="I173" s="129">
        <f t="shared" si="46"/>
        <v>0.9</v>
      </c>
      <c r="J173" s="129">
        <f t="shared" si="46"/>
        <v>0.9</v>
      </c>
      <c r="K173" s="129">
        <f t="shared" si="46"/>
        <v>0.9</v>
      </c>
      <c r="L173" s="129">
        <f t="shared" si="46"/>
        <v>0.9</v>
      </c>
      <c r="M173" s="129">
        <f t="shared" si="46"/>
        <v>0.9</v>
      </c>
      <c r="N173" s="129">
        <f t="shared" si="46"/>
        <v>0.9</v>
      </c>
      <c r="O173" s="129">
        <f t="shared" si="46"/>
        <v>0.9</v>
      </c>
      <c r="P173" s="129">
        <f t="shared" si="46"/>
        <v>0.9</v>
      </c>
      <c r="Q173" s="129">
        <f t="shared" si="46"/>
        <v>0.9</v>
      </c>
      <c r="R173" s="129">
        <f t="shared" si="46"/>
        <v>0.9</v>
      </c>
      <c r="S173" s="129">
        <f t="shared" si="47"/>
        <v>0.9</v>
      </c>
      <c r="T173" s="129">
        <f t="shared" si="47"/>
        <v>0.9</v>
      </c>
      <c r="U173" s="129">
        <f t="shared" si="47"/>
        <v>0.9</v>
      </c>
      <c r="V173" s="129">
        <f t="shared" si="47"/>
        <v>0.9</v>
      </c>
      <c r="W173" s="129">
        <f t="shared" si="47"/>
        <v>0.9</v>
      </c>
      <c r="X173" s="129">
        <f t="shared" si="47"/>
        <v>0.9</v>
      </c>
      <c r="Y173" s="129">
        <f t="shared" si="47"/>
        <v>0.9</v>
      </c>
      <c r="Z173" s="129">
        <f t="shared" si="47"/>
        <v>0.9</v>
      </c>
      <c r="AA173" s="129">
        <f t="shared" si="47"/>
        <v>0.9</v>
      </c>
      <c r="AB173" s="129">
        <f t="shared" si="47"/>
        <v>0.9</v>
      </c>
      <c r="AC173" s="129">
        <f t="shared" si="47"/>
        <v>0.9</v>
      </c>
      <c r="AD173" s="129">
        <f t="shared" si="47"/>
        <v>0.9</v>
      </c>
      <c r="AE173" s="129">
        <f t="shared" si="47"/>
        <v>0.9</v>
      </c>
      <c r="AF173" s="129">
        <f t="shared" si="47"/>
        <v>0.9</v>
      </c>
      <c r="AG173" s="132">
        <v>2.2000000000000002</v>
      </c>
      <c r="AH173" s="54"/>
      <c r="AI173" s="55"/>
      <c r="AK173" s="56"/>
    </row>
    <row r="174" spans="1:37" x14ac:dyDescent="0.25">
      <c r="A174" s="118" t="s">
        <v>177</v>
      </c>
      <c r="B174" s="129">
        <f t="shared" si="45"/>
        <v>0.44</v>
      </c>
      <c r="C174" s="130">
        <v>0.44</v>
      </c>
      <c r="D174" s="129">
        <f t="shared" si="46"/>
        <v>0.44</v>
      </c>
      <c r="E174" s="129">
        <f t="shared" si="46"/>
        <v>0.44</v>
      </c>
      <c r="F174" s="129">
        <f t="shared" si="46"/>
        <v>0.44</v>
      </c>
      <c r="G174" s="129">
        <f t="shared" si="46"/>
        <v>0.44</v>
      </c>
      <c r="H174" s="129">
        <f t="shared" si="46"/>
        <v>0.44</v>
      </c>
      <c r="I174" s="129">
        <f t="shared" si="46"/>
        <v>0.44</v>
      </c>
      <c r="J174" s="129">
        <f t="shared" si="46"/>
        <v>0.44</v>
      </c>
      <c r="K174" s="129">
        <f t="shared" si="46"/>
        <v>0.44</v>
      </c>
      <c r="L174" s="129">
        <f t="shared" si="46"/>
        <v>0.44</v>
      </c>
      <c r="M174" s="129">
        <f t="shared" si="46"/>
        <v>0.44</v>
      </c>
      <c r="N174" s="129">
        <f t="shared" si="46"/>
        <v>0.44</v>
      </c>
      <c r="O174" s="129">
        <f t="shared" si="46"/>
        <v>0.44</v>
      </c>
      <c r="P174" s="129">
        <f t="shared" si="46"/>
        <v>0.44</v>
      </c>
      <c r="Q174" s="129">
        <f t="shared" si="46"/>
        <v>0.44</v>
      </c>
      <c r="R174" s="129">
        <f t="shared" si="46"/>
        <v>0.44</v>
      </c>
      <c r="S174" s="129">
        <f t="shared" si="47"/>
        <v>0.44</v>
      </c>
      <c r="T174" s="129">
        <f t="shared" si="47"/>
        <v>0.44</v>
      </c>
      <c r="U174" s="129">
        <f t="shared" si="47"/>
        <v>0.44</v>
      </c>
      <c r="V174" s="129">
        <f t="shared" si="47"/>
        <v>0.44</v>
      </c>
      <c r="W174" s="129">
        <f t="shared" si="47"/>
        <v>0.44</v>
      </c>
      <c r="X174" s="129">
        <f t="shared" si="47"/>
        <v>0.44</v>
      </c>
      <c r="Y174" s="129">
        <f t="shared" si="47"/>
        <v>0.44</v>
      </c>
      <c r="Z174" s="129">
        <f t="shared" si="47"/>
        <v>0.44</v>
      </c>
      <c r="AA174" s="129">
        <f t="shared" si="47"/>
        <v>0.44</v>
      </c>
      <c r="AB174" s="129">
        <f t="shared" si="47"/>
        <v>0.44</v>
      </c>
      <c r="AC174" s="129">
        <f t="shared" si="47"/>
        <v>0.44</v>
      </c>
      <c r="AD174" s="129">
        <f t="shared" si="47"/>
        <v>0.44</v>
      </c>
      <c r="AE174" s="129">
        <f t="shared" si="47"/>
        <v>0.44</v>
      </c>
      <c r="AF174" s="129">
        <f t="shared" si="47"/>
        <v>0.44</v>
      </c>
      <c r="AG174" s="132">
        <v>2</v>
      </c>
      <c r="AH174" s="54"/>
      <c r="AI174" s="55"/>
      <c r="AK174" s="56"/>
    </row>
    <row r="175" spans="1:37" x14ac:dyDescent="0.25">
      <c r="A175" s="118" t="s">
        <v>178</v>
      </c>
      <c r="B175" s="129">
        <f t="shared" si="45"/>
        <v>2.1</v>
      </c>
      <c r="C175" s="130">
        <v>2.1</v>
      </c>
      <c r="D175" s="129">
        <f t="shared" si="46"/>
        <v>2.1</v>
      </c>
      <c r="E175" s="129">
        <f t="shared" si="46"/>
        <v>2.1</v>
      </c>
      <c r="F175" s="129">
        <f t="shared" si="46"/>
        <v>2.1</v>
      </c>
      <c r="G175" s="129">
        <f t="shared" si="46"/>
        <v>2.1</v>
      </c>
      <c r="H175" s="129">
        <f t="shared" si="46"/>
        <v>2.1</v>
      </c>
      <c r="I175" s="129">
        <f t="shared" si="46"/>
        <v>2.1</v>
      </c>
      <c r="J175" s="129">
        <f t="shared" si="46"/>
        <v>2.1</v>
      </c>
      <c r="K175" s="129">
        <f t="shared" si="46"/>
        <v>2.1</v>
      </c>
      <c r="L175" s="129">
        <f t="shared" si="46"/>
        <v>2.1</v>
      </c>
      <c r="M175" s="129">
        <f t="shared" si="46"/>
        <v>2.1</v>
      </c>
      <c r="N175" s="129">
        <f t="shared" si="46"/>
        <v>2.1</v>
      </c>
      <c r="O175" s="129">
        <f t="shared" si="46"/>
        <v>2.1</v>
      </c>
      <c r="P175" s="129">
        <f t="shared" si="46"/>
        <v>2.1</v>
      </c>
      <c r="Q175" s="129">
        <f t="shared" si="46"/>
        <v>2.1</v>
      </c>
      <c r="R175" s="129">
        <f t="shared" si="46"/>
        <v>2.1</v>
      </c>
      <c r="S175" s="129">
        <f t="shared" si="47"/>
        <v>2.1</v>
      </c>
      <c r="T175" s="129">
        <f t="shared" si="47"/>
        <v>2.1</v>
      </c>
      <c r="U175" s="129">
        <f t="shared" si="47"/>
        <v>2.1</v>
      </c>
      <c r="V175" s="129">
        <f t="shared" si="47"/>
        <v>2.1</v>
      </c>
      <c r="W175" s="129">
        <f t="shared" si="47"/>
        <v>2.1</v>
      </c>
      <c r="X175" s="129">
        <f t="shared" si="47"/>
        <v>2.1</v>
      </c>
      <c r="Y175" s="129">
        <f t="shared" si="47"/>
        <v>2.1</v>
      </c>
      <c r="Z175" s="129">
        <f t="shared" si="47"/>
        <v>2.1</v>
      </c>
      <c r="AA175" s="129">
        <f t="shared" si="47"/>
        <v>2.1</v>
      </c>
      <c r="AB175" s="129">
        <f t="shared" si="47"/>
        <v>2.1</v>
      </c>
      <c r="AC175" s="129">
        <f t="shared" si="47"/>
        <v>2.1</v>
      </c>
      <c r="AD175" s="129">
        <f t="shared" si="47"/>
        <v>2.1</v>
      </c>
      <c r="AE175" s="129">
        <f t="shared" si="47"/>
        <v>2.1</v>
      </c>
      <c r="AF175" s="129">
        <f t="shared" si="47"/>
        <v>2.1</v>
      </c>
      <c r="AG175" s="132">
        <v>2</v>
      </c>
      <c r="AH175" s="54"/>
      <c r="AI175" s="55"/>
      <c r="AK175" s="56"/>
    </row>
    <row r="176" spans="1:37" x14ac:dyDescent="0.25">
      <c r="A176" s="118" t="s">
        <v>179</v>
      </c>
      <c r="B176" s="129">
        <f t="shared" si="45"/>
        <v>0.9</v>
      </c>
      <c r="C176" s="130">
        <v>0.9</v>
      </c>
      <c r="D176" s="129">
        <f t="shared" si="46"/>
        <v>0.9</v>
      </c>
      <c r="E176" s="129">
        <f t="shared" si="46"/>
        <v>0.9</v>
      </c>
      <c r="F176" s="129">
        <f t="shared" si="46"/>
        <v>0.9</v>
      </c>
      <c r="G176" s="129">
        <f t="shared" si="46"/>
        <v>0.9</v>
      </c>
      <c r="H176" s="129">
        <f t="shared" si="46"/>
        <v>0.9</v>
      </c>
      <c r="I176" s="129">
        <f t="shared" si="46"/>
        <v>0.9</v>
      </c>
      <c r="J176" s="129">
        <f t="shared" si="46"/>
        <v>0.9</v>
      </c>
      <c r="K176" s="129">
        <f t="shared" si="46"/>
        <v>0.9</v>
      </c>
      <c r="L176" s="129">
        <f t="shared" si="46"/>
        <v>0.9</v>
      </c>
      <c r="M176" s="129">
        <f t="shared" si="46"/>
        <v>0.9</v>
      </c>
      <c r="N176" s="129">
        <f t="shared" si="46"/>
        <v>0.9</v>
      </c>
      <c r="O176" s="129">
        <f t="shared" si="46"/>
        <v>0.9</v>
      </c>
      <c r="P176" s="129">
        <f t="shared" si="46"/>
        <v>0.9</v>
      </c>
      <c r="Q176" s="129">
        <f t="shared" si="46"/>
        <v>0.9</v>
      </c>
      <c r="R176" s="129">
        <f t="shared" si="46"/>
        <v>0.9</v>
      </c>
      <c r="S176" s="129">
        <f t="shared" si="47"/>
        <v>0.9</v>
      </c>
      <c r="T176" s="129">
        <f t="shared" si="47"/>
        <v>0.9</v>
      </c>
      <c r="U176" s="129">
        <f t="shared" si="47"/>
        <v>0.9</v>
      </c>
      <c r="V176" s="129">
        <f t="shared" si="47"/>
        <v>0.9</v>
      </c>
      <c r="W176" s="129">
        <f t="shared" si="47"/>
        <v>0.9</v>
      </c>
      <c r="X176" s="129">
        <f t="shared" si="47"/>
        <v>0.9</v>
      </c>
      <c r="Y176" s="129">
        <f t="shared" si="47"/>
        <v>0.9</v>
      </c>
      <c r="Z176" s="129">
        <f t="shared" si="47"/>
        <v>0.9</v>
      </c>
      <c r="AA176" s="129">
        <f t="shared" si="47"/>
        <v>0.9</v>
      </c>
      <c r="AB176" s="129">
        <f t="shared" si="47"/>
        <v>0.9</v>
      </c>
      <c r="AC176" s="129">
        <f t="shared" si="47"/>
        <v>0.9</v>
      </c>
      <c r="AD176" s="129">
        <f t="shared" si="47"/>
        <v>0.9</v>
      </c>
      <c r="AE176" s="129">
        <f t="shared" si="47"/>
        <v>0.9</v>
      </c>
      <c r="AF176" s="129">
        <f t="shared" si="47"/>
        <v>0.9</v>
      </c>
      <c r="AG176" s="132">
        <v>2</v>
      </c>
      <c r="AH176" s="54"/>
      <c r="AI176" s="55"/>
      <c r="AK176" s="56"/>
    </row>
    <row r="177" spans="1:37" x14ac:dyDescent="0.25">
      <c r="A177" s="118" t="s">
        <v>180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1.8</v>
      </c>
      <c r="AH177" s="54"/>
      <c r="AI177" s="55"/>
      <c r="AK177" s="56"/>
    </row>
    <row r="178" spans="1:37" x14ac:dyDescent="0.25">
      <c r="A178" s="118" t="s">
        <v>181</v>
      </c>
      <c r="B178" s="129">
        <f t="shared" ref="B178:B190" si="48">AF178</f>
        <v>0.57999999999999996</v>
      </c>
      <c r="C178" s="130">
        <v>0.57999999999999996</v>
      </c>
      <c r="D178" s="129">
        <f t="shared" ref="D178:S190" si="49">C178</f>
        <v>0.57999999999999996</v>
      </c>
      <c r="E178" s="129">
        <f t="shared" si="49"/>
        <v>0.57999999999999996</v>
      </c>
      <c r="F178" s="129">
        <f t="shared" si="49"/>
        <v>0.57999999999999996</v>
      </c>
      <c r="G178" s="129">
        <f t="shared" si="49"/>
        <v>0.57999999999999996</v>
      </c>
      <c r="H178" s="129">
        <f t="shared" si="49"/>
        <v>0.57999999999999996</v>
      </c>
      <c r="I178" s="129">
        <f t="shared" si="49"/>
        <v>0.57999999999999996</v>
      </c>
      <c r="J178" s="129">
        <f t="shared" si="49"/>
        <v>0.57999999999999996</v>
      </c>
      <c r="K178" s="129">
        <f t="shared" si="49"/>
        <v>0.57999999999999996</v>
      </c>
      <c r="L178" s="129">
        <f t="shared" si="49"/>
        <v>0.57999999999999996</v>
      </c>
      <c r="M178" s="129">
        <f t="shared" si="49"/>
        <v>0.57999999999999996</v>
      </c>
      <c r="N178" s="129">
        <f t="shared" si="49"/>
        <v>0.57999999999999996</v>
      </c>
      <c r="O178" s="129">
        <f t="shared" si="49"/>
        <v>0.57999999999999996</v>
      </c>
      <c r="P178" s="129">
        <f t="shared" si="49"/>
        <v>0.57999999999999996</v>
      </c>
      <c r="Q178" s="129">
        <f t="shared" si="49"/>
        <v>0.57999999999999996</v>
      </c>
      <c r="R178" s="129">
        <f t="shared" si="49"/>
        <v>0.57999999999999996</v>
      </c>
      <c r="S178" s="129">
        <f t="shared" si="49"/>
        <v>0.57999999999999996</v>
      </c>
      <c r="T178" s="129">
        <f t="shared" ref="S178:AF190" si="50">S178</f>
        <v>0.57999999999999996</v>
      </c>
      <c r="U178" s="129">
        <f t="shared" si="50"/>
        <v>0.57999999999999996</v>
      </c>
      <c r="V178" s="129">
        <f t="shared" si="50"/>
        <v>0.57999999999999996</v>
      </c>
      <c r="W178" s="129">
        <f t="shared" si="50"/>
        <v>0.57999999999999996</v>
      </c>
      <c r="X178" s="129">
        <f t="shared" si="50"/>
        <v>0.57999999999999996</v>
      </c>
      <c r="Y178" s="129">
        <f t="shared" si="50"/>
        <v>0.57999999999999996</v>
      </c>
      <c r="Z178" s="129">
        <f t="shared" si="50"/>
        <v>0.57999999999999996</v>
      </c>
      <c r="AA178" s="129">
        <f t="shared" si="50"/>
        <v>0.57999999999999996</v>
      </c>
      <c r="AB178" s="129">
        <f t="shared" si="50"/>
        <v>0.57999999999999996</v>
      </c>
      <c r="AC178" s="129">
        <f t="shared" si="50"/>
        <v>0.57999999999999996</v>
      </c>
      <c r="AD178" s="129">
        <f t="shared" si="50"/>
        <v>0.57999999999999996</v>
      </c>
      <c r="AE178" s="129">
        <f t="shared" si="50"/>
        <v>0.57999999999999996</v>
      </c>
      <c r="AF178" s="129">
        <f t="shared" si="50"/>
        <v>0.57999999999999996</v>
      </c>
      <c r="AG178" s="132">
        <v>1.8</v>
      </c>
      <c r="AH178" s="54"/>
      <c r="AI178" s="55"/>
      <c r="AK178" s="56"/>
    </row>
    <row r="179" spans="1:37" x14ac:dyDescent="0.25">
      <c r="A179" s="118" t="s">
        <v>182</v>
      </c>
      <c r="B179" s="129">
        <f t="shared" si="48"/>
        <v>0.8</v>
      </c>
      <c r="C179" s="130">
        <v>0.8</v>
      </c>
      <c r="D179" s="129">
        <f t="shared" si="49"/>
        <v>0.8</v>
      </c>
      <c r="E179" s="129">
        <f t="shared" si="49"/>
        <v>0.8</v>
      </c>
      <c r="F179" s="129">
        <f t="shared" si="49"/>
        <v>0.8</v>
      </c>
      <c r="G179" s="129">
        <f t="shared" si="49"/>
        <v>0.8</v>
      </c>
      <c r="H179" s="129">
        <f t="shared" si="49"/>
        <v>0.8</v>
      </c>
      <c r="I179" s="129">
        <f t="shared" si="49"/>
        <v>0.8</v>
      </c>
      <c r="J179" s="129">
        <f t="shared" si="49"/>
        <v>0.8</v>
      </c>
      <c r="K179" s="129">
        <f t="shared" si="49"/>
        <v>0.8</v>
      </c>
      <c r="L179" s="129">
        <f t="shared" si="49"/>
        <v>0.8</v>
      </c>
      <c r="M179" s="129">
        <f t="shared" si="49"/>
        <v>0.8</v>
      </c>
      <c r="N179" s="129">
        <f t="shared" si="49"/>
        <v>0.8</v>
      </c>
      <c r="O179" s="129">
        <f t="shared" si="49"/>
        <v>0.8</v>
      </c>
      <c r="P179" s="129">
        <f t="shared" si="49"/>
        <v>0.8</v>
      </c>
      <c r="Q179" s="129">
        <f t="shared" si="49"/>
        <v>0.8</v>
      </c>
      <c r="R179" s="129">
        <f t="shared" si="49"/>
        <v>0.8</v>
      </c>
      <c r="S179" s="129">
        <f t="shared" si="49"/>
        <v>0.8</v>
      </c>
      <c r="T179" s="129">
        <f t="shared" si="50"/>
        <v>0.8</v>
      </c>
      <c r="U179" s="129">
        <f t="shared" si="50"/>
        <v>0.8</v>
      </c>
      <c r="V179" s="129">
        <f t="shared" si="50"/>
        <v>0.8</v>
      </c>
      <c r="W179" s="129">
        <f t="shared" si="50"/>
        <v>0.8</v>
      </c>
      <c r="X179" s="129">
        <f t="shared" si="50"/>
        <v>0.8</v>
      </c>
      <c r="Y179" s="129">
        <f t="shared" si="50"/>
        <v>0.8</v>
      </c>
      <c r="Z179" s="129">
        <f t="shared" si="50"/>
        <v>0.8</v>
      </c>
      <c r="AA179" s="129">
        <f t="shared" si="50"/>
        <v>0.8</v>
      </c>
      <c r="AB179" s="129">
        <f t="shared" si="50"/>
        <v>0.8</v>
      </c>
      <c r="AC179" s="129">
        <f t="shared" si="50"/>
        <v>0.8</v>
      </c>
      <c r="AD179" s="129">
        <f t="shared" si="50"/>
        <v>0.8</v>
      </c>
      <c r="AE179" s="129">
        <f t="shared" si="50"/>
        <v>0.8</v>
      </c>
      <c r="AF179" s="129">
        <f t="shared" si="50"/>
        <v>0.8</v>
      </c>
      <c r="AG179" s="132">
        <v>1.65</v>
      </c>
      <c r="AH179" s="54"/>
      <c r="AI179" s="55"/>
      <c r="AK179" s="56"/>
    </row>
    <row r="180" spans="1:37" x14ac:dyDescent="0.25">
      <c r="A180" s="118" t="s">
        <v>183</v>
      </c>
      <c r="B180" s="129">
        <f t="shared" si="48"/>
        <v>0</v>
      </c>
      <c r="C180" s="130">
        <v>0</v>
      </c>
      <c r="D180" s="129">
        <f t="shared" si="49"/>
        <v>0</v>
      </c>
      <c r="E180" s="129">
        <f t="shared" si="49"/>
        <v>0</v>
      </c>
      <c r="F180" s="129">
        <f t="shared" si="49"/>
        <v>0</v>
      </c>
      <c r="G180" s="129">
        <f t="shared" si="49"/>
        <v>0</v>
      </c>
      <c r="H180" s="129">
        <f t="shared" si="49"/>
        <v>0</v>
      </c>
      <c r="I180" s="129">
        <f t="shared" si="49"/>
        <v>0</v>
      </c>
      <c r="J180" s="129">
        <f t="shared" si="49"/>
        <v>0</v>
      </c>
      <c r="K180" s="129">
        <f t="shared" si="49"/>
        <v>0</v>
      </c>
      <c r="L180" s="129">
        <f t="shared" si="49"/>
        <v>0</v>
      </c>
      <c r="M180" s="129">
        <f t="shared" si="49"/>
        <v>0</v>
      </c>
      <c r="N180" s="129">
        <f t="shared" si="49"/>
        <v>0</v>
      </c>
      <c r="O180" s="129">
        <f t="shared" si="49"/>
        <v>0</v>
      </c>
      <c r="P180" s="129">
        <f t="shared" si="49"/>
        <v>0</v>
      </c>
      <c r="Q180" s="129">
        <f t="shared" si="49"/>
        <v>0</v>
      </c>
      <c r="R180" s="129">
        <f t="shared" si="49"/>
        <v>0</v>
      </c>
      <c r="S180" s="129">
        <f t="shared" si="49"/>
        <v>0</v>
      </c>
      <c r="T180" s="129">
        <f t="shared" si="50"/>
        <v>0</v>
      </c>
      <c r="U180" s="129">
        <f t="shared" si="50"/>
        <v>0</v>
      </c>
      <c r="V180" s="129">
        <f t="shared" si="50"/>
        <v>0</v>
      </c>
      <c r="W180" s="129">
        <f t="shared" si="50"/>
        <v>0</v>
      </c>
      <c r="X180" s="129">
        <f t="shared" si="50"/>
        <v>0</v>
      </c>
      <c r="Y180" s="129">
        <f t="shared" si="50"/>
        <v>0</v>
      </c>
      <c r="Z180" s="129">
        <f t="shared" si="50"/>
        <v>0</v>
      </c>
      <c r="AA180" s="129">
        <f t="shared" si="50"/>
        <v>0</v>
      </c>
      <c r="AB180" s="129">
        <f t="shared" si="50"/>
        <v>0</v>
      </c>
      <c r="AC180" s="129">
        <f t="shared" si="50"/>
        <v>0</v>
      </c>
      <c r="AD180" s="129">
        <f t="shared" si="50"/>
        <v>0</v>
      </c>
      <c r="AE180" s="129">
        <f t="shared" si="50"/>
        <v>0</v>
      </c>
      <c r="AF180" s="129">
        <f t="shared" si="50"/>
        <v>0</v>
      </c>
      <c r="AG180" s="132">
        <v>1.5</v>
      </c>
      <c r="AH180" s="54"/>
      <c r="AI180" s="55"/>
      <c r="AK180" s="56"/>
    </row>
    <row r="181" spans="1:37" x14ac:dyDescent="0.25">
      <c r="A181" s="118" t="s">
        <v>184</v>
      </c>
      <c r="B181" s="129">
        <f t="shared" si="48"/>
        <v>0.6</v>
      </c>
      <c r="C181" s="130">
        <v>0.6</v>
      </c>
      <c r="D181" s="129">
        <f t="shared" si="49"/>
        <v>0.6</v>
      </c>
      <c r="E181" s="129">
        <f t="shared" si="49"/>
        <v>0.6</v>
      </c>
      <c r="F181" s="129">
        <f t="shared" si="49"/>
        <v>0.6</v>
      </c>
      <c r="G181" s="129">
        <f t="shared" si="49"/>
        <v>0.6</v>
      </c>
      <c r="H181" s="129">
        <f t="shared" si="49"/>
        <v>0.6</v>
      </c>
      <c r="I181" s="129">
        <f t="shared" si="49"/>
        <v>0.6</v>
      </c>
      <c r="J181" s="129">
        <f t="shared" si="49"/>
        <v>0.6</v>
      </c>
      <c r="K181" s="129">
        <f t="shared" si="49"/>
        <v>0.6</v>
      </c>
      <c r="L181" s="129">
        <f t="shared" si="49"/>
        <v>0.6</v>
      </c>
      <c r="M181" s="129">
        <f t="shared" si="49"/>
        <v>0.6</v>
      </c>
      <c r="N181" s="129">
        <f t="shared" si="49"/>
        <v>0.6</v>
      </c>
      <c r="O181" s="129">
        <f t="shared" si="49"/>
        <v>0.6</v>
      </c>
      <c r="P181" s="129">
        <f t="shared" si="49"/>
        <v>0.6</v>
      </c>
      <c r="Q181" s="129">
        <f t="shared" si="49"/>
        <v>0.6</v>
      </c>
      <c r="R181" s="129">
        <f t="shared" si="49"/>
        <v>0.6</v>
      </c>
      <c r="S181" s="129">
        <f t="shared" si="49"/>
        <v>0.6</v>
      </c>
      <c r="T181" s="129">
        <f t="shared" si="50"/>
        <v>0.6</v>
      </c>
      <c r="U181" s="129">
        <f t="shared" si="50"/>
        <v>0.6</v>
      </c>
      <c r="V181" s="129">
        <f t="shared" si="50"/>
        <v>0.6</v>
      </c>
      <c r="W181" s="129">
        <f t="shared" si="50"/>
        <v>0.6</v>
      </c>
      <c r="X181" s="129">
        <f t="shared" si="50"/>
        <v>0.6</v>
      </c>
      <c r="Y181" s="129">
        <f t="shared" si="50"/>
        <v>0.6</v>
      </c>
      <c r="Z181" s="129">
        <f t="shared" si="50"/>
        <v>0.6</v>
      </c>
      <c r="AA181" s="129">
        <f t="shared" si="50"/>
        <v>0.6</v>
      </c>
      <c r="AB181" s="129">
        <f t="shared" si="50"/>
        <v>0.6</v>
      </c>
      <c r="AC181" s="129">
        <f t="shared" si="50"/>
        <v>0.6</v>
      </c>
      <c r="AD181" s="129">
        <f t="shared" si="50"/>
        <v>0.6</v>
      </c>
      <c r="AE181" s="129">
        <f t="shared" si="50"/>
        <v>0.6</v>
      </c>
      <c r="AF181" s="129">
        <f t="shared" si="50"/>
        <v>0.6</v>
      </c>
      <c r="AG181" s="132">
        <v>0.998</v>
      </c>
      <c r="AH181" s="54"/>
      <c r="AI181" s="55"/>
      <c r="AK181" s="56"/>
    </row>
    <row r="182" spans="1:37" x14ac:dyDescent="0.25">
      <c r="A182" s="118" t="s">
        <v>185</v>
      </c>
      <c r="B182" s="129">
        <f t="shared" si="48"/>
        <v>0.6</v>
      </c>
      <c r="C182" s="130">
        <v>0.6</v>
      </c>
      <c r="D182" s="129">
        <f t="shared" si="49"/>
        <v>0.6</v>
      </c>
      <c r="E182" s="129">
        <f t="shared" si="49"/>
        <v>0.6</v>
      </c>
      <c r="F182" s="129">
        <f t="shared" si="49"/>
        <v>0.6</v>
      </c>
      <c r="G182" s="129">
        <f t="shared" si="49"/>
        <v>0.6</v>
      </c>
      <c r="H182" s="129">
        <f t="shared" si="49"/>
        <v>0.6</v>
      </c>
      <c r="I182" s="129">
        <f t="shared" si="49"/>
        <v>0.6</v>
      </c>
      <c r="J182" s="129">
        <f t="shared" si="49"/>
        <v>0.6</v>
      </c>
      <c r="K182" s="129">
        <f t="shared" si="49"/>
        <v>0.6</v>
      </c>
      <c r="L182" s="129">
        <f t="shared" si="49"/>
        <v>0.6</v>
      </c>
      <c r="M182" s="129">
        <f t="shared" si="49"/>
        <v>0.6</v>
      </c>
      <c r="N182" s="129">
        <f t="shared" si="49"/>
        <v>0.6</v>
      </c>
      <c r="O182" s="129">
        <f t="shared" si="49"/>
        <v>0.6</v>
      </c>
      <c r="P182" s="129">
        <f t="shared" si="49"/>
        <v>0.6</v>
      </c>
      <c r="Q182" s="129">
        <f t="shared" si="49"/>
        <v>0.6</v>
      </c>
      <c r="R182" s="129">
        <f t="shared" si="49"/>
        <v>0.6</v>
      </c>
      <c r="S182" s="129">
        <f t="shared" si="49"/>
        <v>0.6</v>
      </c>
      <c r="T182" s="129">
        <f t="shared" si="50"/>
        <v>0.6</v>
      </c>
      <c r="U182" s="129">
        <f t="shared" si="50"/>
        <v>0.6</v>
      </c>
      <c r="V182" s="129">
        <f t="shared" si="50"/>
        <v>0.6</v>
      </c>
      <c r="W182" s="129">
        <f t="shared" si="50"/>
        <v>0.6</v>
      </c>
      <c r="X182" s="129">
        <f t="shared" si="50"/>
        <v>0.6</v>
      </c>
      <c r="Y182" s="129">
        <f t="shared" si="50"/>
        <v>0.6</v>
      </c>
      <c r="Z182" s="129">
        <f t="shared" si="50"/>
        <v>0.6</v>
      </c>
      <c r="AA182" s="129">
        <f t="shared" si="50"/>
        <v>0.6</v>
      </c>
      <c r="AB182" s="129">
        <f t="shared" si="50"/>
        <v>0.6</v>
      </c>
      <c r="AC182" s="129">
        <f t="shared" si="50"/>
        <v>0.6</v>
      </c>
      <c r="AD182" s="129">
        <f t="shared" si="50"/>
        <v>0.6</v>
      </c>
      <c r="AE182" s="129">
        <f t="shared" si="50"/>
        <v>0.6</v>
      </c>
      <c r="AF182" s="129">
        <f t="shared" si="50"/>
        <v>0.6</v>
      </c>
      <c r="AG182" s="132">
        <v>0.997</v>
      </c>
      <c r="AH182" s="54"/>
      <c r="AI182" s="55"/>
      <c r="AK182" s="56"/>
    </row>
    <row r="183" spans="1:37" x14ac:dyDescent="0.25">
      <c r="A183" s="118" t="s">
        <v>186</v>
      </c>
      <c r="B183" s="129">
        <f t="shared" si="48"/>
        <v>0.35</v>
      </c>
      <c r="C183" s="130">
        <v>0.35</v>
      </c>
      <c r="D183" s="129">
        <f t="shared" si="49"/>
        <v>0.35</v>
      </c>
      <c r="E183" s="129">
        <f t="shared" si="49"/>
        <v>0.35</v>
      </c>
      <c r="F183" s="129">
        <f t="shared" si="49"/>
        <v>0.35</v>
      </c>
      <c r="G183" s="129">
        <f t="shared" si="49"/>
        <v>0.35</v>
      </c>
      <c r="H183" s="129">
        <f t="shared" si="49"/>
        <v>0.35</v>
      </c>
      <c r="I183" s="129">
        <f t="shared" si="49"/>
        <v>0.35</v>
      </c>
      <c r="J183" s="129">
        <f t="shared" si="49"/>
        <v>0.35</v>
      </c>
      <c r="K183" s="129">
        <f t="shared" si="49"/>
        <v>0.35</v>
      </c>
      <c r="L183" s="129">
        <f t="shared" si="49"/>
        <v>0.35</v>
      </c>
      <c r="M183" s="129">
        <f t="shared" si="49"/>
        <v>0.35</v>
      </c>
      <c r="N183" s="129">
        <f t="shared" si="49"/>
        <v>0.35</v>
      </c>
      <c r="O183" s="129">
        <f t="shared" si="49"/>
        <v>0.35</v>
      </c>
      <c r="P183" s="129">
        <f t="shared" si="49"/>
        <v>0.35</v>
      </c>
      <c r="Q183" s="129">
        <f t="shared" si="49"/>
        <v>0.35</v>
      </c>
      <c r="R183" s="129">
        <f t="shared" si="49"/>
        <v>0.35</v>
      </c>
      <c r="S183" s="129">
        <f t="shared" si="49"/>
        <v>0.35</v>
      </c>
      <c r="T183" s="129">
        <f t="shared" si="50"/>
        <v>0.35</v>
      </c>
      <c r="U183" s="129">
        <f t="shared" si="50"/>
        <v>0.35</v>
      </c>
      <c r="V183" s="129">
        <f t="shared" si="50"/>
        <v>0.35</v>
      </c>
      <c r="W183" s="129">
        <f t="shared" si="50"/>
        <v>0.35</v>
      </c>
      <c r="X183" s="129">
        <f t="shared" si="50"/>
        <v>0.35</v>
      </c>
      <c r="Y183" s="129">
        <f t="shared" si="50"/>
        <v>0.35</v>
      </c>
      <c r="Z183" s="129">
        <f t="shared" si="50"/>
        <v>0.35</v>
      </c>
      <c r="AA183" s="129">
        <f t="shared" si="50"/>
        <v>0.35</v>
      </c>
      <c r="AB183" s="129">
        <f t="shared" si="50"/>
        <v>0.35</v>
      </c>
      <c r="AC183" s="129">
        <f t="shared" si="50"/>
        <v>0.35</v>
      </c>
      <c r="AD183" s="129">
        <f t="shared" si="50"/>
        <v>0.35</v>
      </c>
      <c r="AE183" s="129">
        <f t="shared" si="50"/>
        <v>0.35</v>
      </c>
      <c r="AF183" s="129">
        <f t="shared" si="50"/>
        <v>0.35</v>
      </c>
      <c r="AG183" s="132">
        <v>0.997</v>
      </c>
      <c r="AH183" s="54"/>
      <c r="AI183" s="55"/>
      <c r="AK183" s="56"/>
    </row>
    <row r="184" spans="1:37" x14ac:dyDescent="0.25">
      <c r="A184" s="118" t="s">
        <v>187</v>
      </c>
      <c r="B184" s="129">
        <f t="shared" si="48"/>
        <v>0.28999999999999998</v>
      </c>
      <c r="C184" s="130">
        <v>0.28999999999999998</v>
      </c>
      <c r="D184" s="129">
        <f t="shared" si="49"/>
        <v>0.28999999999999998</v>
      </c>
      <c r="E184" s="129">
        <f t="shared" si="49"/>
        <v>0.28999999999999998</v>
      </c>
      <c r="F184" s="129">
        <f t="shared" si="49"/>
        <v>0.28999999999999998</v>
      </c>
      <c r="G184" s="129">
        <f t="shared" si="49"/>
        <v>0.28999999999999998</v>
      </c>
      <c r="H184" s="129">
        <f t="shared" si="49"/>
        <v>0.28999999999999998</v>
      </c>
      <c r="I184" s="129">
        <f t="shared" si="49"/>
        <v>0.28999999999999998</v>
      </c>
      <c r="J184" s="129">
        <f t="shared" si="49"/>
        <v>0.28999999999999998</v>
      </c>
      <c r="K184" s="129">
        <f t="shared" si="49"/>
        <v>0.28999999999999998</v>
      </c>
      <c r="L184" s="129">
        <f t="shared" si="49"/>
        <v>0.28999999999999998</v>
      </c>
      <c r="M184" s="129">
        <f t="shared" si="49"/>
        <v>0.28999999999999998</v>
      </c>
      <c r="N184" s="129">
        <f t="shared" si="49"/>
        <v>0.28999999999999998</v>
      </c>
      <c r="O184" s="129">
        <f t="shared" si="49"/>
        <v>0.28999999999999998</v>
      </c>
      <c r="P184" s="129">
        <f t="shared" si="49"/>
        <v>0.28999999999999998</v>
      </c>
      <c r="Q184" s="129">
        <f t="shared" si="49"/>
        <v>0.28999999999999998</v>
      </c>
      <c r="R184" s="129">
        <f t="shared" si="49"/>
        <v>0.28999999999999998</v>
      </c>
      <c r="S184" s="129">
        <f t="shared" si="49"/>
        <v>0.28999999999999998</v>
      </c>
      <c r="T184" s="129">
        <f t="shared" si="50"/>
        <v>0.28999999999999998</v>
      </c>
      <c r="U184" s="129">
        <f t="shared" si="50"/>
        <v>0.28999999999999998</v>
      </c>
      <c r="V184" s="129">
        <f t="shared" si="50"/>
        <v>0.28999999999999998</v>
      </c>
      <c r="W184" s="129">
        <f t="shared" si="50"/>
        <v>0.28999999999999998</v>
      </c>
      <c r="X184" s="129">
        <f t="shared" si="50"/>
        <v>0.28999999999999998</v>
      </c>
      <c r="Y184" s="129">
        <f t="shared" si="50"/>
        <v>0.28999999999999998</v>
      </c>
      <c r="Z184" s="129">
        <f t="shared" si="50"/>
        <v>0.28999999999999998</v>
      </c>
      <c r="AA184" s="129">
        <f t="shared" si="50"/>
        <v>0.28999999999999998</v>
      </c>
      <c r="AB184" s="129">
        <f t="shared" si="50"/>
        <v>0.28999999999999998</v>
      </c>
      <c r="AC184" s="129">
        <f t="shared" si="50"/>
        <v>0.28999999999999998</v>
      </c>
      <c r="AD184" s="129">
        <f t="shared" si="50"/>
        <v>0.28999999999999998</v>
      </c>
      <c r="AE184" s="129">
        <f t="shared" si="50"/>
        <v>0.28999999999999998</v>
      </c>
      <c r="AF184" s="129">
        <f t="shared" si="50"/>
        <v>0.28999999999999998</v>
      </c>
      <c r="AG184" s="132">
        <v>0.996</v>
      </c>
      <c r="AH184" s="54"/>
      <c r="AI184" s="55"/>
      <c r="AK184" s="56"/>
    </row>
    <row r="185" spans="1:37" x14ac:dyDescent="0.25">
      <c r="A185" s="118" t="s">
        <v>188</v>
      </c>
      <c r="B185" s="129">
        <f t="shared" si="48"/>
        <v>0.06</v>
      </c>
      <c r="C185" s="130">
        <v>0.06</v>
      </c>
      <c r="D185" s="129">
        <f t="shared" si="49"/>
        <v>0.06</v>
      </c>
      <c r="E185" s="129">
        <f t="shared" si="49"/>
        <v>0.06</v>
      </c>
      <c r="F185" s="129">
        <f t="shared" si="49"/>
        <v>0.06</v>
      </c>
      <c r="G185" s="129">
        <f t="shared" si="49"/>
        <v>0.06</v>
      </c>
      <c r="H185" s="129">
        <f t="shared" si="49"/>
        <v>0.06</v>
      </c>
      <c r="I185" s="129">
        <f t="shared" si="49"/>
        <v>0.06</v>
      </c>
      <c r="J185" s="129">
        <f t="shared" si="49"/>
        <v>0.06</v>
      </c>
      <c r="K185" s="129">
        <f t="shared" si="49"/>
        <v>0.06</v>
      </c>
      <c r="L185" s="129">
        <f t="shared" si="49"/>
        <v>0.06</v>
      </c>
      <c r="M185" s="129">
        <f t="shared" si="49"/>
        <v>0.06</v>
      </c>
      <c r="N185" s="129">
        <f t="shared" si="49"/>
        <v>0.06</v>
      </c>
      <c r="O185" s="129">
        <f t="shared" si="49"/>
        <v>0.06</v>
      </c>
      <c r="P185" s="129">
        <f t="shared" si="49"/>
        <v>0.06</v>
      </c>
      <c r="Q185" s="129">
        <f t="shared" si="49"/>
        <v>0.06</v>
      </c>
      <c r="R185" s="129">
        <f t="shared" si="49"/>
        <v>0.06</v>
      </c>
      <c r="S185" s="129">
        <f t="shared" si="49"/>
        <v>0.06</v>
      </c>
      <c r="T185" s="129">
        <f t="shared" si="50"/>
        <v>0.06</v>
      </c>
      <c r="U185" s="129">
        <f t="shared" si="50"/>
        <v>0.06</v>
      </c>
      <c r="V185" s="129">
        <f t="shared" si="50"/>
        <v>0.06</v>
      </c>
      <c r="W185" s="129">
        <f t="shared" si="50"/>
        <v>0.06</v>
      </c>
      <c r="X185" s="129">
        <f t="shared" si="50"/>
        <v>0.06</v>
      </c>
      <c r="Y185" s="129">
        <f t="shared" si="50"/>
        <v>0.06</v>
      </c>
      <c r="Z185" s="129">
        <f t="shared" si="50"/>
        <v>0.06</v>
      </c>
      <c r="AA185" s="129">
        <f t="shared" si="50"/>
        <v>0.06</v>
      </c>
      <c r="AB185" s="129">
        <f t="shared" si="50"/>
        <v>0.06</v>
      </c>
      <c r="AC185" s="129">
        <f t="shared" si="50"/>
        <v>0.06</v>
      </c>
      <c r="AD185" s="129">
        <f t="shared" si="50"/>
        <v>0.06</v>
      </c>
      <c r="AE185" s="129">
        <f t="shared" si="50"/>
        <v>0.06</v>
      </c>
      <c r="AF185" s="129">
        <f t="shared" si="50"/>
        <v>0.06</v>
      </c>
      <c r="AG185" s="132">
        <v>0.996</v>
      </c>
      <c r="AH185" s="54"/>
      <c r="AI185" s="55"/>
      <c r="AK185" s="56"/>
    </row>
    <row r="186" spans="1:37" x14ac:dyDescent="0.25">
      <c r="A186" s="118" t="s">
        <v>189</v>
      </c>
      <c r="B186" s="129">
        <f t="shared" si="48"/>
        <v>0.11</v>
      </c>
      <c r="C186" s="130">
        <v>0.11</v>
      </c>
      <c r="D186" s="129">
        <f t="shared" si="49"/>
        <v>0.11</v>
      </c>
      <c r="E186" s="129">
        <f t="shared" si="49"/>
        <v>0.11</v>
      </c>
      <c r="F186" s="129">
        <f t="shared" si="49"/>
        <v>0.11</v>
      </c>
      <c r="G186" s="129">
        <f t="shared" si="49"/>
        <v>0.11</v>
      </c>
      <c r="H186" s="129">
        <f t="shared" si="49"/>
        <v>0.11</v>
      </c>
      <c r="I186" s="129">
        <f t="shared" si="49"/>
        <v>0.11</v>
      </c>
      <c r="J186" s="129">
        <f t="shared" si="49"/>
        <v>0.11</v>
      </c>
      <c r="K186" s="129">
        <f t="shared" si="49"/>
        <v>0.11</v>
      </c>
      <c r="L186" s="129">
        <f t="shared" si="49"/>
        <v>0.11</v>
      </c>
      <c r="M186" s="129">
        <f t="shared" si="49"/>
        <v>0.11</v>
      </c>
      <c r="N186" s="129">
        <f t="shared" si="49"/>
        <v>0.11</v>
      </c>
      <c r="O186" s="129">
        <f t="shared" si="49"/>
        <v>0.11</v>
      </c>
      <c r="P186" s="129">
        <f t="shared" si="49"/>
        <v>0.11</v>
      </c>
      <c r="Q186" s="129">
        <f t="shared" si="49"/>
        <v>0.11</v>
      </c>
      <c r="R186" s="129">
        <f t="shared" si="49"/>
        <v>0.11</v>
      </c>
      <c r="S186" s="129">
        <f t="shared" si="49"/>
        <v>0.11</v>
      </c>
      <c r="T186" s="129">
        <f t="shared" si="50"/>
        <v>0.11</v>
      </c>
      <c r="U186" s="129">
        <f t="shared" si="50"/>
        <v>0.11</v>
      </c>
      <c r="V186" s="129">
        <f t="shared" si="50"/>
        <v>0.11</v>
      </c>
      <c r="W186" s="129">
        <f t="shared" si="50"/>
        <v>0.11</v>
      </c>
      <c r="X186" s="129">
        <f t="shared" si="50"/>
        <v>0.11</v>
      </c>
      <c r="Y186" s="129">
        <f t="shared" si="50"/>
        <v>0.11</v>
      </c>
      <c r="Z186" s="129">
        <f t="shared" si="50"/>
        <v>0.11</v>
      </c>
      <c r="AA186" s="129">
        <f t="shared" si="50"/>
        <v>0.11</v>
      </c>
      <c r="AB186" s="129">
        <f t="shared" si="50"/>
        <v>0.11</v>
      </c>
      <c r="AC186" s="129">
        <f t="shared" si="50"/>
        <v>0.11</v>
      </c>
      <c r="AD186" s="129">
        <f t="shared" si="50"/>
        <v>0.11</v>
      </c>
      <c r="AE186" s="129">
        <f t="shared" si="50"/>
        <v>0.11</v>
      </c>
      <c r="AF186" s="129">
        <f t="shared" si="50"/>
        <v>0.11</v>
      </c>
      <c r="AG186" s="132">
        <v>0.996</v>
      </c>
      <c r="AH186" s="54"/>
      <c r="AI186" s="55"/>
      <c r="AK186" s="56"/>
    </row>
    <row r="187" spans="1:37" x14ac:dyDescent="0.25">
      <c r="A187" s="118" t="s">
        <v>190</v>
      </c>
      <c r="B187" s="129">
        <f t="shared" si="48"/>
        <v>0.1</v>
      </c>
      <c r="C187" s="130">
        <v>0.1</v>
      </c>
      <c r="D187" s="129">
        <f t="shared" si="49"/>
        <v>0.1</v>
      </c>
      <c r="E187" s="129">
        <f t="shared" si="49"/>
        <v>0.1</v>
      </c>
      <c r="F187" s="129">
        <f t="shared" si="49"/>
        <v>0.1</v>
      </c>
      <c r="G187" s="129">
        <f t="shared" si="49"/>
        <v>0.1</v>
      </c>
      <c r="H187" s="129">
        <f t="shared" si="49"/>
        <v>0.1</v>
      </c>
      <c r="I187" s="129">
        <f t="shared" si="49"/>
        <v>0.1</v>
      </c>
      <c r="J187" s="129">
        <f t="shared" si="49"/>
        <v>0.1</v>
      </c>
      <c r="K187" s="129">
        <f t="shared" si="49"/>
        <v>0.1</v>
      </c>
      <c r="L187" s="129">
        <f t="shared" si="49"/>
        <v>0.1</v>
      </c>
      <c r="M187" s="129">
        <f t="shared" si="49"/>
        <v>0.1</v>
      </c>
      <c r="N187" s="129">
        <f t="shared" si="49"/>
        <v>0.1</v>
      </c>
      <c r="O187" s="129">
        <f t="shared" si="49"/>
        <v>0.1</v>
      </c>
      <c r="P187" s="129">
        <f t="shared" si="49"/>
        <v>0.1</v>
      </c>
      <c r="Q187" s="129">
        <f t="shared" si="49"/>
        <v>0.1</v>
      </c>
      <c r="R187" s="129">
        <f t="shared" si="49"/>
        <v>0.1</v>
      </c>
      <c r="S187" s="129">
        <f t="shared" si="50"/>
        <v>0.1</v>
      </c>
      <c r="T187" s="129">
        <f t="shared" si="50"/>
        <v>0.1</v>
      </c>
      <c r="U187" s="129">
        <f t="shared" si="50"/>
        <v>0.1</v>
      </c>
      <c r="V187" s="129">
        <f t="shared" si="50"/>
        <v>0.1</v>
      </c>
      <c r="W187" s="129">
        <f t="shared" si="50"/>
        <v>0.1</v>
      </c>
      <c r="X187" s="129">
        <f t="shared" si="50"/>
        <v>0.1</v>
      </c>
      <c r="Y187" s="129">
        <f t="shared" si="50"/>
        <v>0.1</v>
      </c>
      <c r="Z187" s="129">
        <f t="shared" si="50"/>
        <v>0.1</v>
      </c>
      <c r="AA187" s="129">
        <f t="shared" si="50"/>
        <v>0.1</v>
      </c>
      <c r="AB187" s="129">
        <f t="shared" si="50"/>
        <v>0.1</v>
      </c>
      <c r="AC187" s="129">
        <f t="shared" si="50"/>
        <v>0.1</v>
      </c>
      <c r="AD187" s="129">
        <f t="shared" si="50"/>
        <v>0.1</v>
      </c>
      <c r="AE187" s="129">
        <f t="shared" si="50"/>
        <v>0.1</v>
      </c>
      <c r="AF187" s="129">
        <f t="shared" si="50"/>
        <v>0.1</v>
      </c>
      <c r="AG187" s="132">
        <v>0.995</v>
      </c>
      <c r="AH187" s="54"/>
      <c r="AI187" s="55"/>
      <c r="AK187" s="56"/>
    </row>
    <row r="188" spans="1:37" x14ac:dyDescent="0.25">
      <c r="A188" s="118" t="s">
        <v>191</v>
      </c>
      <c r="B188" s="129">
        <f t="shared" si="48"/>
        <v>0.09</v>
      </c>
      <c r="C188" s="130">
        <v>0.09</v>
      </c>
      <c r="D188" s="129">
        <f t="shared" si="49"/>
        <v>0.09</v>
      </c>
      <c r="E188" s="129">
        <f t="shared" si="49"/>
        <v>0.09</v>
      </c>
      <c r="F188" s="129">
        <f t="shared" si="49"/>
        <v>0.09</v>
      </c>
      <c r="G188" s="129">
        <f t="shared" si="49"/>
        <v>0.09</v>
      </c>
      <c r="H188" s="129">
        <f t="shared" si="49"/>
        <v>0.09</v>
      </c>
      <c r="I188" s="129">
        <f t="shared" si="49"/>
        <v>0.09</v>
      </c>
      <c r="J188" s="129">
        <f t="shared" si="49"/>
        <v>0.09</v>
      </c>
      <c r="K188" s="129">
        <f t="shared" si="49"/>
        <v>0.09</v>
      </c>
      <c r="L188" s="129">
        <f t="shared" si="49"/>
        <v>0.09</v>
      </c>
      <c r="M188" s="129">
        <f t="shared" si="49"/>
        <v>0.09</v>
      </c>
      <c r="N188" s="129">
        <f t="shared" si="49"/>
        <v>0.09</v>
      </c>
      <c r="O188" s="129">
        <f t="shared" si="49"/>
        <v>0.09</v>
      </c>
      <c r="P188" s="129">
        <f t="shared" si="49"/>
        <v>0.09</v>
      </c>
      <c r="Q188" s="129">
        <f t="shared" si="49"/>
        <v>0.09</v>
      </c>
      <c r="R188" s="129">
        <f t="shared" si="49"/>
        <v>0.09</v>
      </c>
      <c r="S188" s="129">
        <f t="shared" si="50"/>
        <v>0.09</v>
      </c>
      <c r="T188" s="129">
        <f t="shared" si="50"/>
        <v>0.09</v>
      </c>
      <c r="U188" s="129">
        <f t="shared" si="50"/>
        <v>0.09</v>
      </c>
      <c r="V188" s="129">
        <f t="shared" si="50"/>
        <v>0.09</v>
      </c>
      <c r="W188" s="129">
        <f t="shared" si="50"/>
        <v>0.09</v>
      </c>
      <c r="X188" s="129">
        <f t="shared" si="50"/>
        <v>0.09</v>
      </c>
      <c r="Y188" s="129">
        <f t="shared" si="50"/>
        <v>0.09</v>
      </c>
      <c r="Z188" s="129">
        <f t="shared" si="50"/>
        <v>0.09</v>
      </c>
      <c r="AA188" s="129">
        <f t="shared" si="50"/>
        <v>0.09</v>
      </c>
      <c r="AB188" s="129">
        <f t="shared" si="50"/>
        <v>0.09</v>
      </c>
      <c r="AC188" s="129">
        <f t="shared" si="50"/>
        <v>0.09</v>
      </c>
      <c r="AD188" s="129">
        <f t="shared" si="50"/>
        <v>0.09</v>
      </c>
      <c r="AE188" s="129">
        <f t="shared" si="50"/>
        <v>0.09</v>
      </c>
      <c r="AF188" s="129">
        <f t="shared" si="50"/>
        <v>0.09</v>
      </c>
      <c r="AG188" s="132">
        <v>0.99299999999999999</v>
      </c>
      <c r="AH188" s="54"/>
      <c r="AI188" s="55"/>
      <c r="AK188" s="56"/>
    </row>
    <row r="189" spans="1:37" x14ac:dyDescent="0.25">
      <c r="A189" s="118" t="s">
        <v>192</v>
      </c>
      <c r="B189" s="129">
        <f t="shared" si="48"/>
        <v>0.04</v>
      </c>
      <c r="C189" s="53">
        <v>0.04</v>
      </c>
      <c r="D189" s="129">
        <f t="shared" si="49"/>
        <v>0.04</v>
      </c>
      <c r="E189" s="129">
        <f t="shared" si="49"/>
        <v>0.04</v>
      </c>
      <c r="F189" s="129">
        <f t="shared" si="49"/>
        <v>0.04</v>
      </c>
      <c r="G189" s="129">
        <f t="shared" si="49"/>
        <v>0.04</v>
      </c>
      <c r="H189" s="129">
        <f t="shared" si="49"/>
        <v>0.04</v>
      </c>
      <c r="I189" s="129">
        <f t="shared" si="49"/>
        <v>0.04</v>
      </c>
      <c r="J189" s="129">
        <f t="shared" si="49"/>
        <v>0.04</v>
      </c>
      <c r="K189" s="129">
        <f t="shared" si="49"/>
        <v>0.04</v>
      </c>
      <c r="L189" s="129">
        <f t="shared" si="49"/>
        <v>0.04</v>
      </c>
      <c r="M189" s="129">
        <f t="shared" si="49"/>
        <v>0.04</v>
      </c>
      <c r="N189" s="129">
        <f t="shared" si="49"/>
        <v>0.04</v>
      </c>
      <c r="O189" s="129">
        <f t="shared" si="49"/>
        <v>0.04</v>
      </c>
      <c r="P189" s="129">
        <f t="shared" si="49"/>
        <v>0.04</v>
      </c>
      <c r="Q189" s="129">
        <f t="shared" si="49"/>
        <v>0.04</v>
      </c>
      <c r="R189" s="129">
        <f t="shared" si="49"/>
        <v>0.04</v>
      </c>
      <c r="S189" s="129">
        <f t="shared" si="50"/>
        <v>0.04</v>
      </c>
      <c r="T189" s="129">
        <f t="shared" si="50"/>
        <v>0.04</v>
      </c>
      <c r="U189" s="129">
        <f t="shared" si="50"/>
        <v>0.04</v>
      </c>
      <c r="V189" s="129">
        <f t="shared" si="50"/>
        <v>0.04</v>
      </c>
      <c r="W189" s="129">
        <f t="shared" si="50"/>
        <v>0.04</v>
      </c>
      <c r="X189" s="129">
        <f t="shared" si="50"/>
        <v>0.04</v>
      </c>
      <c r="Y189" s="129">
        <f t="shared" si="50"/>
        <v>0.04</v>
      </c>
      <c r="Z189" s="129">
        <f t="shared" si="50"/>
        <v>0.04</v>
      </c>
      <c r="AA189" s="129">
        <f t="shared" si="50"/>
        <v>0.04</v>
      </c>
      <c r="AB189" s="129">
        <f t="shared" si="50"/>
        <v>0.04</v>
      </c>
      <c r="AC189" s="129">
        <f t="shared" si="50"/>
        <v>0.04</v>
      </c>
      <c r="AD189" s="129">
        <f t="shared" si="50"/>
        <v>0.04</v>
      </c>
      <c r="AE189" s="129">
        <f t="shared" si="50"/>
        <v>0.04</v>
      </c>
      <c r="AF189" s="129">
        <f t="shared" si="50"/>
        <v>0.04</v>
      </c>
      <c r="AG189" s="132">
        <v>0.99</v>
      </c>
      <c r="AH189" s="54"/>
      <c r="AI189" s="55"/>
      <c r="AK189" s="56"/>
    </row>
    <row r="190" spans="1:37" x14ac:dyDescent="0.25">
      <c r="A190" s="118" t="s">
        <v>193</v>
      </c>
      <c r="B190" s="129">
        <f t="shared" si="48"/>
        <v>2.3E-2</v>
      </c>
      <c r="C190" s="53">
        <v>2.3E-2</v>
      </c>
      <c r="D190" s="129">
        <f>C190</f>
        <v>2.3E-2</v>
      </c>
      <c r="E190" s="129">
        <f t="shared" si="49"/>
        <v>2.3E-2</v>
      </c>
      <c r="F190" s="129">
        <f t="shared" si="49"/>
        <v>2.3E-2</v>
      </c>
      <c r="G190" s="129">
        <f t="shared" si="49"/>
        <v>2.3E-2</v>
      </c>
      <c r="H190" s="129">
        <f t="shared" si="49"/>
        <v>2.3E-2</v>
      </c>
      <c r="I190" s="129">
        <f t="shared" si="49"/>
        <v>2.3E-2</v>
      </c>
      <c r="J190" s="129">
        <f t="shared" si="49"/>
        <v>2.3E-2</v>
      </c>
      <c r="K190" s="129">
        <f t="shared" si="49"/>
        <v>2.3E-2</v>
      </c>
      <c r="L190" s="129">
        <f t="shared" si="49"/>
        <v>2.3E-2</v>
      </c>
      <c r="M190" s="129">
        <f t="shared" si="49"/>
        <v>2.3E-2</v>
      </c>
      <c r="N190" s="129">
        <f t="shared" si="49"/>
        <v>2.3E-2</v>
      </c>
      <c r="O190" s="129">
        <f t="shared" si="49"/>
        <v>2.3E-2</v>
      </c>
      <c r="P190" s="129">
        <f t="shared" si="49"/>
        <v>2.3E-2</v>
      </c>
      <c r="Q190" s="129">
        <f t="shared" si="49"/>
        <v>2.3E-2</v>
      </c>
      <c r="R190" s="129">
        <f t="shared" si="49"/>
        <v>2.3E-2</v>
      </c>
      <c r="S190" s="129">
        <f t="shared" si="50"/>
        <v>2.3E-2</v>
      </c>
      <c r="T190" s="129">
        <f t="shared" si="50"/>
        <v>2.3E-2</v>
      </c>
      <c r="U190" s="129">
        <f t="shared" si="50"/>
        <v>2.3E-2</v>
      </c>
      <c r="V190" s="129">
        <f t="shared" si="50"/>
        <v>2.3E-2</v>
      </c>
      <c r="W190" s="129">
        <f t="shared" si="50"/>
        <v>2.3E-2</v>
      </c>
      <c r="X190" s="129">
        <f t="shared" si="50"/>
        <v>2.3E-2</v>
      </c>
      <c r="Y190" s="129">
        <f t="shared" si="50"/>
        <v>2.3E-2</v>
      </c>
      <c r="Z190" s="129">
        <f t="shared" si="50"/>
        <v>2.3E-2</v>
      </c>
      <c r="AA190" s="129">
        <f t="shared" si="50"/>
        <v>2.3E-2</v>
      </c>
      <c r="AB190" s="129">
        <f t="shared" si="50"/>
        <v>2.3E-2</v>
      </c>
      <c r="AC190" s="129">
        <f t="shared" si="50"/>
        <v>2.3E-2</v>
      </c>
      <c r="AD190" s="129">
        <f t="shared" si="50"/>
        <v>2.3E-2</v>
      </c>
      <c r="AE190" s="129">
        <f t="shared" si="50"/>
        <v>2.3E-2</v>
      </c>
      <c r="AF190" s="129">
        <f t="shared" si="50"/>
        <v>2.3E-2</v>
      </c>
      <c r="AG190" s="132">
        <v>0.97899999999999998</v>
      </c>
      <c r="AH190" s="54"/>
      <c r="AI190" s="55"/>
      <c r="AK190" s="56"/>
    </row>
    <row r="191" spans="1:37" ht="15.75" thickBot="1" x14ac:dyDescent="0.3">
      <c r="A191" s="133" t="s">
        <v>194</v>
      </c>
      <c r="B191" s="134">
        <f>SUM(B101:B190)</f>
        <v>192.10600000000005</v>
      </c>
      <c r="C191" s="134">
        <f t="shared" ref="C191:AG191" si="51">SUM(C101:C190)</f>
        <v>194.70600000000002</v>
      </c>
      <c r="D191" s="134">
        <f t="shared" si="51"/>
        <v>194.70600000000002</v>
      </c>
      <c r="E191" s="134">
        <f t="shared" si="51"/>
        <v>194.70600000000002</v>
      </c>
      <c r="F191" s="134">
        <f t="shared" si="51"/>
        <v>194.70600000000002</v>
      </c>
      <c r="G191" s="134">
        <f t="shared" si="51"/>
        <v>194.70600000000002</v>
      </c>
      <c r="H191" s="134">
        <f t="shared" si="51"/>
        <v>194.70600000000002</v>
      </c>
      <c r="I191" s="134">
        <f t="shared" si="51"/>
        <v>194.70600000000002</v>
      </c>
      <c r="J191" s="134">
        <f t="shared" si="51"/>
        <v>192.10600000000005</v>
      </c>
      <c r="K191" s="134">
        <f t="shared" si="51"/>
        <v>192.10600000000005</v>
      </c>
      <c r="L191" s="134">
        <f t="shared" si="51"/>
        <v>192.10600000000005</v>
      </c>
      <c r="M191" s="134">
        <f t="shared" si="51"/>
        <v>192.10600000000005</v>
      </c>
      <c r="N191" s="134">
        <f t="shared" si="51"/>
        <v>192.10600000000005</v>
      </c>
      <c r="O191" s="134">
        <f t="shared" si="51"/>
        <v>192.10600000000005</v>
      </c>
      <c r="P191" s="134">
        <f t="shared" si="51"/>
        <v>192.10600000000005</v>
      </c>
      <c r="Q191" s="134">
        <f t="shared" si="51"/>
        <v>192.10600000000005</v>
      </c>
      <c r="R191" s="134">
        <f t="shared" si="51"/>
        <v>192.10600000000005</v>
      </c>
      <c r="S191" s="134">
        <f t="shared" si="51"/>
        <v>192.10600000000005</v>
      </c>
      <c r="T191" s="134">
        <f t="shared" si="51"/>
        <v>192.10600000000005</v>
      </c>
      <c r="U191" s="134">
        <f t="shared" si="51"/>
        <v>192.10600000000005</v>
      </c>
      <c r="V191" s="134">
        <f t="shared" si="51"/>
        <v>192.10600000000005</v>
      </c>
      <c r="W191" s="134">
        <f t="shared" si="51"/>
        <v>192.10600000000005</v>
      </c>
      <c r="X191" s="134">
        <f t="shared" si="51"/>
        <v>192.10600000000005</v>
      </c>
      <c r="Y191" s="134">
        <f t="shared" si="51"/>
        <v>192.10600000000005</v>
      </c>
      <c r="Z191" s="134">
        <f t="shared" si="51"/>
        <v>192.10600000000005</v>
      </c>
      <c r="AA191" s="134">
        <f t="shared" si="51"/>
        <v>192.10600000000005</v>
      </c>
      <c r="AB191" s="134">
        <f t="shared" si="51"/>
        <v>192.10600000000005</v>
      </c>
      <c r="AC191" s="134">
        <f t="shared" si="51"/>
        <v>192.10600000000005</v>
      </c>
      <c r="AD191" s="134">
        <f t="shared" si="51"/>
        <v>192.10600000000005</v>
      </c>
      <c r="AE191" s="134">
        <f t="shared" si="51"/>
        <v>192.10600000000005</v>
      </c>
      <c r="AF191" s="134">
        <f t="shared" si="51"/>
        <v>192.10600000000005</v>
      </c>
      <c r="AG191" s="135">
        <f t="shared" si="51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54"/>
      <c r="AI192" s="55"/>
      <c r="AK192" s="56"/>
    </row>
    <row r="193" spans="1:37" x14ac:dyDescent="0.25">
      <c r="A193" s="112" t="s">
        <v>195</v>
      </c>
      <c r="B193" s="136">
        <f t="shared" ref="B193:B198" si="52">AF193</f>
        <v>0.3</v>
      </c>
      <c r="C193" s="136">
        <v>0.3</v>
      </c>
      <c r="D193" s="136">
        <f t="shared" ref="D193:S198" si="53">C193</f>
        <v>0.3</v>
      </c>
      <c r="E193" s="136">
        <f t="shared" si="53"/>
        <v>0.3</v>
      </c>
      <c r="F193" s="136">
        <f t="shared" si="53"/>
        <v>0.3</v>
      </c>
      <c r="G193" s="136">
        <f t="shared" si="53"/>
        <v>0.3</v>
      </c>
      <c r="H193" s="136">
        <f t="shared" si="53"/>
        <v>0.3</v>
      </c>
      <c r="I193" s="136">
        <f t="shared" si="53"/>
        <v>0.3</v>
      </c>
      <c r="J193" s="136">
        <f t="shared" si="53"/>
        <v>0.3</v>
      </c>
      <c r="K193" s="136">
        <f t="shared" si="53"/>
        <v>0.3</v>
      </c>
      <c r="L193" s="136">
        <f t="shared" si="53"/>
        <v>0.3</v>
      </c>
      <c r="M193" s="136">
        <f t="shared" si="53"/>
        <v>0.3</v>
      </c>
      <c r="N193" s="136">
        <f t="shared" si="53"/>
        <v>0.3</v>
      </c>
      <c r="O193" s="136">
        <f t="shared" si="53"/>
        <v>0.3</v>
      </c>
      <c r="P193" s="136">
        <f t="shared" si="53"/>
        <v>0.3</v>
      </c>
      <c r="Q193" s="136">
        <f t="shared" si="53"/>
        <v>0.3</v>
      </c>
      <c r="R193" s="136">
        <f t="shared" si="53"/>
        <v>0.3</v>
      </c>
      <c r="S193" s="136">
        <f t="shared" si="53"/>
        <v>0.3</v>
      </c>
      <c r="T193" s="136">
        <f t="shared" ref="T193:AF198" si="54">S193</f>
        <v>0.3</v>
      </c>
      <c r="U193" s="136">
        <f t="shared" si="54"/>
        <v>0.3</v>
      </c>
      <c r="V193" s="136">
        <f t="shared" si="54"/>
        <v>0.3</v>
      </c>
      <c r="W193" s="136">
        <f t="shared" si="54"/>
        <v>0.3</v>
      </c>
      <c r="X193" s="136">
        <f t="shared" si="54"/>
        <v>0.3</v>
      </c>
      <c r="Y193" s="136">
        <f t="shared" si="54"/>
        <v>0.3</v>
      </c>
      <c r="Z193" s="136">
        <f t="shared" si="54"/>
        <v>0.3</v>
      </c>
      <c r="AA193" s="136">
        <f t="shared" si="54"/>
        <v>0.3</v>
      </c>
      <c r="AB193" s="136">
        <f t="shared" si="54"/>
        <v>0.3</v>
      </c>
      <c r="AC193" s="136">
        <f t="shared" si="54"/>
        <v>0.3</v>
      </c>
      <c r="AD193" s="136">
        <f t="shared" si="54"/>
        <v>0.3</v>
      </c>
      <c r="AE193" s="136">
        <f t="shared" si="54"/>
        <v>0.3</v>
      </c>
      <c r="AF193" s="136">
        <f t="shared" si="54"/>
        <v>0.3</v>
      </c>
      <c r="AG193" s="137">
        <v>2.4</v>
      </c>
      <c r="AH193" s="54"/>
      <c r="AI193" s="55"/>
      <c r="AK193" s="56"/>
    </row>
    <row r="194" spans="1:37" x14ac:dyDescent="0.25">
      <c r="A194" s="117" t="s">
        <v>196</v>
      </c>
      <c r="B194" s="129">
        <f t="shared" si="52"/>
        <v>0.4</v>
      </c>
      <c r="C194" s="129">
        <v>0.4</v>
      </c>
      <c r="D194" s="129">
        <f t="shared" si="53"/>
        <v>0.4</v>
      </c>
      <c r="E194" s="129">
        <f t="shared" si="53"/>
        <v>0.4</v>
      </c>
      <c r="F194" s="129">
        <f t="shared" si="53"/>
        <v>0.4</v>
      </c>
      <c r="G194" s="129">
        <f t="shared" si="53"/>
        <v>0.4</v>
      </c>
      <c r="H194" s="129">
        <f t="shared" si="53"/>
        <v>0.4</v>
      </c>
      <c r="I194" s="129">
        <f t="shared" si="53"/>
        <v>0.4</v>
      </c>
      <c r="J194" s="129">
        <f t="shared" si="53"/>
        <v>0.4</v>
      </c>
      <c r="K194" s="129">
        <f t="shared" si="53"/>
        <v>0.4</v>
      </c>
      <c r="L194" s="129">
        <f t="shared" si="53"/>
        <v>0.4</v>
      </c>
      <c r="M194" s="129">
        <f t="shared" si="53"/>
        <v>0.4</v>
      </c>
      <c r="N194" s="129">
        <f t="shared" si="53"/>
        <v>0.4</v>
      </c>
      <c r="O194" s="129">
        <f t="shared" si="53"/>
        <v>0.4</v>
      </c>
      <c r="P194" s="129">
        <f t="shared" si="53"/>
        <v>0.4</v>
      </c>
      <c r="Q194" s="129">
        <f t="shared" si="53"/>
        <v>0.4</v>
      </c>
      <c r="R194" s="129">
        <f t="shared" si="53"/>
        <v>0.4</v>
      </c>
      <c r="S194" s="129">
        <f t="shared" si="53"/>
        <v>0.4</v>
      </c>
      <c r="T194" s="129">
        <f t="shared" si="54"/>
        <v>0.4</v>
      </c>
      <c r="U194" s="129">
        <f t="shared" si="54"/>
        <v>0.4</v>
      </c>
      <c r="V194" s="129">
        <f t="shared" si="54"/>
        <v>0.4</v>
      </c>
      <c r="W194" s="129">
        <f>V194</f>
        <v>0.4</v>
      </c>
      <c r="X194" s="129">
        <f>W194</f>
        <v>0.4</v>
      </c>
      <c r="Y194" s="129">
        <f t="shared" si="54"/>
        <v>0.4</v>
      </c>
      <c r="Z194" s="129">
        <f t="shared" si="54"/>
        <v>0.4</v>
      </c>
      <c r="AA194" s="129">
        <f t="shared" si="54"/>
        <v>0.4</v>
      </c>
      <c r="AB194" s="129">
        <f t="shared" si="54"/>
        <v>0.4</v>
      </c>
      <c r="AC194" s="129">
        <f t="shared" si="54"/>
        <v>0.4</v>
      </c>
      <c r="AD194" s="129">
        <f t="shared" si="54"/>
        <v>0.4</v>
      </c>
      <c r="AE194" s="129">
        <f t="shared" si="54"/>
        <v>0.4</v>
      </c>
      <c r="AF194" s="129">
        <f t="shared" si="54"/>
        <v>0.4</v>
      </c>
      <c r="AG194" s="138">
        <v>2</v>
      </c>
      <c r="AH194" s="54"/>
      <c r="AI194" s="55"/>
      <c r="AK194" s="56"/>
    </row>
    <row r="195" spans="1:37" x14ac:dyDescent="0.25">
      <c r="A195" s="117" t="s">
        <v>197</v>
      </c>
      <c r="B195" s="129">
        <f t="shared" si="52"/>
        <v>1.5</v>
      </c>
      <c r="C195" s="129">
        <v>1.5</v>
      </c>
      <c r="D195" s="129">
        <f t="shared" si="53"/>
        <v>1.5</v>
      </c>
      <c r="E195" s="129">
        <f t="shared" si="53"/>
        <v>1.5</v>
      </c>
      <c r="F195" s="129">
        <f t="shared" si="53"/>
        <v>1.5</v>
      </c>
      <c r="G195" s="129">
        <f t="shared" si="53"/>
        <v>1.5</v>
      </c>
      <c r="H195" s="129">
        <f t="shared" si="53"/>
        <v>1.5</v>
      </c>
      <c r="I195" s="129">
        <f t="shared" si="53"/>
        <v>1.5</v>
      </c>
      <c r="J195" s="129">
        <f t="shared" si="53"/>
        <v>1.5</v>
      </c>
      <c r="K195" s="129">
        <f t="shared" si="53"/>
        <v>1.5</v>
      </c>
      <c r="L195" s="129">
        <f t="shared" si="53"/>
        <v>1.5</v>
      </c>
      <c r="M195" s="129">
        <f t="shared" si="53"/>
        <v>1.5</v>
      </c>
      <c r="N195" s="129">
        <f t="shared" si="53"/>
        <v>1.5</v>
      </c>
      <c r="O195" s="129">
        <f t="shared" si="53"/>
        <v>1.5</v>
      </c>
      <c r="P195" s="129">
        <f t="shared" si="53"/>
        <v>1.5</v>
      </c>
      <c r="Q195" s="129">
        <f t="shared" si="53"/>
        <v>1.5</v>
      </c>
      <c r="R195" s="129">
        <f t="shared" si="53"/>
        <v>1.5</v>
      </c>
      <c r="S195" s="129">
        <f t="shared" si="53"/>
        <v>1.5</v>
      </c>
      <c r="T195" s="129">
        <f t="shared" si="54"/>
        <v>1.5</v>
      </c>
      <c r="U195" s="129">
        <f t="shared" si="54"/>
        <v>1.5</v>
      </c>
      <c r="V195" s="129">
        <f t="shared" si="54"/>
        <v>1.5</v>
      </c>
      <c r="W195" s="129">
        <f t="shared" si="54"/>
        <v>1.5</v>
      </c>
      <c r="X195" s="129">
        <f t="shared" si="54"/>
        <v>1.5</v>
      </c>
      <c r="Y195" s="129">
        <f t="shared" si="54"/>
        <v>1.5</v>
      </c>
      <c r="Z195" s="129">
        <f t="shared" si="54"/>
        <v>1.5</v>
      </c>
      <c r="AA195" s="129">
        <f t="shared" si="54"/>
        <v>1.5</v>
      </c>
      <c r="AB195" s="129">
        <f t="shared" si="54"/>
        <v>1.5</v>
      </c>
      <c r="AC195" s="129">
        <f t="shared" si="54"/>
        <v>1.5</v>
      </c>
      <c r="AD195" s="129">
        <f t="shared" si="54"/>
        <v>1.5</v>
      </c>
      <c r="AE195" s="129">
        <f t="shared" si="54"/>
        <v>1.5</v>
      </c>
      <c r="AF195" s="129">
        <f t="shared" si="54"/>
        <v>1.5</v>
      </c>
      <c r="AG195" s="138">
        <v>1.5</v>
      </c>
      <c r="AH195" s="54"/>
      <c r="AI195" s="55"/>
      <c r="AK195" s="56"/>
    </row>
    <row r="196" spans="1:37" x14ac:dyDescent="0.25">
      <c r="A196" s="117" t="s">
        <v>198</v>
      </c>
      <c r="B196" s="129">
        <f t="shared" si="52"/>
        <v>0.3</v>
      </c>
      <c r="C196" s="129">
        <v>0.3</v>
      </c>
      <c r="D196" s="129">
        <f t="shared" si="53"/>
        <v>0.3</v>
      </c>
      <c r="E196" s="129">
        <f t="shared" si="53"/>
        <v>0.3</v>
      </c>
      <c r="F196" s="129">
        <f t="shared" si="53"/>
        <v>0.3</v>
      </c>
      <c r="G196" s="129">
        <f t="shared" si="53"/>
        <v>0.3</v>
      </c>
      <c r="H196" s="129">
        <f t="shared" si="53"/>
        <v>0.3</v>
      </c>
      <c r="I196" s="129">
        <f t="shared" si="53"/>
        <v>0.3</v>
      </c>
      <c r="J196" s="129">
        <f t="shared" si="53"/>
        <v>0.3</v>
      </c>
      <c r="K196" s="129">
        <f t="shared" si="53"/>
        <v>0.3</v>
      </c>
      <c r="L196" s="129">
        <f t="shared" si="53"/>
        <v>0.3</v>
      </c>
      <c r="M196" s="129">
        <f t="shared" si="53"/>
        <v>0.3</v>
      </c>
      <c r="N196" s="129">
        <f t="shared" si="53"/>
        <v>0.3</v>
      </c>
      <c r="O196" s="129">
        <f t="shared" si="53"/>
        <v>0.3</v>
      </c>
      <c r="P196" s="129">
        <f t="shared" si="53"/>
        <v>0.3</v>
      </c>
      <c r="Q196" s="129">
        <f t="shared" si="53"/>
        <v>0.3</v>
      </c>
      <c r="R196" s="129">
        <f t="shared" si="53"/>
        <v>0.3</v>
      </c>
      <c r="S196" s="129">
        <f t="shared" si="53"/>
        <v>0.3</v>
      </c>
      <c r="T196" s="129">
        <f t="shared" si="54"/>
        <v>0.3</v>
      </c>
      <c r="U196" s="129">
        <f t="shared" si="54"/>
        <v>0.3</v>
      </c>
      <c r="V196" s="129">
        <f t="shared" si="54"/>
        <v>0.3</v>
      </c>
      <c r="W196" s="129">
        <f t="shared" si="54"/>
        <v>0.3</v>
      </c>
      <c r="X196" s="129">
        <f t="shared" si="54"/>
        <v>0.3</v>
      </c>
      <c r="Y196" s="129">
        <f t="shared" si="54"/>
        <v>0.3</v>
      </c>
      <c r="Z196" s="129">
        <f t="shared" si="54"/>
        <v>0.3</v>
      </c>
      <c r="AA196" s="129">
        <f t="shared" si="54"/>
        <v>0.3</v>
      </c>
      <c r="AB196" s="129">
        <f t="shared" si="54"/>
        <v>0.3</v>
      </c>
      <c r="AC196" s="129">
        <f t="shared" si="54"/>
        <v>0.3</v>
      </c>
      <c r="AD196" s="129">
        <f t="shared" si="54"/>
        <v>0.3</v>
      </c>
      <c r="AE196" s="129">
        <f t="shared" si="54"/>
        <v>0.3</v>
      </c>
      <c r="AF196" s="129">
        <f t="shared" si="54"/>
        <v>0.3</v>
      </c>
      <c r="AG196" s="138">
        <v>1</v>
      </c>
      <c r="AH196" s="54"/>
      <c r="AI196" s="55"/>
      <c r="AK196" s="56"/>
    </row>
    <row r="197" spans="1:37" x14ac:dyDescent="0.25">
      <c r="A197" s="117" t="s">
        <v>199</v>
      </c>
      <c r="B197" s="129">
        <f t="shared" si="52"/>
        <v>0.4</v>
      </c>
      <c r="C197" s="129">
        <v>0.4</v>
      </c>
      <c r="D197" s="129">
        <f t="shared" si="53"/>
        <v>0.4</v>
      </c>
      <c r="E197" s="129">
        <f t="shared" si="53"/>
        <v>0.4</v>
      </c>
      <c r="F197" s="129">
        <f t="shared" si="53"/>
        <v>0.4</v>
      </c>
      <c r="G197" s="129">
        <f t="shared" si="53"/>
        <v>0.4</v>
      </c>
      <c r="H197" s="129">
        <f t="shared" si="53"/>
        <v>0.4</v>
      </c>
      <c r="I197" s="129">
        <f t="shared" si="53"/>
        <v>0.4</v>
      </c>
      <c r="J197" s="129">
        <f t="shared" si="53"/>
        <v>0.4</v>
      </c>
      <c r="K197" s="129">
        <f t="shared" si="53"/>
        <v>0.4</v>
      </c>
      <c r="L197" s="129">
        <f t="shared" si="53"/>
        <v>0.4</v>
      </c>
      <c r="M197" s="129">
        <f t="shared" si="53"/>
        <v>0.4</v>
      </c>
      <c r="N197" s="129">
        <f t="shared" si="53"/>
        <v>0.4</v>
      </c>
      <c r="O197" s="129">
        <f t="shared" si="53"/>
        <v>0.4</v>
      </c>
      <c r="P197" s="129">
        <f t="shared" si="53"/>
        <v>0.4</v>
      </c>
      <c r="Q197" s="129">
        <f t="shared" si="53"/>
        <v>0.4</v>
      </c>
      <c r="R197" s="129">
        <f t="shared" si="53"/>
        <v>0.4</v>
      </c>
      <c r="S197" s="129">
        <f t="shared" si="53"/>
        <v>0.4</v>
      </c>
      <c r="T197" s="129">
        <f t="shared" si="54"/>
        <v>0.4</v>
      </c>
      <c r="U197" s="129">
        <f t="shared" si="54"/>
        <v>0.4</v>
      </c>
      <c r="V197" s="129">
        <f t="shared" si="54"/>
        <v>0.4</v>
      </c>
      <c r="W197" s="129">
        <f t="shared" si="54"/>
        <v>0.4</v>
      </c>
      <c r="X197" s="129">
        <f t="shared" si="54"/>
        <v>0.4</v>
      </c>
      <c r="Y197" s="129">
        <f t="shared" si="54"/>
        <v>0.4</v>
      </c>
      <c r="Z197" s="129">
        <f t="shared" si="54"/>
        <v>0.4</v>
      </c>
      <c r="AA197" s="129">
        <f t="shared" si="54"/>
        <v>0.4</v>
      </c>
      <c r="AB197" s="129">
        <f t="shared" si="54"/>
        <v>0.4</v>
      </c>
      <c r="AC197" s="129">
        <f t="shared" si="54"/>
        <v>0.4</v>
      </c>
      <c r="AD197" s="129">
        <f t="shared" si="54"/>
        <v>0.4</v>
      </c>
      <c r="AE197" s="129">
        <f t="shared" si="54"/>
        <v>0.4</v>
      </c>
      <c r="AF197" s="129">
        <f t="shared" si="54"/>
        <v>0.4</v>
      </c>
      <c r="AG197" s="138">
        <v>1</v>
      </c>
      <c r="AH197" s="54"/>
      <c r="AI197" s="55"/>
      <c r="AK197" s="56"/>
    </row>
    <row r="198" spans="1:37" ht="15.75" thickBot="1" x14ac:dyDescent="0.3">
      <c r="A198" s="118" t="s">
        <v>200</v>
      </c>
      <c r="B198" s="139">
        <f t="shared" si="52"/>
        <v>0.64</v>
      </c>
      <c r="C198" s="139">
        <v>0.64</v>
      </c>
      <c r="D198" s="139">
        <f t="shared" si="53"/>
        <v>0.64</v>
      </c>
      <c r="E198" s="139">
        <f t="shared" si="53"/>
        <v>0.64</v>
      </c>
      <c r="F198" s="139">
        <f t="shared" si="53"/>
        <v>0.64</v>
      </c>
      <c r="G198" s="139">
        <f t="shared" si="53"/>
        <v>0.64</v>
      </c>
      <c r="H198" s="139">
        <f t="shared" si="53"/>
        <v>0.64</v>
      </c>
      <c r="I198" s="139">
        <f t="shared" si="53"/>
        <v>0.64</v>
      </c>
      <c r="J198" s="139">
        <f t="shared" si="53"/>
        <v>0.64</v>
      </c>
      <c r="K198" s="139">
        <f t="shared" si="53"/>
        <v>0.64</v>
      </c>
      <c r="L198" s="139">
        <f t="shared" si="53"/>
        <v>0.64</v>
      </c>
      <c r="M198" s="139">
        <f t="shared" si="53"/>
        <v>0.64</v>
      </c>
      <c r="N198" s="139">
        <f t="shared" si="53"/>
        <v>0.64</v>
      </c>
      <c r="O198" s="139">
        <f t="shared" si="53"/>
        <v>0.64</v>
      </c>
      <c r="P198" s="139">
        <f t="shared" si="53"/>
        <v>0.64</v>
      </c>
      <c r="Q198" s="139">
        <f t="shared" si="53"/>
        <v>0.64</v>
      </c>
      <c r="R198" s="139">
        <f t="shared" si="53"/>
        <v>0.64</v>
      </c>
      <c r="S198" s="139">
        <f t="shared" si="53"/>
        <v>0.64</v>
      </c>
      <c r="T198" s="139">
        <f t="shared" si="54"/>
        <v>0.64</v>
      </c>
      <c r="U198" s="139">
        <f t="shared" si="54"/>
        <v>0.64</v>
      </c>
      <c r="V198" s="139">
        <f t="shared" si="54"/>
        <v>0.64</v>
      </c>
      <c r="W198" s="139">
        <f t="shared" si="54"/>
        <v>0.64</v>
      </c>
      <c r="X198" s="139">
        <f t="shared" si="54"/>
        <v>0.64</v>
      </c>
      <c r="Y198" s="139">
        <f t="shared" si="54"/>
        <v>0.64</v>
      </c>
      <c r="Z198" s="139">
        <f t="shared" si="54"/>
        <v>0.64</v>
      </c>
      <c r="AA198" s="139">
        <f t="shared" si="54"/>
        <v>0.64</v>
      </c>
      <c r="AB198" s="139">
        <f t="shared" si="54"/>
        <v>0.64</v>
      </c>
      <c r="AC198" s="139">
        <f t="shared" si="54"/>
        <v>0.64</v>
      </c>
      <c r="AD198" s="139">
        <f t="shared" si="54"/>
        <v>0.64</v>
      </c>
      <c r="AE198" s="139">
        <f t="shared" si="54"/>
        <v>0.64</v>
      </c>
      <c r="AF198" s="139">
        <f t="shared" si="54"/>
        <v>0.64</v>
      </c>
      <c r="AG198" s="140">
        <v>0.66</v>
      </c>
      <c r="AH198" s="54"/>
      <c r="AI198" s="55"/>
    </row>
    <row r="199" spans="1:37" ht="15.75" thickBot="1" x14ac:dyDescent="0.3">
      <c r="A199" s="141" t="s">
        <v>59</v>
      </c>
      <c r="B199" s="142">
        <f>SUM(B193:B198)</f>
        <v>3.54</v>
      </c>
      <c r="C199" s="142">
        <f>SUM(C193:C198)</f>
        <v>3.54</v>
      </c>
      <c r="D199" s="142">
        <f t="shared" ref="D199:L199" si="55">SUM(D193:D198)</f>
        <v>3.54</v>
      </c>
      <c r="E199" s="142">
        <f t="shared" si="55"/>
        <v>3.54</v>
      </c>
      <c r="F199" s="142">
        <f t="shared" si="55"/>
        <v>3.54</v>
      </c>
      <c r="G199" s="142">
        <f t="shared" si="55"/>
        <v>3.54</v>
      </c>
      <c r="H199" s="142">
        <f t="shared" si="55"/>
        <v>3.54</v>
      </c>
      <c r="I199" s="142">
        <f t="shared" si="55"/>
        <v>3.54</v>
      </c>
      <c r="J199" s="142">
        <f t="shared" si="55"/>
        <v>3.54</v>
      </c>
      <c r="K199" s="142">
        <f t="shared" si="55"/>
        <v>3.54</v>
      </c>
      <c r="L199" s="142">
        <f t="shared" si="55"/>
        <v>3.54</v>
      </c>
      <c r="M199" s="142">
        <f>SUM(M193:M198)</f>
        <v>3.54</v>
      </c>
      <c r="N199" s="142">
        <f t="shared" ref="N199:S199" si="56">SUM(N193:N198)</f>
        <v>3.54</v>
      </c>
      <c r="O199" s="142">
        <f t="shared" si="56"/>
        <v>3.54</v>
      </c>
      <c r="P199" s="142">
        <f t="shared" si="56"/>
        <v>3.54</v>
      </c>
      <c r="Q199" s="142">
        <f t="shared" si="56"/>
        <v>3.54</v>
      </c>
      <c r="R199" s="142">
        <f t="shared" si="56"/>
        <v>3.54</v>
      </c>
      <c r="S199" s="142">
        <f t="shared" si="56"/>
        <v>3.54</v>
      </c>
      <c r="T199" s="142">
        <f>SUM(T193:T198)</f>
        <v>3.54</v>
      </c>
      <c r="U199" s="142">
        <f t="shared" ref="U199:AG199" si="57">SUM(U193:U198)</f>
        <v>3.54</v>
      </c>
      <c r="V199" s="142">
        <f t="shared" si="57"/>
        <v>3.54</v>
      </c>
      <c r="W199" s="142">
        <f t="shared" si="57"/>
        <v>3.54</v>
      </c>
      <c r="X199" s="142">
        <f t="shared" si="57"/>
        <v>3.54</v>
      </c>
      <c r="Y199" s="142">
        <f t="shared" si="57"/>
        <v>3.54</v>
      </c>
      <c r="Z199" s="142">
        <f t="shared" si="57"/>
        <v>3.54</v>
      </c>
      <c r="AA199" s="142">
        <f t="shared" si="57"/>
        <v>3.54</v>
      </c>
      <c r="AB199" s="142">
        <f t="shared" si="57"/>
        <v>3.54</v>
      </c>
      <c r="AC199" s="142">
        <f t="shared" si="57"/>
        <v>3.54</v>
      </c>
      <c r="AD199" s="142">
        <f t="shared" si="57"/>
        <v>3.54</v>
      </c>
      <c r="AE199" s="142">
        <f t="shared" si="57"/>
        <v>3.54</v>
      </c>
      <c r="AF199" s="142">
        <f t="shared" si="57"/>
        <v>3.54</v>
      </c>
      <c r="AG199" s="143">
        <f t="shared" si="57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07"/>
      <c r="AH200" s="47"/>
    </row>
    <row r="201" spans="1:37" x14ac:dyDescent="0.25">
      <c r="A201" s="94" t="s">
        <v>201</v>
      </c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5"/>
      <c r="AG201" s="47"/>
      <c r="AH201" s="54"/>
      <c r="AI201" s="55"/>
    </row>
    <row r="202" spans="1:37" x14ac:dyDescent="0.25">
      <c r="A202" s="146" t="s">
        <v>202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9"/>
      <c r="AH202" s="54"/>
      <c r="AI202" s="55"/>
    </row>
    <row r="203" spans="1:37" x14ac:dyDescent="0.25">
      <c r="A203" s="97" t="s">
        <v>203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1"/>
      <c r="AG203" s="149"/>
      <c r="AH203" s="54"/>
      <c r="AI203" s="55"/>
    </row>
    <row r="204" spans="1:37" x14ac:dyDescent="0.25">
      <c r="A204" s="97" t="s">
        <v>204</v>
      </c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1"/>
      <c r="AG204" s="149"/>
      <c r="AH204" s="54"/>
      <c r="AI204" s="55"/>
    </row>
    <row r="205" spans="1:37" ht="15.75" thickBot="1" x14ac:dyDescent="0.3">
      <c r="A205" s="152" t="s">
        <v>205</v>
      </c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4"/>
      <c r="AG205" s="149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55" t="s">
        <v>206</v>
      </c>
      <c r="B208" s="156">
        <f>MAX(G75:N75)</f>
        <v>3.54</v>
      </c>
      <c r="C208" s="157">
        <f>INDEX(G9:N9,1,MATCH(MAX(G75:N75),G75:N75,0))</f>
        <v>0.20833333333333301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58" t="str">
        <f ca="1">MID(CELL("filename",C7),FIND("]",CELL("filename",C7))+1,600)</f>
        <v>new_sample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1" t="s">
        <v>207</v>
      </c>
      <c r="B210" s="181"/>
      <c r="C210" s="47"/>
      <c r="D210" s="158" t="e">
        <f ca="1">"Pie Chart of Daily Peak Demand(Inclusive of Export) of Nepal ("&amp;A4&amp;" "&amp;B4&amp;")"</f>
        <v>#VALUE!</v>
      </c>
      <c r="E210" s="47"/>
      <c r="F210" s="47"/>
      <c r="G210" s="158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8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59" t="s">
        <v>7</v>
      </c>
      <c r="B211" s="160"/>
      <c r="C211" s="47"/>
      <c r="D211" s="161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59" t="s">
        <v>208</v>
      </c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2" t="s">
        <v>209</v>
      </c>
      <c r="T212" s="163">
        <v>0</v>
      </c>
      <c r="U212" s="164">
        <v>4.1666666666666664E-2</v>
      </c>
      <c r="V212" s="165">
        <v>8.3333333333333301E-2</v>
      </c>
      <c r="W212" s="165">
        <v>0.125</v>
      </c>
      <c r="X212" s="165">
        <v>0.16666666666666699</v>
      </c>
      <c r="Y212" s="165">
        <v>0.20833333333333301</v>
      </c>
      <c r="Z212" s="165">
        <v>0.22916666666666666</v>
      </c>
      <c r="AA212" s="165">
        <v>0.25</v>
      </c>
      <c r="AB212" s="165">
        <v>0.27083333333333331</v>
      </c>
      <c r="AC212" s="165">
        <v>0.29166666666666669</v>
      </c>
      <c r="AD212" s="165">
        <v>0.3125</v>
      </c>
      <c r="AE212" s="166">
        <v>0.33333333333333331</v>
      </c>
      <c r="AF212" s="166">
        <v>0.375</v>
      </c>
      <c r="AG212" s="166">
        <v>0.41666666666666702</v>
      </c>
      <c r="AH212" s="166">
        <v>0.45833333333333298</v>
      </c>
      <c r="AI212" s="166">
        <v>0.5</v>
      </c>
      <c r="AJ212" s="166">
        <v>0.54166666666666696</v>
      </c>
      <c r="AK212" s="166">
        <v>0.58333333333333304</v>
      </c>
      <c r="AL212" s="166">
        <v>0.625</v>
      </c>
      <c r="AM212" s="166">
        <v>0.66666666666666696</v>
      </c>
      <c r="AN212" s="166">
        <v>0.70833333333333304</v>
      </c>
      <c r="AO212" s="166">
        <v>0.72916666666666663</v>
      </c>
      <c r="AP212" s="166">
        <v>0.75</v>
      </c>
      <c r="AQ212" s="166">
        <v>0.77083333333333337</v>
      </c>
      <c r="AR212" s="166">
        <v>0.79166666666666663</v>
      </c>
      <c r="AS212" s="166">
        <v>0.8125</v>
      </c>
      <c r="AT212" s="165">
        <v>0.83333333333333337</v>
      </c>
      <c r="AU212" s="165">
        <v>0.85416666666666663</v>
      </c>
      <c r="AV212" s="165">
        <v>0.875</v>
      </c>
      <c r="AW212" s="165">
        <v>0.91666666666666696</v>
      </c>
      <c r="AX212" s="165">
        <v>0.95833333333333304</v>
      </c>
    </row>
    <row r="213" spans="1:50" x14ac:dyDescent="0.25">
      <c r="A213" s="159" t="s">
        <v>210</v>
      </c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67">
        <f t="shared" ref="T213:AX213" si="58">B75</f>
        <v>3.54</v>
      </c>
      <c r="U213" s="167">
        <f t="shared" si="58"/>
        <v>3.54</v>
      </c>
      <c r="V213" s="167">
        <f t="shared" si="58"/>
        <v>3.54</v>
      </c>
      <c r="W213" s="167">
        <f t="shared" si="58"/>
        <v>3.54</v>
      </c>
      <c r="X213" s="167">
        <f t="shared" si="58"/>
        <v>3.54</v>
      </c>
      <c r="Y213" s="167">
        <f t="shared" si="58"/>
        <v>3.54</v>
      </c>
      <c r="Z213" s="167">
        <f t="shared" si="58"/>
        <v>3.54</v>
      </c>
      <c r="AA213" s="167">
        <f t="shared" si="58"/>
        <v>3.54</v>
      </c>
      <c r="AB213" s="167">
        <f t="shared" si="58"/>
        <v>3.54</v>
      </c>
      <c r="AC213" s="167">
        <f t="shared" si="58"/>
        <v>3.54</v>
      </c>
      <c r="AD213" s="167">
        <f t="shared" si="58"/>
        <v>3.54</v>
      </c>
      <c r="AE213" s="167">
        <f t="shared" si="58"/>
        <v>3.54</v>
      </c>
      <c r="AF213" s="167">
        <f t="shared" si="58"/>
        <v>3.54</v>
      </c>
      <c r="AG213" s="167">
        <f t="shared" si="58"/>
        <v>3.54</v>
      </c>
      <c r="AH213" s="167">
        <f t="shared" si="58"/>
        <v>3.54</v>
      </c>
      <c r="AI213" s="167">
        <f t="shared" si="58"/>
        <v>3.54</v>
      </c>
      <c r="AJ213" s="167">
        <f t="shared" si="58"/>
        <v>3.54</v>
      </c>
      <c r="AK213" s="167">
        <f t="shared" si="58"/>
        <v>3.54</v>
      </c>
      <c r="AL213" s="167">
        <f t="shared" si="58"/>
        <v>3.54</v>
      </c>
      <c r="AM213" s="167">
        <f t="shared" si="58"/>
        <v>3.54</v>
      </c>
      <c r="AN213" s="167">
        <f t="shared" si="58"/>
        <v>3.54</v>
      </c>
      <c r="AO213" s="167">
        <f t="shared" si="58"/>
        <v>3.54</v>
      </c>
      <c r="AP213" s="167">
        <f t="shared" si="58"/>
        <v>3.54</v>
      </c>
      <c r="AQ213" s="167">
        <f t="shared" si="58"/>
        <v>3.54</v>
      </c>
      <c r="AR213" s="167">
        <f t="shared" si="58"/>
        <v>3.54</v>
      </c>
      <c r="AS213" s="167">
        <f t="shared" si="58"/>
        <v>3.54</v>
      </c>
      <c r="AT213" s="167">
        <f t="shared" si="58"/>
        <v>3.54</v>
      </c>
      <c r="AU213" s="167">
        <f t="shared" si="58"/>
        <v>3.54</v>
      </c>
      <c r="AV213" s="167">
        <f t="shared" si="58"/>
        <v>3.54</v>
      </c>
      <c r="AW213" s="167">
        <f t="shared" si="58"/>
        <v>3.54</v>
      </c>
      <c r="AX213" s="167">
        <f t="shared" si="58"/>
        <v>3.54</v>
      </c>
    </row>
    <row r="214" spans="1:50" x14ac:dyDescent="0.25">
      <c r="A214" s="159" t="s">
        <v>212</v>
      </c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59" t="s">
        <v>213</v>
      </c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9" t="s">
        <v>214</v>
      </c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9" t="s">
        <v>215</v>
      </c>
      <c r="B217" s="16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9" t="s">
        <v>216</v>
      </c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69" t="s">
        <v>201</v>
      </c>
      <c r="B234" s="170">
        <f t="shared" ref="B234:AE234" si="59">C198</f>
        <v>0.64</v>
      </c>
      <c r="C234" s="170">
        <f t="shared" si="59"/>
        <v>0.64</v>
      </c>
      <c r="D234" s="170">
        <f t="shared" si="59"/>
        <v>0.64</v>
      </c>
      <c r="E234" s="170">
        <f t="shared" si="59"/>
        <v>0.64</v>
      </c>
      <c r="F234" s="170">
        <f t="shared" si="59"/>
        <v>0.64</v>
      </c>
      <c r="G234" s="170">
        <f t="shared" si="59"/>
        <v>0.64</v>
      </c>
      <c r="H234" s="170">
        <f t="shared" si="59"/>
        <v>0.64</v>
      </c>
      <c r="I234" s="170">
        <f t="shared" si="59"/>
        <v>0.64</v>
      </c>
      <c r="J234" s="170">
        <f t="shared" si="59"/>
        <v>0.64</v>
      </c>
      <c r="K234" s="170">
        <f t="shared" si="59"/>
        <v>0.64</v>
      </c>
      <c r="L234" s="170">
        <f t="shared" si="59"/>
        <v>0.64</v>
      </c>
      <c r="M234" s="170">
        <f t="shared" si="59"/>
        <v>0.64</v>
      </c>
      <c r="N234" s="170">
        <f t="shared" si="59"/>
        <v>0.64</v>
      </c>
      <c r="O234" s="170">
        <f t="shared" si="59"/>
        <v>0.64</v>
      </c>
      <c r="P234" s="170">
        <f t="shared" si="59"/>
        <v>0.64</v>
      </c>
      <c r="Q234" s="170">
        <f t="shared" si="59"/>
        <v>0.64</v>
      </c>
      <c r="R234" s="170">
        <f t="shared" si="59"/>
        <v>0.64</v>
      </c>
      <c r="S234" s="170">
        <f t="shared" si="59"/>
        <v>0.64</v>
      </c>
      <c r="T234" s="170">
        <f t="shared" si="59"/>
        <v>0.64</v>
      </c>
      <c r="U234" s="170">
        <f t="shared" si="59"/>
        <v>0.64</v>
      </c>
      <c r="V234" s="170">
        <f t="shared" si="59"/>
        <v>0.64</v>
      </c>
      <c r="W234" s="170">
        <f t="shared" si="59"/>
        <v>0.64</v>
      </c>
      <c r="X234" s="170">
        <f t="shared" si="59"/>
        <v>0.64</v>
      </c>
      <c r="Y234" s="170">
        <f t="shared" si="59"/>
        <v>0.64</v>
      </c>
      <c r="Z234" s="170">
        <f t="shared" si="59"/>
        <v>0.64</v>
      </c>
      <c r="AA234" s="170">
        <f t="shared" si="59"/>
        <v>0.64</v>
      </c>
      <c r="AB234" s="170">
        <f t="shared" si="59"/>
        <v>0.64</v>
      </c>
      <c r="AC234" s="170">
        <f t="shared" si="59"/>
        <v>0.64</v>
      </c>
      <c r="AD234" s="170">
        <f t="shared" si="59"/>
        <v>0.64</v>
      </c>
      <c r="AE234" s="170">
        <f t="shared" si="59"/>
        <v>0.64</v>
      </c>
      <c r="AF234" s="170">
        <f>B198</f>
        <v>0.64</v>
      </c>
      <c r="AG234" s="47"/>
      <c r="AH234" s="47"/>
    </row>
    <row r="235" spans="1:34" x14ac:dyDescent="0.25">
      <c r="A235" s="115" t="str">
        <f>A202</f>
        <v>KGA</v>
      </c>
      <c r="B235" s="115" t="str">
        <f>IF(B202&lt;100,"",B202-520)</f>
        <v/>
      </c>
      <c r="C235" s="115" t="str">
        <f t="shared" ref="C235:AF235" si="60">IF(C202&lt;100,"",C202-520)</f>
        <v/>
      </c>
      <c r="D235" s="115" t="str">
        <f t="shared" si="60"/>
        <v/>
      </c>
      <c r="E235" s="115" t="str">
        <f t="shared" si="60"/>
        <v/>
      </c>
      <c r="F235" s="115" t="str">
        <f t="shared" si="60"/>
        <v/>
      </c>
      <c r="G235" s="115" t="str">
        <f t="shared" si="60"/>
        <v/>
      </c>
      <c r="H235" s="115" t="str">
        <f t="shared" si="60"/>
        <v/>
      </c>
      <c r="I235" s="115" t="str">
        <f t="shared" si="60"/>
        <v/>
      </c>
      <c r="J235" s="115" t="str">
        <f t="shared" si="60"/>
        <v/>
      </c>
      <c r="K235" s="115" t="str">
        <f t="shared" si="60"/>
        <v/>
      </c>
      <c r="L235" s="115" t="str">
        <f t="shared" si="60"/>
        <v/>
      </c>
      <c r="M235" s="115" t="str">
        <f t="shared" si="60"/>
        <v/>
      </c>
      <c r="N235" s="115" t="str">
        <f t="shared" si="60"/>
        <v/>
      </c>
      <c r="O235" s="115" t="str">
        <f t="shared" si="60"/>
        <v/>
      </c>
      <c r="P235" s="115" t="str">
        <f t="shared" si="60"/>
        <v/>
      </c>
      <c r="Q235" s="115" t="str">
        <f t="shared" si="60"/>
        <v/>
      </c>
      <c r="R235" s="115" t="str">
        <f t="shared" si="60"/>
        <v/>
      </c>
      <c r="S235" s="115" t="str">
        <f t="shared" si="60"/>
        <v/>
      </c>
      <c r="T235" s="115" t="str">
        <f t="shared" si="60"/>
        <v/>
      </c>
      <c r="U235" s="115" t="str">
        <f t="shared" si="60"/>
        <v/>
      </c>
      <c r="V235" s="115" t="str">
        <f t="shared" si="60"/>
        <v/>
      </c>
      <c r="W235" s="115" t="str">
        <f t="shared" si="60"/>
        <v/>
      </c>
      <c r="X235" s="115" t="str">
        <f t="shared" si="60"/>
        <v/>
      </c>
      <c r="Y235" s="115" t="str">
        <f t="shared" si="60"/>
        <v/>
      </c>
      <c r="Z235" s="115" t="str">
        <f t="shared" si="60"/>
        <v/>
      </c>
      <c r="AA235" s="115" t="str">
        <f t="shared" si="60"/>
        <v/>
      </c>
      <c r="AB235" s="115" t="str">
        <f t="shared" si="60"/>
        <v/>
      </c>
      <c r="AC235" s="115" t="str">
        <f t="shared" si="60"/>
        <v/>
      </c>
      <c r="AD235" s="115" t="str">
        <f t="shared" si="60"/>
        <v/>
      </c>
      <c r="AE235" s="115" t="str">
        <f t="shared" si="60"/>
        <v/>
      </c>
      <c r="AF235" s="115" t="str">
        <f t="shared" si="60"/>
        <v/>
      </c>
      <c r="AG235" s="47"/>
      <c r="AH235" s="47"/>
    </row>
    <row r="236" spans="1:34" x14ac:dyDescent="0.25">
      <c r="A236" s="115" t="str">
        <f>A203</f>
        <v>MMRS</v>
      </c>
      <c r="B236" s="115" t="str">
        <f t="shared" ref="B236:AF236" si="61">IF(B203&lt;100,"",B203-620)</f>
        <v/>
      </c>
      <c r="C236" s="115" t="str">
        <f t="shared" si="61"/>
        <v/>
      </c>
      <c r="D236" s="115" t="str">
        <f t="shared" si="61"/>
        <v/>
      </c>
      <c r="E236" s="115" t="str">
        <f t="shared" si="61"/>
        <v/>
      </c>
      <c r="F236" s="115" t="str">
        <f t="shared" si="61"/>
        <v/>
      </c>
      <c r="G236" s="115" t="str">
        <f t="shared" si="61"/>
        <v/>
      </c>
      <c r="H236" s="115" t="str">
        <f t="shared" si="61"/>
        <v/>
      </c>
      <c r="I236" s="115" t="str">
        <f t="shared" si="61"/>
        <v/>
      </c>
      <c r="J236" s="115" t="str">
        <f t="shared" si="61"/>
        <v/>
      </c>
      <c r="K236" s="115" t="str">
        <f t="shared" si="61"/>
        <v/>
      </c>
      <c r="L236" s="115" t="str">
        <f t="shared" si="61"/>
        <v/>
      </c>
      <c r="M236" s="115" t="str">
        <f t="shared" si="61"/>
        <v/>
      </c>
      <c r="N236" s="115" t="str">
        <f t="shared" si="61"/>
        <v/>
      </c>
      <c r="O236" s="115" t="str">
        <f t="shared" si="61"/>
        <v/>
      </c>
      <c r="P236" s="115" t="str">
        <f t="shared" si="61"/>
        <v/>
      </c>
      <c r="Q236" s="115" t="str">
        <f t="shared" si="61"/>
        <v/>
      </c>
      <c r="R236" s="115" t="str">
        <f t="shared" si="61"/>
        <v/>
      </c>
      <c r="S236" s="115" t="str">
        <f t="shared" si="61"/>
        <v/>
      </c>
      <c r="T236" s="115" t="str">
        <f t="shared" si="61"/>
        <v/>
      </c>
      <c r="U236" s="115" t="str">
        <f t="shared" si="61"/>
        <v/>
      </c>
      <c r="V236" s="115" t="str">
        <f t="shared" si="61"/>
        <v/>
      </c>
      <c r="W236" s="115" t="str">
        <f t="shared" si="61"/>
        <v/>
      </c>
      <c r="X236" s="115" t="str">
        <f t="shared" si="61"/>
        <v/>
      </c>
      <c r="Y236" s="115" t="str">
        <f t="shared" si="61"/>
        <v/>
      </c>
      <c r="Z236" s="115" t="str">
        <f t="shared" si="61"/>
        <v/>
      </c>
      <c r="AA236" s="115" t="str">
        <f t="shared" si="61"/>
        <v/>
      </c>
      <c r="AB236" s="115" t="str">
        <f t="shared" si="61"/>
        <v/>
      </c>
      <c r="AC236" s="115" t="str">
        <f t="shared" si="61"/>
        <v/>
      </c>
      <c r="AD236" s="115" t="str">
        <f t="shared" si="61"/>
        <v/>
      </c>
      <c r="AE236" s="115" t="str">
        <f t="shared" si="61"/>
        <v/>
      </c>
      <c r="AF236" s="115" t="str">
        <f t="shared" si="61"/>
        <v/>
      </c>
      <c r="AG236" s="47"/>
      <c r="AH236" s="47"/>
    </row>
    <row r="237" spans="1:34" x14ac:dyDescent="0.25">
      <c r="A237" s="115" t="str">
        <f>A204</f>
        <v>MRS</v>
      </c>
      <c r="B237" s="115" t="str">
        <f t="shared" ref="B237:AF237" si="62">IF(B204&lt;100,"",B204-330)</f>
        <v/>
      </c>
      <c r="C237" s="115" t="str">
        <f t="shared" si="62"/>
        <v/>
      </c>
      <c r="D237" s="115" t="str">
        <f t="shared" si="62"/>
        <v/>
      </c>
      <c r="E237" s="115" t="str">
        <f t="shared" si="62"/>
        <v/>
      </c>
      <c r="F237" s="115" t="str">
        <f t="shared" si="62"/>
        <v/>
      </c>
      <c r="G237" s="115" t="str">
        <f t="shared" si="62"/>
        <v/>
      </c>
      <c r="H237" s="115" t="str">
        <f t="shared" si="62"/>
        <v/>
      </c>
      <c r="I237" s="115" t="str">
        <f t="shared" si="62"/>
        <v/>
      </c>
      <c r="J237" s="115" t="str">
        <f t="shared" si="62"/>
        <v/>
      </c>
      <c r="K237" s="115" t="str">
        <f t="shared" si="62"/>
        <v/>
      </c>
      <c r="L237" s="115" t="str">
        <f t="shared" si="62"/>
        <v/>
      </c>
      <c r="M237" s="115" t="str">
        <f t="shared" si="62"/>
        <v/>
      </c>
      <c r="N237" s="115" t="str">
        <f t="shared" si="62"/>
        <v/>
      </c>
      <c r="O237" s="115" t="str">
        <f t="shared" si="62"/>
        <v/>
      </c>
      <c r="P237" s="115" t="str">
        <f t="shared" si="62"/>
        <v/>
      </c>
      <c r="Q237" s="115" t="str">
        <f t="shared" si="62"/>
        <v/>
      </c>
      <c r="R237" s="115" t="str">
        <f t="shared" si="62"/>
        <v/>
      </c>
      <c r="S237" s="115" t="str">
        <f t="shared" si="62"/>
        <v/>
      </c>
      <c r="T237" s="115" t="str">
        <f t="shared" si="62"/>
        <v/>
      </c>
      <c r="U237" s="115" t="str">
        <f t="shared" si="62"/>
        <v/>
      </c>
      <c r="V237" s="115" t="str">
        <f t="shared" si="62"/>
        <v/>
      </c>
      <c r="W237" s="115" t="str">
        <f t="shared" si="62"/>
        <v/>
      </c>
      <c r="X237" s="115" t="str">
        <f t="shared" si="62"/>
        <v/>
      </c>
      <c r="Y237" s="115" t="str">
        <f t="shared" si="62"/>
        <v/>
      </c>
      <c r="Z237" s="115" t="str">
        <f t="shared" si="62"/>
        <v/>
      </c>
      <c r="AA237" s="115" t="str">
        <f t="shared" si="62"/>
        <v/>
      </c>
      <c r="AB237" s="115" t="str">
        <f t="shared" si="62"/>
        <v/>
      </c>
      <c r="AC237" s="115" t="str">
        <f t="shared" si="62"/>
        <v/>
      </c>
      <c r="AD237" s="115" t="str">
        <f t="shared" si="62"/>
        <v/>
      </c>
      <c r="AE237" s="115" t="str">
        <f t="shared" si="62"/>
        <v/>
      </c>
      <c r="AF237" s="115" t="str">
        <f t="shared" si="62"/>
        <v/>
      </c>
      <c r="AG237" s="47"/>
      <c r="AH237" s="47"/>
    </row>
    <row r="238" spans="1:34" x14ac:dyDescent="0.25">
      <c r="A238" s="115" t="str">
        <f>A205</f>
        <v>KL 1</v>
      </c>
      <c r="B238" s="115" t="str">
        <f>IF(B205&lt;100,"",B205-1500)</f>
        <v/>
      </c>
      <c r="C238" s="115" t="str">
        <f t="shared" ref="C238:AF238" si="63">IF(C205&lt;100,"",C205-1500)</f>
        <v/>
      </c>
      <c r="D238" s="115" t="str">
        <f t="shared" si="63"/>
        <v/>
      </c>
      <c r="E238" s="115" t="str">
        <f t="shared" si="63"/>
        <v/>
      </c>
      <c r="F238" s="115" t="str">
        <f t="shared" si="63"/>
        <v/>
      </c>
      <c r="G238" s="115" t="str">
        <f t="shared" si="63"/>
        <v/>
      </c>
      <c r="H238" s="115" t="str">
        <f t="shared" si="63"/>
        <v/>
      </c>
      <c r="I238" s="115" t="str">
        <f t="shared" si="63"/>
        <v/>
      </c>
      <c r="J238" s="115" t="str">
        <f t="shared" si="63"/>
        <v/>
      </c>
      <c r="K238" s="115" t="str">
        <f t="shared" si="63"/>
        <v/>
      </c>
      <c r="L238" s="115" t="str">
        <f t="shared" si="63"/>
        <v/>
      </c>
      <c r="M238" s="115" t="str">
        <f t="shared" si="63"/>
        <v/>
      </c>
      <c r="N238" s="115" t="str">
        <f t="shared" si="63"/>
        <v/>
      </c>
      <c r="O238" s="115" t="str">
        <f t="shared" si="63"/>
        <v/>
      </c>
      <c r="P238" s="115" t="str">
        <f t="shared" si="63"/>
        <v/>
      </c>
      <c r="Q238" s="115" t="str">
        <f t="shared" si="63"/>
        <v/>
      </c>
      <c r="R238" s="115" t="str">
        <f t="shared" si="63"/>
        <v/>
      </c>
      <c r="S238" s="115" t="str">
        <f t="shared" si="63"/>
        <v/>
      </c>
      <c r="T238" s="115" t="str">
        <f t="shared" si="63"/>
        <v/>
      </c>
      <c r="U238" s="115" t="str">
        <f t="shared" si="63"/>
        <v/>
      </c>
      <c r="V238" s="115" t="str">
        <f t="shared" si="63"/>
        <v/>
      </c>
      <c r="W238" s="115" t="str">
        <f t="shared" si="63"/>
        <v/>
      </c>
      <c r="X238" s="115" t="str">
        <f t="shared" si="63"/>
        <v/>
      </c>
      <c r="Y238" s="115" t="str">
        <f t="shared" si="63"/>
        <v/>
      </c>
      <c r="Z238" s="115" t="str">
        <f t="shared" si="63"/>
        <v/>
      </c>
      <c r="AA238" s="115" t="str">
        <f t="shared" si="63"/>
        <v/>
      </c>
      <c r="AB238" s="115" t="str">
        <f t="shared" si="63"/>
        <v/>
      </c>
      <c r="AC238" s="115" t="str">
        <f t="shared" si="63"/>
        <v/>
      </c>
      <c r="AD238" s="115" t="str">
        <f t="shared" si="63"/>
        <v/>
      </c>
      <c r="AE238" s="115" t="str">
        <f t="shared" si="63"/>
        <v/>
      </c>
      <c r="AF238" s="115" t="str">
        <f t="shared" si="63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3:AF199 B193:B199 C68:AF72 AB84:AF91 B84:B91 M53:AF55 B73:AF80 B9:AF10 B191:AF191 AF57:AF67 B53:B72 D36:AF36 B36 AG73 AB94:AF99 B94:B99 U212:AF212">
    <cfRule type="expression" dxfId="267" priority="257">
      <formula>B$9&gt;=20/24</formula>
    </cfRule>
    <cfRule type="expression" dxfId="266" priority="258">
      <formula>AND(B$9&gt;=14/24,B$9&lt;20/24)</formula>
    </cfRule>
    <cfRule type="expression" dxfId="265" priority="259">
      <formula>AND(B$9&gt;=8/24,B$9&lt;14/24)</formula>
    </cfRule>
    <cfRule type="expression" dxfId="264" priority="260">
      <formula>B$9&lt;8/24</formula>
    </cfRule>
  </conditionalFormatting>
  <conditionalFormatting sqref="AL4:AL6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63" priority="252">
      <formula>M$9&gt;=20/24</formula>
    </cfRule>
    <cfRule type="expression" dxfId="262" priority="253">
      <formula>AND(M$9&gt;=14/24,M$9&lt;20/24)</formula>
    </cfRule>
    <cfRule type="expression" dxfId="261" priority="254">
      <formula>AND(M$9&gt;=8/24,M$9&lt;14/24)</formula>
    </cfRule>
    <cfRule type="expression" dxfId="260" priority="255">
      <formula>M$9&lt;8/24</formula>
    </cfRule>
  </conditionalFormatting>
  <conditionalFormatting sqref="M43:R43">
    <cfRule type="expression" dxfId="259" priority="248">
      <formula>M$9&gt;=20/24</formula>
    </cfRule>
    <cfRule type="expression" dxfId="258" priority="249">
      <formula>AND(M$9&gt;=14/24,M$9&lt;20/24)</formula>
    </cfRule>
    <cfRule type="expression" dxfId="257" priority="250">
      <formula>AND(M$9&gt;=8/24,M$9&lt;14/24)</formula>
    </cfRule>
    <cfRule type="expression" dxfId="256" priority="251">
      <formula>M$9&lt;8/24</formula>
    </cfRule>
  </conditionalFormatting>
  <conditionalFormatting sqref="Z32:AE32">
    <cfRule type="expression" dxfId="255" priority="244">
      <formula>Z$9&gt;=20/24</formula>
    </cfRule>
    <cfRule type="expression" dxfId="254" priority="245">
      <formula>AND(Z$9&gt;=14/24,Z$9&lt;20/24)</formula>
    </cfRule>
    <cfRule type="expression" dxfId="253" priority="246">
      <formula>AND(Z$9&gt;=8/24,Z$9&lt;14/24)</formula>
    </cfRule>
    <cfRule type="expression" dxfId="252" priority="247">
      <formula>Z$9&lt;8/24</formula>
    </cfRule>
  </conditionalFormatting>
  <conditionalFormatting sqref="S39:AE39">
    <cfRule type="expression" dxfId="251" priority="240">
      <formula>S$9&gt;=20/24</formula>
    </cfRule>
    <cfRule type="expression" dxfId="250" priority="241">
      <formula>AND(S$9&gt;=14/24,S$9&lt;20/24)</formula>
    </cfRule>
    <cfRule type="expression" dxfId="249" priority="242">
      <formula>AND(S$9&gt;=8/24,S$9&lt;14/24)</formula>
    </cfRule>
    <cfRule type="expression" dxfId="248" priority="243">
      <formula>S$9&lt;8/24</formula>
    </cfRule>
  </conditionalFormatting>
  <conditionalFormatting sqref="S57:AE57">
    <cfRule type="expression" dxfId="247" priority="236">
      <formula>S$9&gt;=20/24</formula>
    </cfRule>
    <cfRule type="expression" dxfId="246" priority="237">
      <formula>AND(S$9&gt;=14/24,S$9&lt;20/24)</formula>
    </cfRule>
    <cfRule type="expression" dxfId="245" priority="238">
      <formula>AND(S$9&gt;=8/24,S$9&lt;14/24)</formula>
    </cfRule>
    <cfRule type="expression" dxfId="244" priority="239">
      <formula>S$9&lt;8/24</formula>
    </cfRule>
  </conditionalFormatting>
  <conditionalFormatting sqref="S81:AA81">
    <cfRule type="expression" dxfId="243" priority="232">
      <formula>S$9&gt;=20/24</formula>
    </cfRule>
    <cfRule type="expression" dxfId="242" priority="233">
      <formula>AND(S$9&gt;=14/24,S$9&lt;20/24)</formula>
    </cfRule>
    <cfRule type="expression" dxfId="241" priority="234">
      <formula>AND(S$9&gt;=8/24,S$9&lt;14/24)</formula>
    </cfRule>
    <cfRule type="expression" dxfId="240" priority="235">
      <formula>S$9&lt;8/24</formula>
    </cfRule>
  </conditionalFormatting>
  <conditionalFormatting sqref="U84:AA84">
    <cfRule type="expression" dxfId="239" priority="228">
      <formula>U$9&gt;=20/24</formula>
    </cfRule>
    <cfRule type="expression" dxfId="238" priority="229">
      <formula>AND(U$9&gt;=14/24,U$9&lt;20/24)</formula>
    </cfRule>
    <cfRule type="expression" dxfId="237" priority="230">
      <formula>AND(U$9&gt;=8/24,U$9&lt;14/24)</formula>
    </cfRule>
    <cfRule type="expression" dxfId="236" priority="231">
      <formula>U$9&lt;8/24</formula>
    </cfRule>
  </conditionalFormatting>
  <conditionalFormatting sqref="M35:R35">
    <cfRule type="expression" dxfId="235" priority="224">
      <formula>M$9&gt;=20/24</formula>
    </cfRule>
    <cfRule type="expression" dxfId="234" priority="225">
      <formula>AND(M$9&gt;=14/24,M$9&lt;20/24)</formula>
    </cfRule>
    <cfRule type="expression" dxfId="233" priority="226">
      <formula>AND(M$9&gt;=8/24,M$9&lt;14/24)</formula>
    </cfRule>
    <cfRule type="expression" dxfId="232" priority="227">
      <formula>M$9&lt;8/24</formula>
    </cfRule>
  </conditionalFormatting>
  <conditionalFormatting sqref="M49:T49">
    <cfRule type="expression" dxfId="231" priority="220">
      <formula>M$9&gt;=20/24</formula>
    </cfRule>
    <cfRule type="expression" dxfId="230" priority="221">
      <formula>AND(M$9&gt;=14/24,M$9&lt;20/24)</formula>
    </cfRule>
    <cfRule type="expression" dxfId="229" priority="222">
      <formula>AND(M$9&gt;=8/24,M$9&lt;14/24)</formula>
    </cfRule>
    <cfRule type="expression" dxfId="228" priority="223">
      <formula>M$9&lt;8/24</formula>
    </cfRule>
  </conditionalFormatting>
  <conditionalFormatting sqref="M50:R50">
    <cfRule type="expression" dxfId="227" priority="216">
      <formula>M$9&gt;=20/24</formula>
    </cfRule>
    <cfRule type="expression" dxfId="226" priority="217">
      <formula>AND(M$9&gt;=14/24,M$9&lt;20/24)</formula>
    </cfRule>
    <cfRule type="expression" dxfId="225" priority="218">
      <formula>AND(M$9&gt;=8/24,M$9&lt;14/24)</formula>
    </cfRule>
    <cfRule type="expression" dxfId="224" priority="219">
      <formula>M$9&lt;8/24</formula>
    </cfRule>
  </conditionalFormatting>
  <conditionalFormatting sqref="M45:R48">
    <cfRule type="expression" dxfId="223" priority="212">
      <formula>M$9&gt;=20/24</formula>
    </cfRule>
    <cfRule type="expression" dxfId="222" priority="213">
      <formula>AND(M$9&gt;=14/24,M$9&lt;20/24)</formula>
    </cfRule>
    <cfRule type="expression" dxfId="221" priority="214">
      <formula>AND(M$9&gt;=8/24,M$9&lt;14/24)</formula>
    </cfRule>
    <cfRule type="expression" dxfId="220" priority="215">
      <formula>M$9&lt;8/24</formula>
    </cfRule>
  </conditionalFormatting>
  <conditionalFormatting sqref="S37:AE37">
    <cfRule type="expression" dxfId="219" priority="208">
      <formula>S$9&gt;=20/24</formula>
    </cfRule>
    <cfRule type="expression" dxfId="218" priority="209">
      <formula>AND(S$9&gt;=14/24,S$9&lt;20/24)</formula>
    </cfRule>
    <cfRule type="expression" dxfId="217" priority="210">
      <formula>AND(S$9&gt;=8/24,S$9&lt;14/24)</formula>
    </cfRule>
    <cfRule type="expression" dxfId="216" priority="211">
      <formula>S$9&lt;8/24</formula>
    </cfRule>
  </conditionalFormatting>
  <conditionalFormatting sqref="S31:Y32 S35:AE35">
    <cfRule type="expression" dxfId="215" priority="204">
      <formula>S$9&gt;=20/24</formula>
    </cfRule>
    <cfRule type="expression" dxfId="214" priority="205">
      <formula>AND(S$9&gt;=14/24,S$9&lt;20/24)</formula>
    </cfRule>
    <cfRule type="expression" dxfId="213" priority="206">
      <formula>AND(S$9&gt;=8/24,S$9&lt;14/24)</formula>
    </cfRule>
    <cfRule type="expression" dxfId="212" priority="207">
      <formula>S$9&lt;8/24</formula>
    </cfRule>
  </conditionalFormatting>
  <conditionalFormatting sqref="S42:T43 U43:Y43 S45:AE48">
    <cfRule type="expression" dxfId="211" priority="200">
      <formula>S$9&gt;=20/24</formula>
    </cfRule>
    <cfRule type="expression" dxfId="210" priority="201">
      <formula>AND(S$9&gt;=14/24,S$9&lt;20/24)</formula>
    </cfRule>
    <cfRule type="expression" dxfId="209" priority="202">
      <formula>AND(S$9&gt;=8/24,S$9&lt;14/24)</formula>
    </cfRule>
    <cfRule type="expression" dxfId="208" priority="203">
      <formula>S$9&lt;8/24</formula>
    </cfRule>
  </conditionalFormatting>
  <conditionalFormatting sqref="S49:AE49">
    <cfRule type="expression" dxfId="207" priority="196">
      <formula>S$9&gt;=20/24</formula>
    </cfRule>
    <cfRule type="expression" dxfId="206" priority="197">
      <formula>AND(S$9&gt;=14/24,S$9&lt;20/24)</formula>
    </cfRule>
    <cfRule type="expression" dxfId="205" priority="198">
      <formula>AND(S$9&gt;=8/24,S$9&lt;14/24)</formula>
    </cfRule>
    <cfRule type="expression" dxfId="204" priority="199">
      <formula>S$9&lt;8/24</formula>
    </cfRule>
  </conditionalFormatting>
  <conditionalFormatting sqref="S50:AE50">
    <cfRule type="expression" dxfId="203" priority="192">
      <formula>S$9&gt;=20/24</formula>
    </cfRule>
    <cfRule type="expression" dxfId="202" priority="193">
      <formula>AND(S$9&gt;=14/24,S$9&lt;20/24)</formula>
    </cfRule>
    <cfRule type="expression" dxfId="201" priority="194">
      <formula>AND(S$9&gt;=8/24,S$9&lt;14/24)</formula>
    </cfRule>
    <cfRule type="expression" dxfId="200" priority="195">
      <formula>S$9&lt;8/24</formula>
    </cfRule>
  </conditionalFormatting>
  <conditionalFormatting sqref="S60:T67 X60:AE67">
    <cfRule type="expression" dxfId="199" priority="188">
      <formula>S$9&gt;=20/24</formula>
    </cfRule>
    <cfRule type="expression" dxfId="198" priority="189">
      <formula>AND(S$9&gt;=14/24,S$9&lt;20/24)</formula>
    </cfRule>
    <cfRule type="expression" dxfId="197" priority="190">
      <formula>AND(S$9&gt;=8/24,S$9&lt;14/24)</formula>
    </cfRule>
    <cfRule type="expression" dxfId="196" priority="191">
      <formula>S$9&lt;8/24</formula>
    </cfRule>
  </conditionalFormatting>
  <conditionalFormatting sqref="C62:I62 I63:I67 J62:L67">
    <cfRule type="expression" dxfId="195" priority="184">
      <formula>C$9&gt;=20/24</formula>
    </cfRule>
    <cfRule type="expression" dxfId="194" priority="185">
      <formula>AND(C$9&gt;=14/24,C$9&lt;20/24)</formula>
    </cfRule>
    <cfRule type="expression" dxfId="193" priority="186">
      <formula>AND(C$9&gt;=8/24,C$9&lt;14/24)</formula>
    </cfRule>
    <cfRule type="expression" dxfId="192" priority="187">
      <formula>C$9&lt;8/24</formula>
    </cfRule>
  </conditionalFormatting>
  <conditionalFormatting sqref="U94:AA97">
    <cfRule type="expression" dxfId="191" priority="180">
      <formula>U$9&gt;=20/24</formula>
    </cfRule>
    <cfRule type="expression" dxfId="190" priority="181">
      <formula>AND(U$9&gt;=14/24,U$9&lt;20/24)</formula>
    </cfRule>
    <cfRule type="expression" dxfId="189" priority="182">
      <formula>AND(U$9&gt;=8/24,U$9&lt;14/24)</formula>
    </cfRule>
    <cfRule type="expression" dxfId="188" priority="183">
      <formula>U$9&lt;8/24</formula>
    </cfRule>
  </conditionalFormatting>
  <conditionalFormatting sqref="AG51 C12:R14 C16:R17 Z16:Z17 C18:Z32 C11:AF11 AA16:AF32 B34:AF56 Z12:AF15 B11:B32">
    <cfRule type="expression" dxfId="187" priority="179">
      <formula>B11&gt;$AG11</formula>
    </cfRule>
  </conditionalFormatting>
  <conditionalFormatting sqref="A100:A156 A84:A97 A11:A14 A16:A32 A45:A72 A80:A82 A74:A78 A35:A43 A169:A199">
    <cfRule type="expression" dxfId="186" priority="178">
      <formula>$AH11=0</formula>
    </cfRule>
  </conditionalFormatting>
  <conditionalFormatting sqref="U98:AA98">
    <cfRule type="expression" dxfId="185" priority="174">
      <formula>U$9&gt;=20/24</formula>
    </cfRule>
    <cfRule type="expression" dxfId="184" priority="175">
      <formula>AND(U$9&gt;=14/24,U$9&lt;20/24)</formula>
    </cfRule>
    <cfRule type="expression" dxfId="183" priority="176">
      <formula>AND(U$9&gt;=8/24,U$9&lt;14/24)</formula>
    </cfRule>
    <cfRule type="expression" dxfId="182" priority="177">
      <formula>U$9&lt;8/24</formula>
    </cfRule>
  </conditionalFormatting>
  <conditionalFormatting sqref="A98">
    <cfRule type="expression" dxfId="181" priority="173">
      <formula>$AH98=0</formula>
    </cfRule>
  </conditionalFormatting>
  <conditionalFormatting sqref="C36">
    <cfRule type="expression" dxfId="180" priority="169">
      <formula>C$9&gt;=20/24</formula>
    </cfRule>
    <cfRule type="expression" dxfId="179" priority="170">
      <formula>AND(C$9&gt;=14/24,C$9&lt;20/24)</formula>
    </cfRule>
    <cfRule type="expression" dxfId="178" priority="171">
      <formula>AND(C$9&gt;=8/24,C$9&lt;14/24)</formula>
    </cfRule>
    <cfRule type="expression" dxfId="177" priority="172">
      <formula>C$9&lt;8/24</formula>
    </cfRule>
  </conditionalFormatting>
  <conditionalFormatting sqref="E63:H67">
    <cfRule type="expression" dxfId="176" priority="165">
      <formula>E$9&gt;=20/24</formula>
    </cfRule>
    <cfRule type="expression" dxfId="175" priority="166">
      <formula>AND(E$9&gt;=14/24,E$9&lt;20/24)</formula>
    </cfRule>
    <cfRule type="expression" dxfId="174" priority="167">
      <formula>AND(E$9&gt;=8/24,E$9&lt;14/24)</formula>
    </cfRule>
    <cfRule type="expression" dxfId="173" priority="168">
      <formula>E$9&lt;8/24</formula>
    </cfRule>
  </conditionalFormatting>
  <conditionalFormatting sqref="M62:M67">
    <cfRule type="expression" dxfId="172" priority="161">
      <formula>M$9&gt;=20/24</formula>
    </cfRule>
    <cfRule type="expression" dxfId="171" priority="162">
      <formula>AND(M$9&gt;=14/24,M$9&lt;20/24)</formula>
    </cfRule>
    <cfRule type="expression" dxfId="170" priority="163">
      <formula>AND(M$9&gt;=8/24,M$9&lt;14/24)</formula>
    </cfRule>
    <cfRule type="expression" dxfId="169" priority="164">
      <formula>M$9&lt;8/24</formula>
    </cfRule>
  </conditionalFormatting>
  <conditionalFormatting sqref="AL32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168" priority="156">
      <formula>Z$9&gt;=20/24</formula>
    </cfRule>
    <cfRule type="expression" dxfId="167" priority="157">
      <formula>AND(Z$9&gt;=14/24,Z$9&lt;20/24)</formula>
    </cfRule>
    <cfRule type="expression" dxfId="166" priority="158">
      <formula>AND(Z$9&gt;=8/24,Z$9&lt;14/24)</formula>
    </cfRule>
    <cfRule type="expression" dxfId="165" priority="159">
      <formula>Z$9&lt;8/24</formula>
    </cfRule>
  </conditionalFormatting>
  <conditionalFormatting sqref="M34:R34">
    <cfRule type="expression" dxfId="164" priority="152">
      <formula>M$9&gt;=20/24</formula>
    </cfRule>
    <cfRule type="expression" dxfId="163" priority="153">
      <formula>AND(M$9&gt;=14/24,M$9&lt;20/24)</formula>
    </cfRule>
    <cfRule type="expression" dxfId="162" priority="154">
      <formula>AND(M$9&gt;=8/24,M$9&lt;14/24)</formula>
    </cfRule>
    <cfRule type="expression" dxfId="161" priority="155">
      <formula>M$9&lt;8/24</formula>
    </cfRule>
  </conditionalFormatting>
  <conditionalFormatting sqref="S34:Y34">
    <cfRule type="expression" dxfId="160" priority="148">
      <formula>S$9&gt;=20/24</formula>
    </cfRule>
    <cfRule type="expression" dxfId="159" priority="149">
      <formula>AND(S$9&gt;=14/24,S$9&lt;20/24)</formula>
    </cfRule>
    <cfRule type="expression" dxfId="158" priority="150">
      <formula>AND(S$9&gt;=8/24,S$9&lt;14/24)</formula>
    </cfRule>
    <cfRule type="expression" dxfId="157" priority="151">
      <formula>S$9&lt;8/24</formula>
    </cfRule>
  </conditionalFormatting>
  <conditionalFormatting sqref="A34">
    <cfRule type="expression" dxfId="156" priority="147">
      <formula>$AH34=0</formula>
    </cfRule>
  </conditionalFormatting>
  <conditionalFormatting sqref="A83">
    <cfRule type="expression" dxfId="155" priority="146">
      <formula>$AH83=0</formula>
    </cfRule>
  </conditionalFormatting>
  <conditionalFormatting sqref="Z15:AE15">
    <cfRule type="expression" dxfId="154" priority="142">
      <formula>Z$9&gt;=20/24</formula>
    </cfRule>
    <cfRule type="expression" dxfId="153" priority="143">
      <formula>AND(Z$9&gt;=14/24,Z$9&lt;20/24)</formula>
    </cfRule>
    <cfRule type="expression" dxfId="152" priority="144">
      <formula>AND(Z$9&gt;=8/24,Z$9&lt;14/24)</formula>
    </cfRule>
    <cfRule type="expression" dxfId="151" priority="145">
      <formula>Z$9&lt;8/24</formula>
    </cfRule>
  </conditionalFormatting>
  <conditionalFormatting sqref="M15:R15">
    <cfRule type="expression" dxfId="150" priority="138">
      <formula>M$9&gt;=20/24</formula>
    </cfRule>
    <cfRule type="expression" dxfId="149" priority="139">
      <formula>AND(M$9&gt;=14/24,M$9&lt;20/24)</formula>
    </cfRule>
    <cfRule type="expression" dxfId="148" priority="140">
      <formula>AND(M$9&gt;=8/24,M$9&lt;14/24)</formula>
    </cfRule>
    <cfRule type="expression" dxfId="147" priority="141">
      <formula>M$9&lt;8/24</formula>
    </cfRule>
  </conditionalFormatting>
  <conditionalFormatting sqref="C15:R15">
    <cfRule type="expression" dxfId="146" priority="137">
      <formula>C15&gt;$AG15</formula>
    </cfRule>
  </conditionalFormatting>
  <conditionalFormatting sqref="A15">
    <cfRule type="expression" dxfId="145" priority="136">
      <formula>$AH15=0</formula>
    </cfRule>
  </conditionalFormatting>
  <conditionalFormatting sqref="A163:A168">
    <cfRule type="expression" dxfId="144" priority="135">
      <formula>$AH163=0</formula>
    </cfRule>
  </conditionalFormatting>
  <conditionalFormatting sqref="A157:A162">
    <cfRule type="expression" dxfId="143" priority="134">
      <formula>$AH157=0</formula>
    </cfRule>
  </conditionalFormatting>
  <conditionalFormatting sqref="Z44:AE44">
    <cfRule type="expression" dxfId="142" priority="130">
      <formula>Z$9&gt;=20/24</formula>
    </cfRule>
    <cfRule type="expression" dxfId="141" priority="131">
      <formula>AND(Z$9&gt;=14/24,Z$9&lt;20/24)</formula>
    </cfRule>
    <cfRule type="expression" dxfId="140" priority="132">
      <formula>AND(Z$9&gt;=8/24,Z$9&lt;14/24)</formula>
    </cfRule>
    <cfRule type="expression" dxfId="139" priority="133">
      <formula>Z$9&lt;8/24</formula>
    </cfRule>
  </conditionalFormatting>
  <conditionalFormatting sqref="M44:R44">
    <cfRule type="expression" dxfId="138" priority="126">
      <formula>M$9&gt;=20/24</formula>
    </cfRule>
    <cfRule type="expression" dxfId="137" priority="127">
      <formula>AND(M$9&gt;=14/24,M$9&lt;20/24)</formula>
    </cfRule>
    <cfRule type="expression" dxfId="136" priority="128">
      <formula>AND(M$9&gt;=8/24,M$9&lt;14/24)</formula>
    </cfRule>
    <cfRule type="expression" dxfId="135" priority="129">
      <formula>M$9&lt;8/24</formula>
    </cfRule>
  </conditionalFormatting>
  <conditionalFormatting sqref="S44:Y44">
    <cfRule type="expression" dxfId="134" priority="122">
      <formula>S$9&gt;=20/24</formula>
    </cfRule>
    <cfRule type="expression" dxfId="133" priority="123">
      <formula>AND(S$9&gt;=14/24,S$9&lt;20/24)</formula>
    </cfRule>
    <cfRule type="expression" dxfId="132" priority="124">
      <formula>AND(S$9&gt;=8/24,S$9&lt;14/24)</formula>
    </cfRule>
    <cfRule type="expression" dxfId="131" priority="125">
      <formula>S$9&lt;8/24</formula>
    </cfRule>
  </conditionalFormatting>
  <conditionalFormatting sqref="A44">
    <cfRule type="expression" dxfId="130" priority="121">
      <formula>$AH44=0</formula>
    </cfRule>
  </conditionalFormatting>
  <conditionalFormatting sqref="A79">
    <cfRule type="expression" dxfId="129" priority="120">
      <formula>$AH79=0</formula>
    </cfRule>
  </conditionalFormatting>
  <conditionalFormatting sqref="A73">
    <cfRule type="expression" dxfId="128" priority="119">
      <formula>$AH73=0</formula>
    </cfRule>
  </conditionalFormatting>
  <conditionalFormatting sqref="AL34:AL35 AL7:AL31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27" priority="115">
      <formula>U$9&gt;=20/24</formula>
    </cfRule>
    <cfRule type="expression" dxfId="126" priority="116">
      <formula>AND(U$9&gt;=14/24,U$9&lt;20/24)</formula>
    </cfRule>
    <cfRule type="expression" dxfId="125" priority="117">
      <formula>AND(U$9&gt;=8/24,U$9&lt;14/24)</formula>
    </cfRule>
    <cfRule type="expression" dxfId="124" priority="118">
      <formula>U$9&lt;8/24</formula>
    </cfRule>
  </conditionalFormatting>
  <conditionalFormatting sqref="U85:W91">
    <cfRule type="expression" dxfId="123" priority="111">
      <formula>U$9&gt;=20/24</formula>
    </cfRule>
    <cfRule type="expression" dxfId="122" priority="112">
      <formula>AND(U$9&gt;=14/24,U$9&lt;20/24)</formula>
    </cfRule>
    <cfRule type="expression" dxfId="121" priority="113">
      <formula>AND(U$9&gt;=8/24,U$9&lt;14/24)</formula>
    </cfRule>
    <cfRule type="expression" dxfId="120" priority="114">
      <formula>U$9&lt;8/24</formula>
    </cfRule>
  </conditionalFormatting>
  <conditionalFormatting sqref="C84:R91 S85:T91">
    <cfRule type="expression" dxfId="119" priority="107">
      <formula>C$9&gt;=20/24</formula>
    </cfRule>
    <cfRule type="expression" dxfId="118" priority="108">
      <formula>AND(C$9&gt;=14/24,C$9&lt;20/24)</formula>
    </cfRule>
    <cfRule type="expression" dxfId="117" priority="109">
      <formula>AND(C$9&gt;=8/24,C$9&lt;14/24)</formula>
    </cfRule>
    <cfRule type="expression" dxfId="116" priority="110">
      <formula>C$9&lt;8/24</formula>
    </cfRule>
  </conditionalFormatting>
  <conditionalFormatting sqref="S84:T84">
    <cfRule type="expression" dxfId="115" priority="103">
      <formula>S$9&gt;=20/24</formula>
    </cfRule>
    <cfRule type="expression" dxfId="114" priority="104">
      <formula>AND(S$9&gt;=14/24,S$9&lt;20/24)</formula>
    </cfRule>
    <cfRule type="expression" dxfId="113" priority="105">
      <formula>AND(S$9&gt;=8/24,S$9&lt;14/24)</formula>
    </cfRule>
    <cfRule type="expression" dxfId="112" priority="106">
      <formula>S$9&lt;8/24</formula>
    </cfRule>
  </conditionalFormatting>
  <conditionalFormatting sqref="C95:M97 C94:F94">
    <cfRule type="expression" dxfId="111" priority="99">
      <formula>C$9&gt;=20/24</formula>
    </cfRule>
    <cfRule type="expression" dxfId="110" priority="100">
      <formula>AND(C$9&gt;=14/24,C$9&lt;20/24)</formula>
    </cfRule>
    <cfRule type="expression" dxfId="109" priority="101">
      <formula>AND(C$9&gt;=8/24,C$9&lt;14/24)</formula>
    </cfRule>
    <cfRule type="expression" dxfId="108" priority="102">
      <formula>C$9&lt;8/24</formula>
    </cfRule>
  </conditionalFormatting>
  <conditionalFormatting sqref="N95:R97 O94:R94">
    <cfRule type="expression" dxfId="107" priority="95">
      <formula>N$9&gt;=20/24</formula>
    </cfRule>
    <cfRule type="expression" dxfId="106" priority="96">
      <formula>AND(N$9&gt;=14/24,N$9&lt;20/24)</formula>
    </cfRule>
    <cfRule type="expression" dxfId="105" priority="97">
      <formula>AND(N$9&gt;=8/24,N$9&lt;14/24)</formula>
    </cfRule>
    <cfRule type="expression" dxfId="104" priority="98">
      <formula>N$9&lt;8/24</formula>
    </cfRule>
  </conditionalFormatting>
  <conditionalFormatting sqref="S94:T97">
    <cfRule type="expression" dxfId="103" priority="91">
      <formula>S$9&gt;=20/24</formula>
    </cfRule>
    <cfRule type="expression" dxfId="102" priority="92">
      <formula>AND(S$9&gt;=14/24,S$9&lt;20/24)</formula>
    </cfRule>
    <cfRule type="expression" dxfId="101" priority="93">
      <formula>AND(S$9&gt;=8/24,S$9&lt;14/24)</formula>
    </cfRule>
    <cfRule type="expression" dxfId="100" priority="94">
      <formula>S$9&lt;8/24</formula>
    </cfRule>
  </conditionalFormatting>
  <conditionalFormatting sqref="C98:M98">
    <cfRule type="expression" dxfId="99" priority="87">
      <formula>C$9&gt;=20/24</formula>
    </cfRule>
    <cfRule type="expression" dxfId="98" priority="88">
      <formula>AND(C$9&gt;=14/24,C$9&lt;20/24)</formula>
    </cfRule>
    <cfRule type="expression" dxfId="97" priority="89">
      <formula>AND(C$9&gt;=8/24,C$9&lt;14/24)</formula>
    </cfRule>
    <cfRule type="expression" dxfId="96" priority="90">
      <formula>C$9&lt;8/24</formula>
    </cfRule>
  </conditionalFormatting>
  <conditionalFormatting sqref="N98:R98">
    <cfRule type="expression" dxfId="95" priority="83">
      <formula>N$9&gt;=20/24</formula>
    </cfRule>
    <cfRule type="expression" dxfId="94" priority="84">
      <formula>AND(N$9&gt;=14/24,N$9&lt;20/24)</formula>
    </cfRule>
    <cfRule type="expression" dxfId="93" priority="85">
      <formula>AND(N$9&gt;=8/24,N$9&lt;14/24)</formula>
    </cfRule>
    <cfRule type="expression" dxfId="92" priority="86">
      <formula>N$9&lt;8/24</formula>
    </cfRule>
  </conditionalFormatting>
  <conditionalFormatting sqref="S98:T98">
    <cfRule type="expression" dxfId="91" priority="79">
      <formula>S$9&gt;=20/24</formula>
    </cfRule>
    <cfRule type="expression" dxfId="90" priority="80">
      <formula>AND(S$9&gt;=14/24,S$9&lt;20/24)</formula>
    </cfRule>
    <cfRule type="expression" dxfId="89" priority="81">
      <formula>AND(S$9&gt;=8/24,S$9&lt;14/24)</formula>
    </cfRule>
    <cfRule type="expression" dxfId="88" priority="82">
      <formula>S$9&lt;8/24</formula>
    </cfRule>
  </conditionalFormatting>
  <conditionalFormatting sqref="M94:N94">
    <cfRule type="expression" dxfId="87" priority="75">
      <formula>M$9&gt;=20/24</formula>
    </cfRule>
    <cfRule type="expression" dxfId="86" priority="76">
      <formula>AND(M$9&gt;=14/24,M$9&lt;20/24)</formula>
    </cfRule>
    <cfRule type="expression" dxfId="85" priority="77">
      <formula>AND(M$9&gt;=8/24,M$9&lt;14/24)</formula>
    </cfRule>
    <cfRule type="expression" dxfId="84" priority="78">
      <formula>M$9&lt;8/24</formula>
    </cfRule>
  </conditionalFormatting>
  <conditionalFormatting sqref="G94:L94">
    <cfRule type="expression" dxfId="83" priority="71">
      <formula>G$9&gt;=20/24</formula>
    </cfRule>
    <cfRule type="expression" dxfId="82" priority="72">
      <formula>AND(G$9&gt;=14/24,G$9&lt;20/24)</formula>
    </cfRule>
    <cfRule type="expression" dxfId="81" priority="73">
      <formula>AND(G$9&gt;=8/24,G$9&lt;14/24)</formula>
    </cfRule>
    <cfRule type="expression" dxfId="80" priority="74">
      <formula>G$9&lt;8/24</formula>
    </cfRule>
  </conditionalFormatting>
  <conditionalFormatting sqref="U94:W94">
    <cfRule type="expression" dxfId="79" priority="67">
      <formula>U$9&gt;=20/24</formula>
    </cfRule>
    <cfRule type="expression" dxfId="78" priority="68">
      <formula>AND(U$9&gt;=14/24,U$9&lt;20/24)</formula>
    </cfRule>
    <cfRule type="expression" dxfId="77" priority="69">
      <formula>AND(U$9&gt;=8/24,U$9&lt;14/24)</formula>
    </cfRule>
    <cfRule type="expression" dxfId="76" priority="70">
      <formula>U$9&lt;8/24</formula>
    </cfRule>
  </conditionalFormatting>
  <conditionalFormatting sqref="N94:T94">
    <cfRule type="expression" dxfId="75" priority="63">
      <formula>N$9&gt;=20/24</formula>
    </cfRule>
    <cfRule type="expression" dxfId="74" priority="64">
      <formula>AND(N$9&gt;=14/24,N$9&lt;20/24)</formula>
    </cfRule>
    <cfRule type="expression" dxfId="73" priority="65">
      <formula>AND(N$9&gt;=8/24,N$9&lt;14/24)</formula>
    </cfRule>
    <cfRule type="expression" dxfId="72" priority="66">
      <formula>N$9&lt;8/24</formula>
    </cfRule>
  </conditionalFormatting>
  <conditionalFormatting sqref="U99:AA99">
    <cfRule type="expression" dxfId="71" priority="59">
      <formula>U$9&gt;=20/24</formula>
    </cfRule>
    <cfRule type="expression" dxfId="70" priority="60">
      <formula>AND(U$9&gt;=14/24,U$9&lt;20/24)</formula>
    </cfRule>
    <cfRule type="expression" dxfId="69" priority="61">
      <formula>AND(U$9&gt;=8/24,U$9&lt;14/24)</formula>
    </cfRule>
    <cfRule type="expression" dxfId="68" priority="62">
      <formula>U$9&lt;8/24</formula>
    </cfRule>
  </conditionalFormatting>
  <conditionalFormatting sqref="C99:M99">
    <cfRule type="expression" dxfId="67" priority="54">
      <formula>C$9&gt;=20/24</formula>
    </cfRule>
    <cfRule type="expression" dxfId="66" priority="55">
      <formula>AND(C$9&gt;=14/24,C$9&lt;20/24)</formula>
    </cfRule>
    <cfRule type="expression" dxfId="65" priority="56">
      <formula>AND(C$9&gt;=8/24,C$9&lt;14/24)</formula>
    </cfRule>
    <cfRule type="expression" dxfId="64" priority="57">
      <formula>C$9&lt;8/24</formula>
    </cfRule>
  </conditionalFormatting>
  <conditionalFormatting sqref="N99:R99">
    <cfRule type="expression" dxfId="63" priority="50">
      <formula>N$9&gt;=20/24</formula>
    </cfRule>
    <cfRule type="expression" dxfId="62" priority="51">
      <formula>AND(N$9&gt;=14/24,N$9&lt;20/24)</formula>
    </cfRule>
    <cfRule type="expression" dxfId="61" priority="52">
      <formula>AND(N$9&gt;=8/24,N$9&lt;14/24)</formula>
    </cfRule>
    <cfRule type="expression" dxfId="60" priority="53">
      <formula>N$9&lt;8/24</formula>
    </cfRule>
  </conditionalFormatting>
  <conditionalFormatting sqref="S99:T99">
    <cfRule type="expression" dxfId="59" priority="46">
      <formula>S$9&gt;=20/24</formula>
    </cfRule>
    <cfRule type="expression" dxfId="58" priority="47">
      <formula>AND(S$9&gt;=14/24,S$9&lt;20/24)</formula>
    </cfRule>
    <cfRule type="expression" dxfId="57" priority="48">
      <formula>AND(S$9&gt;=8/24,S$9&lt;14/24)</formula>
    </cfRule>
    <cfRule type="expression" dxfId="56" priority="49">
      <formula>S$9&lt;8/24</formula>
    </cfRule>
  </conditionalFormatting>
  <conditionalFormatting sqref="S12:Y16">
    <cfRule type="expression" dxfId="55" priority="42">
      <formula>S$9&gt;=20/24</formula>
    </cfRule>
    <cfRule type="expression" dxfId="54" priority="43">
      <formula>AND(S$9&gt;=14/24,S$9&lt;20/24)</formula>
    </cfRule>
    <cfRule type="expression" dxfId="53" priority="44">
      <formula>AND(S$9&gt;=8/24,S$9&lt;14/24)</formula>
    </cfRule>
    <cfRule type="expression" dxfId="52" priority="45">
      <formula>S$9&lt;8/24</formula>
    </cfRule>
  </conditionalFormatting>
  <conditionalFormatting sqref="S17:Y17">
    <cfRule type="expression" dxfId="51" priority="38">
      <formula>S$9&gt;=20/24</formula>
    </cfRule>
    <cfRule type="expression" dxfId="50" priority="39">
      <formula>AND(S$9&gt;=14/24,S$9&lt;20/24)</formula>
    </cfRule>
    <cfRule type="expression" dxfId="49" priority="40">
      <formula>AND(S$9&gt;=8/24,S$9&lt;14/24)</formula>
    </cfRule>
    <cfRule type="expression" dxfId="48" priority="41">
      <formula>S$9&lt;8/24</formula>
    </cfRule>
  </conditionalFormatting>
  <conditionalFormatting sqref="S12:Y13">
    <cfRule type="expression" dxfId="47" priority="34">
      <formula>S$9&gt;=20/24</formula>
    </cfRule>
    <cfRule type="expression" dxfId="46" priority="35">
      <formula>AND(S$9&gt;=14/24,S$9&lt;20/24)</formula>
    </cfRule>
    <cfRule type="expression" dxfId="45" priority="36">
      <formula>AND(S$9&gt;=8/24,S$9&lt;14/24)</formula>
    </cfRule>
    <cfRule type="expression" dxfId="44" priority="37">
      <formula>S$9&lt;8/24</formula>
    </cfRule>
  </conditionalFormatting>
  <conditionalFormatting sqref="AB58:AE59">
    <cfRule type="expression" dxfId="43" priority="30">
      <formula>AB$9&gt;=20/24</formula>
    </cfRule>
    <cfRule type="expression" dxfId="42" priority="31">
      <formula>AND(AB$9&gt;=14/24,AB$9&lt;20/24)</formula>
    </cfRule>
    <cfRule type="expression" dxfId="41" priority="32">
      <formula>AND(AB$9&gt;=8/24,AB$9&lt;14/24)</formula>
    </cfRule>
    <cfRule type="expression" dxfId="40" priority="33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" priority="264">
      <formula>C$9&gt;=20/24</formula>
    </cfRule>
    <cfRule type="expression" dxfId="38" priority="265">
      <formula>AND(C$9&gt;=14/24,C$9&lt;20/24)</formula>
    </cfRule>
    <cfRule type="expression" dxfId="37" priority="266">
      <formula>AND(C$9&gt;=8/24,C$9&lt;14/24)</formula>
    </cfRule>
    <cfRule type="expression" dxfId="36" priority="267">
      <formula>C$9&lt;8/24</formula>
    </cfRule>
  </conditionalFormatting>
  <conditionalFormatting sqref="A200">
    <cfRule type="expression" dxfId="35" priority="268">
      <formula>$AH200=0</formula>
    </cfRule>
  </conditionalFormatting>
  <conditionalFormatting sqref="AG212">
    <cfRule type="expression" dxfId="34" priority="270">
      <formula>B$9&gt;=20/24</formula>
    </cfRule>
    <cfRule type="expression" dxfId="33" priority="271">
      <formula>AND(B$9&gt;=14/24,B$9&lt;20/24)</formula>
    </cfRule>
    <cfRule type="expression" dxfId="32" priority="272">
      <formula>AND(B$9&gt;=8/24,B$9&lt;14/24)</formula>
    </cfRule>
    <cfRule type="expression" dxfId="31" priority="273">
      <formula>B$9&lt;8/24</formula>
    </cfRule>
  </conditionalFormatting>
  <conditionalFormatting sqref="S8">
    <cfRule type="expression" dxfId="30" priority="19">
      <formula>U$9&gt;=20/24</formula>
    </cfRule>
    <cfRule type="expression" dxfId="29" priority="20">
      <formula>AND(U$9&gt;=14/24,U$9&lt;20/24)</formula>
    </cfRule>
    <cfRule type="expression" dxfId="28" priority="21">
      <formula>AND(U$9&gt;=8/24,U$9&lt;14/24)</formula>
    </cfRule>
    <cfRule type="expression" dxfId="27" priority="22">
      <formula>U$9&lt;8/24</formula>
    </cfRule>
  </conditionalFormatting>
  <conditionalFormatting sqref="AB8">
    <cfRule type="expression" dxfId="26" priority="15">
      <formula>AD$9&gt;=20/24</formula>
    </cfRule>
    <cfRule type="expression" dxfId="25" priority="16">
      <formula>AND(AD$9&gt;=14/24,AD$9&lt;20/24)</formula>
    </cfRule>
    <cfRule type="expression" dxfId="24" priority="17">
      <formula>AND(AD$9&gt;=8/24,AD$9&lt;14/24)</formula>
    </cfRule>
    <cfRule type="expression" dxfId="23" priority="18">
      <formula>AD$9&lt;8/24</formula>
    </cfRule>
  </conditionalFormatting>
  <conditionalFormatting sqref="AH212:AX212">
    <cfRule type="expression" dxfId="22" priority="274">
      <formula>AG$9&gt;=20/24</formula>
    </cfRule>
    <cfRule type="expression" dxfId="21" priority="275">
      <formula>AND(AG$9&gt;=14/24,AG$9&lt;20/24)</formula>
    </cfRule>
    <cfRule type="expression" dxfId="20" priority="276">
      <formula>AND(AG$9&gt;=8/24,AG$9&lt;14/24)</formula>
    </cfRule>
    <cfRule type="expression" dxfId="19" priority="277">
      <formula>AG$9&lt;8/24</formula>
    </cfRule>
  </conditionalFormatting>
  <conditionalFormatting sqref="T212">
    <cfRule type="expression" dxfId="18" priority="278">
      <formula>AX$9&gt;=20/24</formula>
    </cfRule>
    <cfRule type="expression" dxfId="17" priority="279">
      <formula>AND(AX$9&gt;=14/24,AX$9&lt;20/24)</formula>
    </cfRule>
    <cfRule type="expression" dxfId="16" priority="280">
      <formula>AND(AX$9&gt;=8/24,AX$9&lt;14/24)</formula>
    </cfRule>
    <cfRule type="expression" dxfId="15" priority="281">
      <formula>AX$9&lt;8/24</formula>
    </cfRule>
  </conditionalFormatting>
  <conditionalFormatting sqref="A99">
    <cfRule type="expression" dxfId="14" priority="14">
      <formula>$AH99=0</formula>
    </cfRule>
  </conditionalFormatting>
  <conditionalFormatting sqref="M33:R33">
    <cfRule type="expression" dxfId="13" priority="10">
      <formula>M$9&gt;=20/24</formula>
    </cfRule>
    <cfRule type="expression" dxfId="12" priority="11">
      <formula>AND(M$9&gt;=14/24,M$9&lt;20/24)</formula>
    </cfRule>
    <cfRule type="expression" dxfId="11" priority="12">
      <formula>AND(M$9&gt;=8/24,M$9&lt;14/24)</formula>
    </cfRule>
    <cfRule type="expression" dxfId="10" priority="13">
      <formula>M$9&lt;8/24</formula>
    </cfRule>
  </conditionalFormatting>
  <conditionalFormatting sqref="Z33:AE33">
    <cfRule type="expression" dxfId="9" priority="6">
      <formula>Z$9&gt;=20/24</formula>
    </cfRule>
    <cfRule type="expression" dxfId="8" priority="7">
      <formula>AND(Z$9&gt;=14/24,Z$9&lt;20/24)</formula>
    </cfRule>
    <cfRule type="expression" dxfId="7" priority="8">
      <formula>AND(Z$9&gt;=8/24,Z$9&lt;14/24)</formula>
    </cfRule>
    <cfRule type="expression" dxfId="6" priority="9">
      <formula>Z$9&lt;8/24</formula>
    </cfRule>
  </conditionalFormatting>
  <conditionalFormatting sqref="S33:Y33">
    <cfRule type="expression" dxfId="5" priority="2">
      <formula>S$9&gt;=20/24</formula>
    </cfRule>
    <cfRule type="expression" dxfId="4" priority="3">
      <formula>AND(S$9&gt;=14/24,S$9&lt;20/24)</formula>
    </cfRule>
    <cfRule type="expression" dxfId="3" priority="4">
      <formula>AND(S$9&gt;=8/24,S$9&lt;14/24)</formula>
    </cfRule>
    <cfRule type="expression" dxfId="2" priority="5">
      <formula>S$9&lt;8/24</formula>
    </cfRule>
  </conditionalFormatting>
  <conditionalFormatting sqref="B33:AF33">
    <cfRule type="expression" dxfId="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198C6D87-AF99-4AFB-AF2C-53A222D2A43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M1</vt:lpstr>
      <vt:lpstr>new_sample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2022-02-05T06:29:18Z</dcterms:modified>
</cp:coreProperties>
</file>